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240" yWindow="75" windowWidth="18990" windowHeight="7995"/>
  </bookViews>
  <sheets>
    <sheet name="Avaliação" sheetId="21" r:id="rId1"/>
    <sheet name="Resumos" sheetId="22" r:id="rId2"/>
    <sheet name="Plan3" sheetId="23" r:id="rId3"/>
    <sheet name="DV-IDENTITY-0" sheetId="25" state="veryHidden" r:id="rId4"/>
  </sheets>
  <calcPr calcId="125725"/>
</workbook>
</file>

<file path=xl/calcChain.xml><?xml version="1.0" encoding="utf-8"?>
<calcChain xmlns="http://schemas.openxmlformats.org/spreadsheetml/2006/main">
  <c r="A4" i="25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3"/>
  <c r="B3"/>
  <c r="C3"/>
  <c r="D3"/>
  <c r="E3"/>
  <c r="F3"/>
  <c r="G3"/>
  <c r="H3"/>
  <c r="I3"/>
  <c r="J3"/>
  <c r="K3"/>
  <c r="L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K5" i="21"/>
  <c r="K4"/>
  <c r="K7"/>
  <c r="K8"/>
  <c r="K3"/>
  <c r="K6"/>
  <c r="K2"/>
</calcChain>
</file>

<file path=xl/sharedStrings.xml><?xml version="1.0" encoding="utf-8"?>
<sst xmlns="http://schemas.openxmlformats.org/spreadsheetml/2006/main" count="107" uniqueCount="86">
  <si>
    <t>Ferramentas</t>
  </si>
  <si>
    <t>Loop 11</t>
  </si>
  <si>
    <t>Usabilla</t>
  </si>
  <si>
    <t>Inteligibilidade</t>
  </si>
  <si>
    <t>Apreensibilidade</t>
  </si>
  <si>
    <t>Operacionalidade</t>
  </si>
  <si>
    <t>Atratividade</t>
  </si>
  <si>
    <t>Bom</t>
  </si>
  <si>
    <t>Regular</t>
  </si>
  <si>
    <t>Ruim</t>
  </si>
  <si>
    <t>Não faz</t>
  </si>
  <si>
    <t>Legenda</t>
  </si>
  <si>
    <t>Agrupamento</t>
  </si>
  <si>
    <t>Registro de impressões</t>
  </si>
  <si>
    <t>Avaliação de satisfação</t>
  </si>
  <si>
    <t>Significado</t>
  </si>
  <si>
    <t>Funções analisadas</t>
  </si>
  <si>
    <t>Analisar se o usuário foi objetivo ao realizar uma determinada tarefa (fluxo)</t>
  </si>
  <si>
    <t>Analisa clareza de textos, ícones, botões de ação e comando (Facilidade de compreensão).</t>
  </si>
  <si>
    <t>Analisa se organiza os usuários testados por caracteristicas em comum (grupos).</t>
  </si>
  <si>
    <t>Analisa a capacidade do software ser atraente para o usuario, desde adequação das informações até efeitos visuais.</t>
  </si>
  <si>
    <t>Analisa o registro de opniões sobre o sistema. Podem ser entrevistas estruturadas, semi-estruturadas ou um questionário de auto-preenchimento.</t>
  </si>
  <si>
    <t>Produtividade</t>
  </si>
  <si>
    <t>Memorização</t>
  </si>
  <si>
    <t>OpenHallway</t>
  </si>
  <si>
    <t>Sem avaliação</t>
  </si>
  <si>
    <t>N/A</t>
  </si>
  <si>
    <t>² - apenas versão paga, analisei segundo videos no site</t>
  </si>
  <si>
    <t>¹- apenas versão para macs, analisei segundo videos no site</t>
  </si>
  <si>
    <t>Analisa a capacidade do software facilitar ao usuário operá-lo e controlá-lo (ex: maneira como ajuda em erro por parte do usuário).</t>
  </si>
  <si>
    <t>-</t>
  </si>
  <si>
    <t>TOTAL</t>
  </si>
  <si>
    <t>Forma de Avaliação Ideal</t>
  </si>
  <si>
    <t>Usuário possui conta e pode realizar mais de um teste, possuindo histórico dos testes realizados.</t>
  </si>
  <si>
    <t>Analisa se o usuário demorou muito, percorreu o menor caminho e preencheu apenas os campos necessários para realizar uma tarefa.</t>
  </si>
  <si>
    <t>Analisa se o usuário progrediu ao utilizar o sistema com o passar do tempo (de forma intermitente).</t>
  </si>
  <si>
    <t>Analisa se o usuário demorou muito, percorreu o menor caminho, armazena páginas que geraram erros e se preencheu apenas os campos necessários para realizar uma tarefa.</t>
  </si>
  <si>
    <t>Verificar se o sistema possui um guia para ajuda, auto-complete e verificação automática para evitar erros em preenchimentos de formulários.</t>
  </si>
  <si>
    <t>Realizar um questionário com perguntas chaves para analisar a satisfação do usuário, podendo ser objetivo e/ou subjetivo.</t>
  </si>
  <si>
    <t>1(Ruim)</t>
  </si>
  <si>
    <t>2(Regular)</t>
  </si>
  <si>
    <t>Armazenar o nome e o email, para haver uma checagem posterior de quem realmente realizou o teste.</t>
  </si>
  <si>
    <t>Usuário possuir conta, mas não haver uma forma de analisar histórico do mesmo.</t>
  </si>
  <si>
    <t>Forma Ideal.</t>
  </si>
  <si>
    <t>Analisar se o usuário percorreu o menor caminho e demorou muito.</t>
  </si>
  <si>
    <t xml:space="preserve"> Analisar apenas o fluxo para determinar se o usuário realizou o menor caminho ou demorou muito ou se preencheu apenas campos necessários.</t>
  </si>
  <si>
    <t>Analisar se a ferramenta auxilia no teste de usabilidade, tornando mais simples e eficiente.</t>
  </si>
  <si>
    <t xml:space="preserve">Analisar apenas o fluxo, verificando se o usuários ficou confuso com as informações da tela. </t>
  </si>
  <si>
    <t>Analisar a partir de fluxo com tempo ou perguntas.</t>
  </si>
  <si>
    <t>Analisa a capacidade do software permitir ao usuário aprender a utilizar sua aplicação.</t>
  </si>
  <si>
    <t>Analisar apenas  por meio de perguntas.</t>
  </si>
  <si>
    <t>Analisar reações espontânteas automaticamente.</t>
  </si>
  <si>
    <t>Anotar observações do usuário e analisar reações espontâneas automaticamente, a partir de gravação de áudio e/ou vídeo do rosto.</t>
  </si>
  <si>
    <t>Analisa apenas por observações anotadas pelo usuário.</t>
  </si>
  <si>
    <t>Armazenar apenas um texto sobre opniões, sem possuir um questionário.</t>
  </si>
  <si>
    <t>Possuir um questionário, mas com restrições no tipo de pergunta (apenas objetiva ou subjetiva).</t>
  </si>
  <si>
    <t xml:space="preserve">Possuir questionários estáticos, com campos fixos para diferenciar os grupos de usuários. </t>
  </si>
  <si>
    <t>Agrupar automaticamente pela data do teste realizado.</t>
  </si>
  <si>
    <t>Analisar apenas uma das principais funções: o tempo, o fluxo, as páginas com erros e se preencheu apenas os campos necessários.</t>
  </si>
  <si>
    <t>Analisar de duas a três das principais funções: o tempo, o fluxo, as páginas com erros e se preencheu apenas os campos necessários.</t>
  </si>
  <si>
    <t xml:space="preserve">Analisar por meio de mapas onde o mouse mais percorreu. </t>
  </si>
  <si>
    <t xml:space="preserve">Analisa o grau de registro de impressões que o sistema passou ao usuário. </t>
  </si>
  <si>
    <t>WhatUserDo</t>
  </si>
  <si>
    <t>*</t>
  </si>
  <si>
    <t>ClickTale</t>
  </si>
  <si>
    <t>Ferramentas que não foram analisadas em algumas funções, as que possuem *</t>
  </si>
  <si>
    <t>3(Ótima)</t>
  </si>
  <si>
    <t>AAAAAH/f/yE=</t>
  </si>
  <si>
    <t>Nossa Ferramenta</t>
  </si>
  <si>
    <t>Realizar cadastro de usuários, possuindo um histórico dos testes realizados, permitindo usuário fazer o teste mais de uma vez.</t>
  </si>
  <si>
    <t>Marcando tempo das ações realizadas, armazenando as urls abertas e os campos preenchidos.</t>
  </si>
  <si>
    <t>Clicar com botão direito e poder avaliar (Bom, Ruim e Observação). Analisar a partir dos tempos e urls armazenadas, se o usuário realizou a tarefa de forma ideal.</t>
  </si>
  <si>
    <r>
      <t xml:space="preserve">Atendido pelas funcionalidades presentes em </t>
    </r>
    <r>
      <rPr>
        <i/>
        <sz val="11"/>
        <color theme="1"/>
        <rFont val="Calibri"/>
        <family val="2"/>
        <scheme val="minor"/>
      </rPr>
      <t xml:space="preserve">produtividade </t>
    </r>
    <r>
      <rPr>
        <sz val="11"/>
        <color theme="1"/>
        <rFont val="Calibri"/>
        <family val="2"/>
        <scheme val="minor"/>
      </rPr>
      <t xml:space="preserve">e </t>
    </r>
    <r>
      <rPr>
        <i/>
        <sz val="11"/>
        <color theme="1"/>
        <rFont val="Calibri"/>
        <family val="2"/>
        <scheme val="minor"/>
      </rPr>
      <t>intelegibilidade</t>
    </r>
    <r>
      <rPr>
        <sz val="11"/>
        <color theme="1"/>
        <rFont val="Calibri"/>
        <family val="2"/>
        <scheme val="minor"/>
      </rPr>
      <t>. Além disto, armazenar as urls que geraram caminhos errados.</t>
    </r>
  </si>
  <si>
    <t>Perguntas para saber se o usuário gostou da tela e analise de feições. Uma opção extra, pode ser por meio de um mapa de onde o mouse  mais percorreu.</t>
  </si>
  <si>
    <t>Definir perguntas sobre a tela para saber a impressão do usuário sobre o sistema. Uma opção extra é analisar se o usuário ficou confuso e demorou muito tempo para realizar uma tarefa.</t>
  </si>
  <si>
    <t>Agrupar os usuários por meio de características similares. Isto pode ser realizado por meio de questionários personalizáveis.</t>
  </si>
  <si>
    <t>Ao cadastrar um usuário, este preenche um formulário com alguns dados que são "universais" (gênero, idade, etc). Ao criar um teste,  o desenvolvedor cria um questionário específico para seu teste.</t>
  </si>
  <si>
    <t>Clicar com botão direito e poder avaliar (Bom, Ruim e Observação). Realizar análise de feição, armazenando uma ocorrência com a posiçao do mouse e scroll, além de em qual url se encontra.</t>
  </si>
  <si>
    <t>A partir dos clicks com observações do usuário. Realizar análise de feição, armazenando uma ocorrência com a posiçao do mouse e scroll, além de em qual url se encontra.</t>
  </si>
  <si>
    <t>Criar um questionário com perguntas chaves para analisar a satisfação do usuário. O desenvolvedor escolhe qual tipo de resposta será usada (objetivo e/ou subjetivo).</t>
  </si>
  <si>
    <t>Analisar os js que "interferem" no campo de entrada.</t>
  </si>
  <si>
    <t>SilverBack</t>
  </si>
  <si>
    <t>WhatUsersDo</t>
  </si>
  <si>
    <t>UserTesting</t>
  </si>
  <si>
    <t xml:space="preserve"> SilverBack</t>
  </si>
  <si>
    <t>ClickTale, WhatUsersDo, UserTesting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</si>
</sst>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9">
    <dxf>
      <alignment horizontal="center" vertical="top" textRotation="0" wrapText="0" indent="0" relativeIndent="0" justifyLastLine="0" shrinkToFit="0" mergeCell="0" readingOrder="0"/>
    </dxf>
    <dxf>
      <alignment horizontal="center" vertical="top" textRotation="0" wrapText="1" indent="0" relativeIndent="0" justifyLastLine="0" shrinkToFit="0" mergeCell="0" readingOrder="0"/>
    </dxf>
    <dxf>
      <alignment horizontal="center" vertical="top" textRotation="0" wrapText="1" indent="0" relativeIndent="0" justifyLastLine="0" shrinkToFit="0" mergeCell="0" readingOrder="0"/>
    </dxf>
    <dxf>
      <alignment horizontal="center" vertical="top" textRotation="0" wrapText="1" indent="0" relativeIndent="0" justifyLastLine="0" shrinkToFit="0" mergeCell="0" readingOrder="0"/>
    </dxf>
    <dxf>
      <alignment horizontal="center" vertical="top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Avaliação!$B$1</c:f>
              <c:strCache>
                <c:ptCount val="1"/>
                <c:pt idx="0">
                  <c:v>Memorização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Avaliação!$C$1</c:f>
              <c:strCache>
                <c:ptCount val="1"/>
                <c:pt idx="0">
                  <c:v>Produtividade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Avaliação!$C$2:$C$8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Avaliação!$D$1</c:f>
              <c:strCache>
                <c:ptCount val="1"/>
                <c:pt idx="0">
                  <c:v>Inteligibilidade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Avaliação!$D$2:$D$8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Avaliação!$E$1</c:f>
              <c:strCache>
                <c:ptCount val="1"/>
                <c:pt idx="0">
                  <c:v>Apreensibilidade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Avaliação!$E$2:$E$8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Avaliação!$F$1</c:f>
              <c:strCache>
                <c:ptCount val="1"/>
                <c:pt idx="0">
                  <c:v>Operacionalidade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Avaliação!$G$1</c:f>
              <c:strCache>
                <c:ptCount val="1"/>
                <c:pt idx="0">
                  <c:v>Atratividade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Avaliação!$G$2:$G$8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Avaliação!$H$1</c:f>
              <c:strCache>
                <c:ptCount val="1"/>
                <c:pt idx="0">
                  <c:v>Agrupamento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Avaliação!$H$2:$H$8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Avaliação!$I$1</c:f>
              <c:strCache>
                <c:ptCount val="1"/>
                <c:pt idx="0">
                  <c:v>Registro de impressões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Avaliação!$I$2:$I$8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Avaliação!$J$1</c:f>
              <c:strCache>
                <c:ptCount val="1"/>
                <c:pt idx="0">
                  <c:v>Avaliação de satisfação</c:v>
                </c:pt>
              </c:strCache>
            </c:strRef>
          </c:tx>
          <c:cat>
            <c:strRef>
              <c:f>Avaliação!$A$2:$A$8</c:f>
              <c:strCache>
                <c:ptCount val="7"/>
                <c:pt idx="0">
                  <c:v>Loop 11</c:v>
                </c:pt>
                <c:pt idx="1">
                  <c:v>UserTesting</c:v>
                </c:pt>
                <c:pt idx="2">
                  <c:v>WhatUsersDo</c:v>
                </c:pt>
                <c:pt idx="3">
                  <c:v>Usabilla</c:v>
                </c:pt>
                <c:pt idx="4">
                  <c:v>OpenHallway</c:v>
                </c:pt>
                <c:pt idx="5">
                  <c:v>SilverBack</c:v>
                </c:pt>
                <c:pt idx="6">
                  <c:v>ClickTale</c:v>
                </c:pt>
              </c:strCache>
            </c:strRef>
          </c:cat>
          <c:val>
            <c:numRef>
              <c:f>Avaliação!$J$2:$J$8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hape val="box"/>
        <c:axId val="156609920"/>
        <c:axId val="156619904"/>
        <c:axId val="0"/>
      </c:bar3DChart>
      <c:catAx>
        <c:axId val="156609920"/>
        <c:scaling>
          <c:orientation val="minMax"/>
        </c:scaling>
        <c:axPos val="b"/>
        <c:tickLblPos val="nextTo"/>
        <c:crossAx val="156619904"/>
        <c:crosses val="autoZero"/>
        <c:auto val="1"/>
        <c:lblAlgn val="ctr"/>
        <c:lblOffset val="100"/>
      </c:catAx>
      <c:valAx>
        <c:axId val="156619904"/>
        <c:scaling>
          <c:orientation val="minMax"/>
        </c:scaling>
        <c:axPos val="l"/>
        <c:majorGridlines/>
        <c:numFmt formatCode="General" sourceLinked="1"/>
        <c:tickLblPos val="nextTo"/>
        <c:crossAx val="15660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74080</xdr:colOff>
      <xdr:row>16</xdr:row>
      <xdr:rowOff>1</xdr:rowOff>
    </xdr:from>
    <xdr:to>
      <xdr:col>11</xdr:col>
      <xdr:colOff>116415</xdr:colOff>
      <xdr:row>40</xdr:row>
      <xdr:rowOff>10583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0.00523</cdr:x>
      <cdr:y>0.01853</cdr:y>
    </cdr:from>
    <cdr:to>
      <cdr:x>0.00523</cdr:x>
      <cdr:y>0.01853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pt-BR" sz="1100"/>
            <a:t>JSRi91XUHKb7mxG88uMjFp</a:t>
          </a:r>
        </a:p>
      </cdr:txBody>
    </cdr:sp>
  </cdr:relSizeAnchor>
</c:userShapes>
</file>

<file path=xl/tables/table1.xml><?xml version="1.0" encoding="utf-8"?>
<table xmlns="http://schemas.openxmlformats.org/spreadsheetml/2006/main" id="5" name="Tabela1" displayName="Tabela1" ref="A1:K15" totalsRowShown="0">
  <autoFilter ref="A1:K15"/>
  <sortState ref="A2:K15">
    <sortCondition descending="1" ref="K1:K15"/>
  </sortState>
  <tableColumns count="11">
    <tableColumn id="1" name="Ferramentas"/>
    <tableColumn id="3" name="Memorização" dataDxfId="18"/>
    <tableColumn id="5" name="Produtividade" dataDxfId="17"/>
    <tableColumn id="6" name="Inteligibilidade" dataDxfId="16"/>
    <tableColumn id="7" name="Apreensibilidade" dataDxfId="15"/>
    <tableColumn id="8" name="Operacionalidade" dataDxfId="14"/>
    <tableColumn id="9" name="Atratividade" dataDxfId="13"/>
    <tableColumn id="13" name="Agrupamento" dataDxfId="12"/>
    <tableColumn id="14" name="Registro de impressões" dataDxfId="11"/>
    <tableColumn id="15" name="Avaliação de satisfação" dataDxfId="10"/>
    <tableColumn id="2" name="TOTAL" dataDxfId="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6" name="Tabela2" displayName="Tabela2" ref="B2:H11" totalsRowShown="0" headerRowDxfId="8" dataDxfId="7">
  <autoFilter ref="B2:H11">
    <filterColumn colId="3"/>
  </autoFilter>
  <tableColumns count="7">
    <tableColumn id="1" name="Funções analisadas" dataDxfId="6"/>
    <tableColumn id="2" name="Significado" dataDxfId="5"/>
    <tableColumn id="4" name="Forma de Avaliação Ideal" dataDxfId="4"/>
    <tableColumn id="3" name="Nossa Ferramenta" dataDxfId="3"/>
    <tableColumn id="5" name="1(Ruim)" dataDxfId="2"/>
    <tableColumn id="6" name="2(Regular)" dataDxfId="1"/>
    <tableColumn id="7" name="3(Ótima)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K27"/>
  <sheetViews>
    <sheetView tabSelected="1" zoomScale="90" zoomScaleNormal="90" workbookViewId="0">
      <selection activeCell="A8" sqref="A8"/>
    </sheetView>
  </sheetViews>
  <sheetFormatPr defaultRowHeight="15"/>
  <cols>
    <col min="1" max="1" width="16.7109375" customWidth="1"/>
    <col min="2" max="2" width="17.85546875" customWidth="1"/>
    <col min="3" max="3" width="16.5703125" customWidth="1"/>
    <col min="4" max="4" width="16.42578125" customWidth="1"/>
    <col min="5" max="5" width="18.7109375" customWidth="1"/>
    <col min="6" max="6" width="18.7109375" bestFit="1" customWidth="1"/>
    <col min="7" max="7" width="16" customWidth="1"/>
    <col min="8" max="8" width="16.28515625" customWidth="1"/>
    <col min="9" max="9" width="23.85546875" customWidth="1"/>
    <col min="10" max="10" width="23" customWidth="1"/>
    <col min="11" max="11" width="11.7109375" customWidth="1"/>
    <col min="12" max="12" width="10.7109375" customWidth="1"/>
    <col min="13" max="13" width="21.42578125" customWidth="1"/>
  </cols>
  <sheetData>
    <row r="1" spans="1:11">
      <c r="A1" t="s">
        <v>0</v>
      </c>
      <c r="B1" t="s">
        <v>23</v>
      </c>
      <c r="C1" t="s">
        <v>22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s="1" t="s">
        <v>31</v>
      </c>
    </row>
    <row r="2" spans="1:11">
      <c r="A2" t="s">
        <v>1</v>
      </c>
      <c r="B2" s="1">
        <v>0</v>
      </c>
      <c r="C2" s="1">
        <v>2</v>
      </c>
      <c r="D2" s="1">
        <v>1</v>
      </c>
      <c r="E2" s="1">
        <v>2</v>
      </c>
      <c r="F2" s="1">
        <v>0</v>
      </c>
      <c r="G2" s="1">
        <v>2</v>
      </c>
      <c r="H2" s="1">
        <v>0</v>
      </c>
      <c r="I2" s="1">
        <v>1</v>
      </c>
      <c r="J2" s="1">
        <v>3</v>
      </c>
      <c r="K2" s="1">
        <f>SUM(Tabela1[[#This Row],[Memorização]:[Avaliação de satisfação]])</f>
        <v>11</v>
      </c>
    </row>
    <row r="3" spans="1:11">
      <c r="A3" s="8" t="s">
        <v>83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f>SUM(Tabela1[[#This Row],[Memorização]:[Avaliação de satisfação]])</f>
        <v>6</v>
      </c>
    </row>
    <row r="4" spans="1:11">
      <c r="A4" s="8" t="s">
        <v>82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2</v>
      </c>
      <c r="K4" s="1">
        <f>SUM(Tabela1[[#This Row],[Memorização]:[Avaliação de satisfação]])</f>
        <v>4</v>
      </c>
    </row>
    <row r="5" spans="1:11">
      <c r="A5" t="s">
        <v>2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f>SUM(Tabela1[[#This Row],[Memorização]:[Avaliação de satisfação]])</f>
        <v>3</v>
      </c>
    </row>
    <row r="6" spans="1:11">
      <c r="A6" t="s">
        <v>24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f>SUM(Tabela1[[#This Row],[Memorização]:[Avaliação de satisfação]])</f>
        <v>3</v>
      </c>
    </row>
    <row r="7" spans="1:11">
      <c r="A7" s="8" t="s">
        <v>81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>SUM(Tabela1[[#This Row],[Memorização]:[Avaliação de satisfação]])</f>
        <v>1</v>
      </c>
    </row>
    <row r="8" spans="1:11">
      <c r="A8" s="8" t="s">
        <v>64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f>SUM(Tabela1[[#This Row],[Memorização]:[Avaliação de satisfação]])</f>
        <v>1</v>
      </c>
    </row>
    <row r="9" spans="1:11">
      <c r="A9" s="8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>
      <c r="A10" s="8" t="s">
        <v>65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8" t="s">
        <v>62</v>
      </c>
      <c r="B11" s="9" t="s">
        <v>63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 s="8" t="s">
        <v>64</v>
      </c>
      <c r="B12" s="9" t="s">
        <v>63</v>
      </c>
      <c r="C12" s="9"/>
      <c r="D12" s="9"/>
      <c r="E12" s="9"/>
      <c r="F12" s="9"/>
      <c r="G12" s="9"/>
      <c r="H12" s="9" t="s">
        <v>63</v>
      </c>
      <c r="I12" s="9"/>
      <c r="J12" s="9"/>
      <c r="K12" s="9"/>
    </row>
    <row r="13" spans="1:11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t="s">
        <v>28</v>
      </c>
      <c r="B14" s="9"/>
      <c r="C14" s="9"/>
      <c r="D14" s="9" t="s">
        <v>84</v>
      </c>
      <c r="E14" s="9"/>
      <c r="F14" s="9"/>
      <c r="G14" s="9"/>
      <c r="H14" s="9"/>
      <c r="I14" s="9"/>
      <c r="J14" s="9"/>
      <c r="K14" s="9"/>
    </row>
    <row r="15" spans="1:11">
      <c r="A15" s="2" t="s">
        <v>27</v>
      </c>
      <c r="B15" s="7"/>
      <c r="C15" s="7"/>
      <c r="D15" s="7" t="s">
        <v>85</v>
      </c>
      <c r="E15" s="7"/>
      <c r="F15" s="7"/>
      <c r="G15" s="7"/>
      <c r="H15" s="7"/>
      <c r="I15" s="7"/>
      <c r="J15" s="7"/>
      <c r="K15" s="1"/>
    </row>
    <row r="19" spans="1:2" ht="16.5" customHeight="1"/>
    <row r="20" spans="1:2" ht="14.25" customHeight="1"/>
    <row r="22" spans="1:2">
      <c r="A22" s="12" t="s">
        <v>11</v>
      </c>
      <c r="B22" s="13"/>
    </row>
    <row r="23" spans="1:2">
      <c r="A23" s="3" t="s">
        <v>7</v>
      </c>
      <c r="B23" s="4">
        <v>3</v>
      </c>
    </row>
    <row r="24" spans="1:2" ht="12.75" customHeight="1">
      <c r="A24" s="3" t="s">
        <v>8</v>
      </c>
      <c r="B24" s="4">
        <v>2</v>
      </c>
    </row>
    <row r="25" spans="1:2" ht="12" customHeight="1">
      <c r="A25" s="3" t="s">
        <v>9</v>
      </c>
      <c r="B25" s="4">
        <v>1</v>
      </c>
    </row>
    <row r="26" spans="1:2">
      <c r="A26" s="3" t="s">
        <v>10</v>
      </c>
      <c r="B26" s="4">
        <v>0</v>
      </c>
    </row>
    <row r="27" spans="1:2">
      <c r="A27" s="5" t="s">
        <v>25</v>
      </c>
      <c r="B27" s="6" t="s">
        <v>26</v>
      </c>
    </row>
  </sheetData>
  <mergeCells count="1">
    <mergeCell ref="A22:B22"/>
  </mergeCells>
  <pageMargins left="0.511811024" right="0.511811024" top="0.78740157499999996" bottom="0.78740157499999996" header="0.31496062000000002" footer="0.31496062000000002"/>
  <pageSetup orientation="portrait" r:id="rId1"/>
  <customProperties>
    <customPr name="DVSECTIONID" r:id="rId2"/>
  </customPropertie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B1:H13"/>
  <sheetViews>
    <sheetView topLeftCell="A7" zoomScale="90" zoomScaleNormal="90" workbookViewId="0">
      <selection activeCell="B2" sqref="B2:H11"/>
    </sheetView>
  </sheetViews>
  <sheetFormatPr defaultRowHeight="15"/>
  <cols>
    <col min="2" max="2" width="24" customWidth="1"/>
    <col min="3" max="3" width="42.7109375" customWidth="1"/>
    <col min="4" max="4" width="53.5703125" customWidth="1"/>
    <col min="5" max="5" width="65.7109375" customWidth="1"/>
    <col min="6" max="6" width="47.5703125" customWidth="1"/>
    <col min="7" max="7" width="49.42578125" customWidth="1"/>
    <col min="8" max="8" width="21.140625" customWidth="1"/>
  </cols>
  <sheetData>
    <row r="1" spans="2:8">
      <c r="D1" t="s">
        <v>46</v>
      </c>
    </row>
    <row r="2" spans="2:8">
      <c r="B2" s="1" t="s">
        <v>16</v>
      </c>
      <c r="C2" s="1" t="s">
        <v>15</v>
      </c>
      <c r="D2" s="1" t="s">
        <v>32</v>
      </c>
      <c r="E2" s="9" t="s">
        <v>68</v>
      </c>
      <c r="F2" s="1" t="s">
        <v>39</v>
      </c>
      <c r="G2" s="1" t="s">
        <v>40</v>
      </c>
      <c r="H2" s="9" t="s">
        <v>66</v>
      </c>
    </row>
    <row r="3" spans="2:8" ht="46.5" customHeight="1">
      <c r="B3" s="10" t="s">
        <v>23</v>
      </c>
      <c r="C3" s="11" t="s">
        <v>35</v>
      </c>
      <c r="D3" s="11" t="s">
        <v>33</v>
      </c>
      <c r="E3" s="11" t="s">
        <v>69</v>
      </c>
      <c r="F3" s="11" t="s">
        <v>41</v>
      </c>
      <c r="G3" s="11" t="s">
        <v>42</v>
      </c>
      <c r="H3" s="10" t="s">
        <v>43</v>
      </c>
    </row>
    <row r="4" spans="2:8" ht="75" customHeight="1">
      <c r="B4" s="10" t="s">
        <v>22</v>
      </c>
      <c r="C4" s="11" t="s">
        <v>17</v>
      </c>
      <c r="D4" s="11" t="s">
        <v>34</v>
      </c>
      <c r="E4" s="11" t="s">
        <v>70</v>
      </c>
      <c r="F4" s="11" t="s">
        <v>45</v>
      </c>
      <c r="G4" s="11" t="s">
        <v>44</v>
      </c>
      <c r="H4" s="10" t="s">
        <v>43</v>
      </c>
    </row>
    <row r="5" spans="2:8" ht="63.75" customHeight="1">
      <c r="B5" s="10" t="s">
        <v>3</v>
      </c>
      <c r="C5" s="11" t="s">
        <v>18</v>
      </c>
      <c r="D5" s="11" t="s">
        <v>74</v>
      </c>
      <c r="E5" s="11" t="s">
        <v>71</v>
      </c>
      <c r="F5" s="11" t="s">
        <v>47</v>
      </c>
      <c r="G5" s="11" t="s">
        <v>48</v>
      </c>
      <c r="H5" s="10" t="s">
        <v>43</v>
      </c>
    </row>
    <row r="6" spans="2:8" ht="60.75" customHeight="1">
      <c r="B6" s="10" t="s">
        <v>4</v>
      </c>
      <c r="C6" s="11" t="s">
        <v>49</v>
      </c>
      <c r="D6" s="11" t="s">
        <v>36</v>
      </c>
      <c r="E6" s="11" t="s">
        <v>72</v>
      </c>
      <c r="F6" s="11" t="s">
        <v>58</v>
      </c>
      <c r="G6" s="11" t="s">
        <v>59</v>
      </c>
      <c r="H6" s="10" t="s">
        <v>43</v>
      </c>
    </row>
    <row r="7" spans="2:8" ht="63" customHeight="1">
      <c r="B7" s="10" t="s">
        <v>5</v>
      </c>
      <c r="C7" s="11" t="s">
        <v>29</v>
      </c>
      <c r="D7" s="11" t="s">
        <v>37</v>
      </c>
      <c r="E7" s="11" t="s">
        <v>80</v>
      </c>
      <c r="F7" s="10" t="s">
        <v>30</v>
      </c>
      <c r="G7" s="11" t="s">
        <v>30</v>
      </c>
      <c r="H7" s="10" t="s">
        <v>43</v>
      </c>
    </row>
    <row r="8" spans="2:8" ht="80.25" customHeight="1">
      <c r="B8" s="10" t="s">
        <v>6</v>
      </c>
      <c r="C8" s="11" t="s">
        <v>20</v>
      </c>
      <c r="D8" s="11" t="s">
        <v>73</v>
      </c>
      <c r="E8" s="11" t="s">
        <v>78</v>
      </c>
      <c r="F8" s="11" t="s">
        <v>60</v>
      </c>
      <c r="G8" s="11" t="s">
        <v>50</v>
      </c>
      <c r="H8" s="10" t="s">
        <v>43</v>
      </c>
    </row>
    <row r="9" spans="2:8" ht="50.25" customHeight="1">
      <c r="B9" s="10" t="s">
        <v>12</v>
      </c>
      <c r="C9" s="11" t="s">
        <v>19</v>
      </c>
      <c r="D9" s="11" t="s">
        <v>75</v>
      </c>
      <c r="E9" s="11" t="s">
        <v>76</v>
      </c>
      <c r="F9" s="11" t="s">
        <v>57</v>
      </c>
      <c r="G9" s="11" t="s">
        <v>56</v>
      </c>
      <c r="H9" s="10" t="s">
        <v>43</v>
      </c>
    </row>
    <row r="10" spans="2:8" ht="45">
      <c r="B10" s="10" t="s">
        <v>13</v>
      </c>
      <c r="C10" s="11" t="s">
        <v>61</v>
      </c>
      <c r="D10" s="11" t="s">
        <v>52</v>
      </c>
      <c r="E10" s="11" t="s">
        <v>77</v>
      </c>
      <c r="F10" s="11" t="s">
        <v>53</v>
      </c>
      <c r="G10" s="11" t="s">
        <v>51</v>
      </c>
      <c r="H10" s="10" t="s">
        <v>43</v>
      </c>
    </row>
    <row r="11" spans="2:8" ht="72.75" customHeight="1">
      <c r="B11" s="10" t="s">
        <v>14</v>
      </c>
      <c r="C11" s="11" t="s">
        <v>21</v>
      </c>
      <c r="D11" s="11" t="s">
        <v>38</v>
      </c>
      <c r="E11" s="11" t="s">
        <v>79</v>
      </c>
      <c r="F11" s="11" t="s">
        <v>54</v>
      </c>
      <c r="G11" s="11" t="s">
        <v>55</v>
      </c>
      <c r="H11" s="10" t="s">
        <v>43</v>
      </c>
    </row>
    <row r="12" spans="2:8" ht="62.25" customHeight="1"/>
    <row r="13" spans="2:8" ht="62.25" customHeight="1"/>
  </sheetData>
  <pageMargins left="0.511811024" right="0.511811024" top="0.78740157499999996" bottom="0.78740157499999996" header="0.31496062000000002" footer="0.31496062000000002"/>
  <pageSetup orientation="portrait" r:id="rId1"/>
  <customProperties>
    <customPr name="DVSECTION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IV4"/>
  <sheetViews>
    <sheetView workbookViewId="0">
      <selection activeCell="AH2" sqref="AH2"/>
    </sheetView>
  </sheetViews>
  <sheetFormatPr defaultRowHeight="15"/>
  <sheetData>
    <row r="1" spans="1:256">
      <c r="A1" t="e">
        <f>IF(Avaliação!1:1,"AAAAABrbzwA=",0)</f>
        <v>#VALUE!</v>
      </c>
      <c r="B1" t="e">
        <f>AND(Avaliação!A1,"AAAAABrbzwE=")</f>
        <v>#VALUE!</v>
      </c>
      <c r="C1" t="e">
        <f>AND(Avaliação!B1,"AAAAABrbzwI=")</f>
        <v>#VALUE!</v>
      </c>
      <c r="D1" t="e">
        <f>AND(Avaliação!C1,"AAAAABrbzwM=")</f>
        <v>#VALUE!</v>
      </c>
      <c r="E1" t="e">
        <f>AND(Avaliação!D1,"AAAAABrbzwQ=")</f>
        <v>#VALUE!</v>
      </c>
      <c r="F1" t="e">
        <f>AND(Avaliação!E1,"AAAAABrbzwU=")</f>
        <v>#VALUE!</v>
      </c>
      <c r="G1" t="e">
        <f>AND(Avaliação!F1,"AAAAABrbzwY=")</f>
        <v>#VALUE!</v>
      </c>
      <c r="H1" t="e">
        <f>AND(Avaliação!G1,"AAAAABrbzwc=")</f>
        <v>#VALUE!</v>
      </c>
      <c r="I1" t="e">
        <f>AND(Avaliação!H1,"AAAAABrbzwg=")</f>
        <v>#VALUE!</v>
      </c>
      <c r="J1" t="e">
        <f>AND(Avaliação!I1,"AAAAABrbzwk=")</f>
        <v>#VALUE!</v>
      </c>
      <c r="K1" t="e">
        <f>AND(Avaliação!J1,"AAAAABrbzwo=")</f>
        <v>#VALUE!</v>
      </c>
      <c r="L1" t="e">
        <f>AND(Avaliação!K1,"AAAAABrbzws=")</f>
        <v>#VALUE!</v>
      </c>
      <c r="M1">
        <f>IF(Avaliação!2:2,"AAAAABrbzww=",0)</f>
        <v>0</v>
      </c>
      <c r="N1" t="e">
        <f>AND(Avaliação!A2,"AAAAABrbzw0=")</f>
        <v>#VALUE!</v>
      </c>
      <c r="O1" t="e">
        <f>AND(Avaliação!B2,"AAAAABrbzw4=")</f>
        <v>#VALUE!</v>
      </c>
      <c r="P1" t="e">
        <f>AND(Avaliação!C2,"AAAAABrbzw8=")</f>
        <v>#VALUE!</v>
      </c>
      <c r="Q1" t="e">
        <f>AND(Avaliação!D2,"AAAAABrbzxA=")</f>
        <v>#VALUE!</v>
      </c>
      <c r="R1" t="e">
        <f>AND(Avaliação!E2,"AAAAABrbzxE=")</f>
        <v>#VALUE!</v>
      </c>
      <c r="S1" t="e">
        <f>AND(Avaliação!F2,"AAAAABrbzxI=")</f>
        <v>#VALUE!</v>
      </c>
      <c r="T1" t="e">
        <f>AND(Avaliação!G2,"AAAAABrbzxM=")</f>
        <v>#VALUE!</v>
      </c>
      <c r="U1" t="e">
        <f>AND(Avaliação!H2,"AAAAABrbzxQ=")</f>
        <v>#VALUE!</v>
      </c>
      <c r="V1" t="e">
        <f>AND(Avaliação!I2,"AAAAABrbzxU=")</f>
        <v>#VALUE!</v>
      </c>
      <c r="W1" t="e">
        <f>AND(Avaliação!J2,"AAAAABrbzxY=")</f>
        <v>#VALUE!</v>
      </c>
      <c r="X1" t="e">
        <f>AND(Avaliação!K2,"AAAAABrbzxc=")</f>
        <v>#VALUE!</v>
      </c>
      <c r="Y1">
        <f>IF(Avaliação!3:3,"AAAAABrbzxg=",0)</f>
        <v>0</v>
      </c>
      <c r="Z1" t="e">
        <f>AND(Avaliação!A3,"AAAAABrbzxk=")</f>
        <v>#VALUE!</v>
      </c>
      <c r="AA1" t="e">
        <f>AND(Avaliação!B3,"AAAAABrbzxo=")</f>
        <v>#VALUE!</v>
      </c>
      <c r="AB1" t="e">
        <f>AND(Avaliação!C3,"AAAAABrbzxs=")</f>
        <v>#VALUE!</v>
      </c>
      <c r="AC1" t="e">
        <f>AND(Avaliação!D3,"AAAAABrbzxw=")</f>
        <v>#VALUE!</v>
      </c>
      <c r="AD1" t="e">
        <f>AND(Avaliação!E3,"AAAAABrbzx0=")</f>
        <v>#VALUE!</v>
      </c>
      <c r="AE1" t="e">
        <f>AND(Avaliação!F3,"AAAAABrbzx4=")</f>
        <v>#VALUE!</v>
      </c>
      <c r="AF1" t="e">
        <f>AND(Avaliação!G3,"AAAAABrbzx8=")</f>
        <v>#VALUE!</v>
      </c>
      <c r="AG1" t="e">
        <f>AND(Avaliação!H3,"AAAAABrbzyA=")</f>
        <v>#VALUE!</v>
      </c>
      <c r="AH1" t="e">
        <f>AND(Avaliação!I3,"AAAAABrbzyE=")</f>
        <v>#VALUE!</v>
      </c>
      <c r="AI1" t="e">
        <f>AND(Avaliação!J3,"AAAAABrbzyI=")</f>
        <v>#VALUE!</v>
      </c>
      <c r="AJ1" t="e">
        <f>AND(Avaliação!K3,"AAAAABrbzyM=")</f>
        <v>#VALUE!</v>
      </c>
      <c r="AK1">
        <f>IF(Avaliação!4:4,"AAAAABrbzyQ=",0)</f>
        <v>0</v>
      </c>
      <c r="AL1" t="e">
        <f>AND(Avaliação!A4,"AAAAABrbzyU=")</f>
        <v>#VALUE!</v>
      </c>
      <c r="AM1" t="e">
        <f>AND(Avaliação!B4,"AAAAABrbzyY=")</f>
        <v>#VALUE!</v>
      </c>
      <c r="AN1" t="e">
        <f>AND(Avaliação!C4,"AAAAABrbzyc=")</f>
        <v>#VALUE!</v>
      </c>
      <c r="AO1" t="e">
        <f>AND(Avaliação!D4,"AAAAABrbzyg=")</f>
        <v>#VALUE!</v>
      </c>
      <c r="AP1" t="e">
        <f>AND(Avaliação!E4,"AAAAABrbzyk=")</f>
        <v>#VALUE!</v>
      </c>
      <c r="AQ1" t="e">
        <f>AND(Avaliação!F4,"AAAAABrbzyo=")</f>
        <v>#VALUE!</v>
      </c>
      <c r="AR1" t="e">
        <f>AND(Avaliação!G4,"AAAAABrbzys=")</f>
        <v>#VALUE!</v>
      </c>
      <c r="AS1" t="e">
        <f>AND(Avaliação!H4,"AAAAABrbzyw=")</f>
        <v>#VALUE!</v>
      </c>
      <c r="AT1" t="e">
        <f>AND(Avaliação!I4,"AAAAABrbzy0=")</f>
        <v>#VALUE!</v>
      </c>
      <c r="AU1" t="e">
        <f>AND(Avaliação!J4,"AAAAABrbzy4=")</f>
        <v>#VALUE!</v>
      </c>
      <c r="AV1" t="e">
        <f>AND(Avaliação!K4,"AAAAABrbzy8=")</f>
        <v>#VALUE!</v>
      </c>
      <c r="AW1">
        <f>IF(Avaliação!5:5,"AAAAABrbzzA=",0)</f>
        <v>0</v>
      </c>
      <c r="AX1" t="e">
        <f>AND(Avaliação!A5,"AAAAABrbzzE=")</f>
        <v>#VALUE!</v>
      </c>
      <c r="AY1" t="e">
        <f>AND(Avaliação!B5,"AAAAABrbzzI=")</f>
        <v>#VALUE!</v>
      </c>
      <c r="AZ1" t="e">
        <f>AND(Avaliação!C5,"AAAAABrbzzM=")</f>
        <v>#VALUE!</v>
      </c>
      <c r="BA1" t="e">
        <f>AND(Avaliação!D5,"AAAAABrbzzQ=")</f>
        <v>#VALUE!</v>
      </c>
      <c r="BB1" t="e">
        <f>AND(Avaliação!E5,"AAAAABrbzzU=")</f>
        <v>#VALUE!</v>
      </c>
      <c r="BC1" t="e">
        <f>AND(Avaliação!F5,"AAAAABrbzzY=")</f>
        <v>#VALUE!</v>
      </c>
      <c r="BD1" t="e">
        <f>AND(Avaliação!G5,"AAAAABrbzzc=")</f>
        <v>#VALUE!</v>
      </c>
      <c r="BE1" t="e">
        <f>AND(Avaliação!H5,"AAAAABrbzzg=")</f>
        <v>#VALUE!</v>
      </c>
      <c r="BF1" t="e">
        <f>AND(Avaliação!I5,"AAAAABrbzzk=")</f>
        <v>#VALUE!</v>
      </c>
      <c r="BG1" t="e">
        <f>AND(Avaliação!J5,"AAAAABrbzzo=")</f>
        <v>#VALUE!</v>
      </c>
      <c r="BH1" t="e">
        <f>AND(Avaliação!K5,"AAAAABrbzzs=")</f>
        <v>#VALUE!</v>
      </c>
      <c r="BI1">
        <f>IF(Avaliação!6:6,"AAAAABrbzzw=",0)</f>
        <v>0</v>
      </c>
      <c r="BJ1" t="e">
        <f>AND(Avaliação!A6,"AAAAABrbzz0=")</f>
        <v>#VALUE!</v>
      </c>
      <c r="BK1" t="e">
        <f>AND(Avaliação!B6,"AAAAABrbzz4=")</f>
        <v>#VALUE!</v>
      </c>
      <c r="BL1" t="e">
        <f>AND(Avaliação!C6,"AAAAABrbzz8=")</f>
        <v>#VALUE!</v>
      </c>
      <c r="BM1" t="e">
        <f>AND(Avaliação!D6,"AAAAABrbz0A=")</f>
        <v>#VALUE!</v>
      </c>
      <c r="BN1" t="e">
        <f>AND(Avaliação!E6,"AAAAABrbz0E=")</f>
        <v>#VALUE!</v>
      </c>
      <c r="BO1" t="e">
        <f>AND(Avaliação!F6,"AAAAABrbz0I=")</f>
        <v>#VALUE!</v>
      </c>
      <c r="BP1" t="e">
        <f>AND(Avaliação!G6,"AAAAABrbz0M=")</f>
        <v>#VALUE!</v>
      </c>
      <c r="BQ1" t="e">
        <f>AND(Avaliação!H6,"AAAAABrbz0Q=")</f>
        <v>#VALUE!</v>
      </c>
      <c r="BR1" t="e">
        <f>AND(Avaliação!I6,"AAAAABrbz0U=")</f>
        <v>#VALUE!</v>
      </c>
      <c r="BS1" t="e">
        <f>AND(Avaliação!J6,"AAAAABrbz0Y=")</f>
        <v>#VALUE!</v>
      </c>
      <c r="BT1" t="e">
        <f>AND(Avaliação!K6,"AAAAABrbz0c=")</f>
        <v>#VALUE!</v>
      </c>
      <c r="BU1">
        <f>IF(Avaliação!7:7,"AAAAABrbz0g=",0)</f>
        <v>0</v>
      </c>
      <c r="BV1" t="e">
        <f>AND(Avaliação!A7,"AAAAABrbz0k=")</f>
        <v>#VALUE!</v>
      </c>
      <c r="BW1" t="e">
        <f>AND(Avaliação!B7,"AAAAABrbz0o=")</f>
        <v>#VALUE!</v>
      </c>
      <c r="BX1" t="e">
        <f>AND(Avaliação!C7,"AAAAABrbz0s=")</f>
        <v>#VALUE!</v>
      </c>
      <c r="BY1" t="e">
        <f>AND(Avaliação!D7,"AAAAABrbz0w=")</f>
        <v>#VALUE!</v>
      </c>
      <c r="BZ1" t="e">
        <f>AND(Avaliação!E7,"AAAAABrbz00=")</f>
        <v>#VALUE!</v>
      </c>
      <c r="CA1" t="e">
        <f>AND(Avaliação!F7,"AAAAABrbz04=")</f>
        <v>#VALUE!</v>
      </c>
      <c r="CB1" t="e">
        <f>AND(Avaliação!G7,"AAAAABrbz08=")</f>
        <v>#VALUE!</v>
      </c>
      <c r="CC1" t="e">
        <f>AND(Avaliação!H7,"AAAAABrbz1A=")</f>
        <v>#VALUE!</v>
      </c>
      <c r="CD1" t="e">
        <f>AND(Avaliação!I7,"AAAAABrbz1E=")</f>
        <v>#VALUE!</v>
      </c>
      <c r="CE1" t="e">
        <f>AND(Avaliação!J7,"AAAAABrbz1I=")</f>
        <v>#VALUE!</v>
      </c>
      <c r="CF1" t="e">
        <f>AND(Avaliação!K7,"AAAAABrbz1M=")</f>
        <v>#VALUE!</v>
      </c>
      <c r="CG1">
        <f>IF(Avaliação!8:8,"AAAAABrbz1Q=",0)</f>
        <v>0</v>
      </c>
      <c r="CH1" t="e">
        <f>AND(Avaliação!A8,"AAAAABrbz1U=")</f>
        <v>#VALUE!</v>
      </c>
      <c r="CI1" t="e">
        <f>AND(Avaliação!B8,"AAAAABrbz1Y=")</f>
        <v>#VALUE!</v>
      </c>
      <c r="CJ1" t="e">
        <f>AND(Avaliação!C8,"AAAAABrbz1c=")</f>
        <v>#VALUE!</v>
      </c>
      <c r="CK1" t="e">
        <f>AND(Avaliação!D8,"AAAAABrbz1g=")</f>
        <v>#VALUE!</v>
      </c>
      <c r="CL1" t="e">
        <f>AND(Avaliação!E8,"AAAAABrbz1k=")</f>
        <v>#VALUE!</v>
      </c>
      <c r="CM1" t="e">
        <f>AND(Avaliação!F8,"AAAAABrbz1o=")</f>
        <v>#VALUE!</v>
      </c>
      <c r="CN1" t="e">
        <f>AND(Avaliação!G8,"AAAAABrbz1s=")</f>
        <v>#VALUE!</v>
      </c>
      <c r="CO1" t="e">
        <f>AND(Avaliação!H8,"AAAAABrbz1w=")</f>
        <v>#VALUE!</v>
      </c>
      <c r="CP1" t="e">
        <f>AND(Avaliação!I8,"AAAAABrbz10=")</f>
        <v>#VALUE!</v>
      </c>
      <c r="CQ1" t="e">
        <f>AND(Avaliação!J8,"AAAAABrbz14=")</f>
        <v>#VALUE!</v>
      </c>
      <c r="CR1" t="e">
        <f>AND(Avaliação!K8,"AAAAABrbz18=")</f>
        <v>#VALUE!</v>
      </c>
      <c r="CS1">
        <f>IF(Avaliação!9:9,"AAAAABrbz2A=",0)</f>
        <v>0</v>
      </c>
      <c r="CT1" t="e">
        <f>AND(Avaliação!A9,"AAAAABrbz2E=")</f>
        <v>#VALUE!</v>
      </c>
      <c r="CU1" t="e">
        <f>AND(Avaliação!B9,"AAAAABrbz2I=")</f>
        <v>#VALUE!</v>
      </c>
      <c r="CV1" t="e">
        <f>AND(Avaliação!C9,"AAAAABrbz2M=")</f>
        <v>#VALUE!</v>
      </c>
      <c r="CW1" t="e">
        <f>AND(Avaliação!D9,"AAAAABrbz2Q=")</f>
        <v>#VALUE!</v>
      </c>
      <c r="CX1" t="e">
        <f>AND(Avaliação!E9,"AAAAABrbz2U=")</f>
        <v>#VALUE!</v>
      </c>
      <c r="CY1" t="e">
        <f>AND(Avaliação!F9,"AAAAABrbz2Y=")</f>
        <v>#VALUE!</v>
      </c>
      <c r="CZ1" t="e">
        <f>AND(Avaliação!G9,"AAAAABrbz2c=")</f>
        <v>#VALUE!</v>
      </c>
      <c r="DA1" t="e">
        <f>AND(Avaliação!H9,"AAAAABrbz2g=")</f>
        <v>#VALUE!</v>
      </c>
      <c r="DB1" t="e">
        <f>AND(Avaliação!I9,"AAAAABrbz2k=")</f>
        <v>#VALUE!</v>
      </c>
      <c r="DC1" t="e">
        <f>AND(Avaliação!J9,"AAAAABrbz2o=")</f>
        <v>#VALUE!</v>
      </c>
      <c r="DD1" t="e">
        <f>AND(Avaliação!K9,"AAAAABrbz2s=")</f>
        <v>#VALUE!</v>
      </c>
      <c r="DE1">
        <f>IF(Avaliação!10:10,"AAAAABrbz2w=",0)</f>
        <v>0</v>
      </c>
      <c r="DF1" t="e">
        <f>AND(Avaliação!A10,"AAAAABrbz20=")</f>
        <v>#VALUE!</v>
      </c>
      <c r="DG1" t="e">
        <f>AND(Avaliação!B10,"AAAAABrbz24=")</f>
        <v>#VALUE!</v>
      </c>
      <c r="DH1" t="e">
        <f>AND(Avaliação!C10,"AAAAABrbz28=")</f>
        <v>#VALUE!</v>
      </c>
      <c r="DI1" t="e">
        <f>AND(Avaliação!D10,"AAAAABrbz3A=")</f>
        <v>#VALUE!</v>
      </c>
      <c r="DJ1" t="e">
        <f>AND(Avaliação!E10,"AAAAABrbz3E=")</f>
        <v>#VALUE!</v>
      </c>
      <c r="DK1" t="e">
        <f>AND(Avaliação!F10,"AAAAABrbz3I=")</f>
        <v>#VALUE!</v>
      </c>
      <c r="DL1" t="e">
        <f>AND(Avaliação!G10,"AAAAABrbz3M=")</f>
        <v>#VALUE!</v>
      </c>
      <c r="DM1" t="e">
        <f>AND(Avaliação!H10,"AAAAABrbz3Q=")</f>
        <v>#VALUE!</v>
      </c>
      <c r="DN1" t="e">
        <f>AND(Avaliação!I10,"AAAAABrbz3U=")</f>
        <v>#VALUE!</v>
      </c>
      <c r="DO1" t="e">
        <f>AND(Avaliação!J10,"AAAAABrbz3Y=")</f>
        <v>#VALUE!</v>
      </c>
      <c r="DP1" t="e">
        <f>AND(Avaliação!K10,"AAAAABrbz3c=")</f>
        <v>#VALUE!</v>
      </c>
      <c r="DQ1">
        <f>IF(Avaliação!11:11,"AAAAABrbz3g=",0)</f>
        <v>0</v>
      </c>
      <c r="DR1" t="e">
        <f>AND(Avaliação!A11,"AAAAABrbz3k=")</f>
        <v>#VALUE!</v>
      </c>
      <c r="DS1" t="e">
        <f>AND(Avaliação!B11,"AAAAABrbz3o=")</f>
        <v>#VALUE!</v>
      </c>
      <c r="DT1" t="e">
        <f>AND(Avaliação!C11,"AAAAABrbz3s=")</f>
        <v>#VALUE!</v>
      </c>
      <c r="DU1" t="e">
        <f>AND(Avaliação!D11,"AAAAABrbz3w=")</f>
        <v>#VALUE!</v>
      </c>
      <c r="DV1" t="e">
        <f>AND(Avaliação!E11,"AAAAABrbz30=")</f>
        <v>#VALUE!</v>
      </c>
      <c r="DW1" t="e">
        <f>AND(Avaliação!F11,"AAAAABrbz34=")</f>
        <v>#VALUE!</v>
      </c>
      <c r="DX1" t="e">
        <f>AND(Avaliação!G11,"AAAAABrbz38=")</f>
        <v>#VALUE!</v>
      </c>
      <c r="DY1" t="e">
        <f>AND(Avaliação!H11,"AAAAABrbz4A=")</f>
        <v>#VALUE!</v>
      </c>
      <c r="DZ1" t="e">
        <f>AND(Avaliação!I11,"AAAAABrbz4E=")</f>
        <v>#VALUE!</v>
      </c>
      <c r="EA1" t="e">
        <f>AND(Avaliação!J11,"AAAAABrbz4I=")</f>
        <v>#VALUE!</v>
      </c>
      <c r="EB1" t="e">
        <f>AND(Avaliação!K11,"AAAAABrbz4M=")</f>
        <v>#VALUE!</v>
      </c>
      <c r="EC1">
        <f>IF(Avaliação!12:12,"AAAAABrbz4Q=",0)</f>
        <v>0</v>
      </c>
      <c r="ED1" t="e">
        <f>AND(Avaliação!A12,"AAAAABrbz4U=")</f>
        <v>#VALUE!</v>
      </c>
      <c r="EE1" t="e">
        <f>AND(Avaliação!B12,"AAAAABrbz4Y=")</f>
        <v>#VALUE!</v>
      </c>
      <c r="EF1" t="e">
        <f>AND(Avaliação!C12,"AAAAABrbz4c=")</f>
        <v>#VALUE!</v>
      </c>
      <c r="EG1" t="e">
        <f>AND(Avaliação!D12,"AAAAABrbz4g=")</f>
        <v>#VALUE!</v>
      </c>
      <c r="EH1" t="e">
        <f>AND(Avaliação!E12,"AAAAABrbz4k=")</f>
        <v>#VALUE!</v>
      </c>
      <c r="EI1" t="e">
        <f>AND(Avaliação!F12,"AAAAABrbz4o=")</f>
        <v>#VALUE!</v>
      </c>
      <c r="EJ1" t="e">
        <f>AND(Avaliação!G12,"AAAAABrbz4s=")</f>
        <v>#VALUE!</v>
      </c>
      <c r="EK1" t="e">
        <f>AND(Avaliação!H12,"AAAAABrbz4w=")</f>
        <v>#VALUE!</v>
      </c>
      <c r="EL1" t="e">
        <f>AND(Avaliação!I12,"AAAAABrbz40=")</f>
        <v>#VALUE!</v>
      </c>
      <c r="EM1" t="e">
        <f>AND(Avaliação!J12,"AAAAABrbz44=")</f>
        <v>#VALUE!</v>
      </c>
      <c r="EN1" t="e">
        <f>AND(Avaliação!K12,"AAAAABrbz48=")</f>
        <v>#VALUE!</v>
      </c>
      <c r="EO1">
        <f>IF(Avaliação!13:13,"AAAAABrbz5A=",0)</f>
        <v>0</v>
      </c>
      <c r="EP1" t="e">
        <f>AND(Avaliação!A13,"AAAAABrbz5E=")</f>
        <v>#VALUE!</v>
      </c>
      <c r="EQ1" t="e">
        <f>AND(Avaliação!B13,"AAAAABrbz5I=")</f>
        <v>#VALUE!</v>
      </c>
      <c r="ER1">
        <f>IF(Avaliação!14:14,"AAAAABrbz5M=",0)</f>
        <v>0</v>
      </c>
      <c r="ES1" t="e">
        <f>AND(Avaliação!A14,"AAAAABrbz5Q=")</f>
        <v>#VALUE!</v>
      </c>
      <c r="ET1" t="e">
        <f>AND(Avaliação!B14,"AAAAABrbz5U=")</f>
        <v>#VALUE!</v>
      </c>
      <c r="EU1">
        <f>IF(Avaliação!15:15,"AAAAABrbz5Y=",0)</f>
        <v>0</v>
      </c>
      <c r="EV1" t="e">
        <f>AND(Avaliação!A15,"AAAAABrbz5c=")</f>
        <v>#VALUE!</v>
      </c>
      <c r="EW1" t="e">
        <f>AND(Avaliação!B15,"AAAAABrbz5g=")</f>
        <v>#VALUE!</v>
      </c>
      <c r="EX1">
        <f>IF(Avaliação!16:16,"AAAAABrbz5k=",0)</f>
        <v>0</v>
      </c>
      <c r="EY1" t="e">
        <f>AND(Avaliação!A16,"AAAAABrbz5o=")</f>
        <v>#VALUE!</v>
      </c>
      <c r="EZ1" t="e">
        <f>AND(Avaliação!B16,"AAAAABrbz5s=")</f>
        <v>#VALUE!</v>
      </c>
      <c r="FA1">
        <f>IF(Avaliação!17:17,"AAAAABrbz5w=",0)</f>
        <v>0</v>
      </c>
      <c r="FB1" t="e">
        <f>AND(Avaliação!A17,"AAAAABrbz50=")</f>
        <v>#VALUE!</v>
      </c>
      <c r="FC1" t="e">
        <f>AND(Avaliação!B17,"AAAAABrbz54=")</f>
        <v>#VALUE!</v>
      </c>
      <c r="FD1">
        <f>IF(Avaliação!18:18,"AAAAABrbz58=",0)</f>
        <v>0</v>
      </c>
      <c r="FE1" t="e">
        <f>AND(Avaliação!A18,"AAAAABrbz6A=")</f>
        <v>#VALUE!</v>
      </c>
      <c r="FF1" t="e">
        <f>AND(Avaliação!B18,"AAAAABrbz6E=")</f>
        <v>#VALUE!</v>
      </c>
      <c r="FG1">
        <f>IF(Avaliação!19:19,"AAAAABrbz6I=",0)</f>
        <v>0</v>
      </c>
      <c r="FH1" t="e">
        <f>AND(Avaliação!A19,"AAAAABrbz6M=")</f>
        <v>#VALUE!</v>
      </c>
      <c r="FI1" t="e">
        <f>AND(Avaliação!B19,"AAAAABrbz6Q=")</f>
        <v>#VALUE!</v>
      </c>
      <c r="FJ1">
        <f>IF(Avaliação!20:20,"AAAAABrbz6U=",0)</f>
        <v>0</v>
      </c>
      <c r="FK1" t="e">
        <f>AND(Avaliação!A20,"AAAAABrbz6Y=")</f>
        <v>#VALUE!</v>
      </c>
      <c r="FL1" t="e">
        <f>AND(Avaliação!B20,"AAAAABrbz6c=")</f>
        <v>#VALUE!</v>
      </c>
      <c r="FM1">
        <f>IF(Avaliação!21:21,"AAAAABrbz6g=",0)</f>
        <v>0</v>
      </c>
      <c r="FN1" t="e">
        <f>AND(Avaliação!A21,"AAAAABrbz6k=")</f>
        <v>#VALUE!</v>
      </c>
      <c r="FO1" t="e">
        <f>AND(Avaliação!B21,"AAAAABrbz6o=")</f>
        <v>#VALUE!</v>
      </c>
      <c r="FP1">
        <f>IF(Avaliação!22:22,"AAAAABrbz6s=",0)</f>
        <v>0</v>
      </c>
      <c r="FQ1" t="e">
        <f>AND(Avaliação!A22,"AAAAABrbz6w=")</f>
        <v>#VALUE!</v>
      </c>
      <c r="FR1" t="e">
        <f>AND(Avaliação!B22,"AAAAABrbz60=")</f>
        <v>#VALUE!</v>
      </c>
      <c r="FS1">
        <f>IF(Avaliação!23:23,"AAAAABrbz64=",0)</f>
        <v>0</v>
      </c>
      <c r="FT1" t="e">
        <f>AND(Avaliação!A23,"AAAAABrbz68=")</f>
        <v>#VALUE!</v>
      </c>
      <c r="FU1" t="e">
        <f>AND(Avaliação!B23,"AAAAABrbz7A=")</f>
        <v>#VALUE!</v>
      </c>
      <c r="FV1">
        <f>IF(Avaliação!24:24,"AAAAABrbz7E=",0)</f>
        <v>0</v>
      </c>
      <c r="FW1" t="e">
        <f>AND(Avaliação!A24,"AAAAABrbz7I=")</f>
        <v>#VALUE!</v>
      </c>
      <c r="FX1" t="e">
        <f>AND(Avaliação!B24,"AAAAABrbz7M=")</f>
        <v>#VALUE!</v>
      </c>
      <c r="FY1">
        <f>IF(Avaliação!25:25,"AAAAABrbz7Q=",0)</f>
        <v>0</v>
      </c>
      <c r="FZ1" t="e">
        <f>AND(Avaliação!A25,"AAAAABrbz7U=")</f>
        <v>#VALUE!</v>
      </c>
      <c r="GA1" t="e">
        <f>AND(Avaliação!B25,"AAAAABrbz7Y=")</f>
        <v>#VALUE!</v>
      </c>
      <c r="GB1">
        <f>IF(Avaliação!26:26,"AAAAABrbz7c=",0)</f>
        <v>0</v>
      </c>
      <c r="GC1" t="e">
        <f>AND(Avaliação!A26,"AAAAABrbz7g=")</f>
        <v>#VALUE!</v>
      </c>
      <c r="GD1" t="e">
        <f>AND(Avaliação!B26,"AAAAABrbz7k=")</f>
        <v>#VALUE!</v>
      </c>
      <c r="GE1">
        <f>IF(Avaliação!27:27,"AAAAABrbz7o=",0)</f>
        <v>0</v>
      </c>
      <c r="GF1" t="e">
        <f>AND(Avaliação!A27,"AAAAABrbz7s=")</f>
        <v>#VALUE!</v>
      </c>
      <c r="GG1" t="e">
        <f>AND(Avaliação!B27,"AAAAABrbz7w=")</f>
        <v>#VALUE!</v>
      </c>
      <c r="GH1" t="e">
        <f>IF(Avaliação!A:A,"AAAAABrbz70=",0)</f>
        <v>#VALUE!</v>
      </c>
      <c r="GI1" t="e">
        <f>IF(Avaliação!B:B,"AAAAABrbz74=",0)</f>
        <v>#VALUE!</v>
      </c>
      <c r="GJ1" t="e">
        <f>IF(Avaliação!C:C,"AAAAABrbz78=",0)</f>
        <v>#VALUE!</v>
      </c>
      <c r="GK1" t="e">
        <f>IF(Avaliação!D:D,"AAAAABrbz8A=",0)</f>
        <v>#VALUE!</v>
      </c>
      <c r="GL1" t="e">
        <f>IF(Avaliação!E:E,"AAAAABrbz8E=",0)</f>
        <v>#VALUE!</v>
      </c>
      <c r="GM1" t="e">
        <f>IF(Avaliação!F:F,"AAAAABrbz8I=",0)</f>
        <v>#VALUE!</v>
      </c>
      <c r="GN1" t="e">
        <f>IF(Avaliação!G:G,"AAAAABrbz8M=",0)</f>
        <v>#VALUE!</v>
      </c>
      <c r="GO1" t="e">
        <f>IF(Avaliação!H:H,"AAAAABrbz8Q=",0)</f>
        <v>#VALUE!</v>
      </c>
      <c r="GP1" t="e">
        <f>IF(Avaliação!I:I,"AAAAABrbz8U=",0)</f>
        <v>#VALUE!</v>
      </c>
      <c r="GQ1" t="e">
        <f>IF(Avaliação!J:J,"AAAAABrbz8Y=",0)</f>
        <v>#VALUE!</v>
      </c>
      <c r="GR1" t="e">
        <f>IF(Avaliação!K:K,"AAAAABrbz8c=",0)</f>
        <v>#VALUE!</v>
      </c>
      <c r="GS1">
        <f>IF(Resumos!1:1,"AAAAABrbz8g=",0)</f>
        <v>0</v>
      </c>
      <c r="GT1" t="e">
        <f>AND(Resumos!B1,"AAAAABrbz8k=")</f>
        <v>#VALUE!</v>
      </c>
      <c r="GU1" t="e">
        <f>AND(Resumos!C1,"AAAAABrbz8o=")</f>
        <v>#VALUE!</v>
      </c>
      <c r="GV1" t="e">
        <f>AND(Resumos!D1,"AAAAABrbz8s=")</f>
        <v>#VALUE!</v>
      </c>
      <c r="GW1" t="e">
        <f>AND(Resumos!E1,"AAAAABrbz8w=")</f>
        <v>#VALUE!</v>
      </c>
      <c r="GX1" t="e">
        <f>AND(Resumos!F1,"AAAAABrbz80=")</f>
        <v>#VALUE!</v>
      </c>
      <c r="GY1" t="e">
        <f>AND(Resumos!G1,"AAAAABrbz84=")</f>
        <v>#VALUE!</v>
      </c>
      <c r="GZ1">
        <f>IF(Resumos!2:2,"AAAAABrbz88=",0)</f>
        <v>0</v>
      </c>
      <c r="HA1" t="e">
        <f>AND(Resumos!B2,"AAAAABrbz9A=")</f>
        <v>#VALUE!</v>
      </c>
      <c r="HB1" t="e">
        <f>AND(Resumos!C2,"AAAAABrbz9E=")</f>
        <v>#VALUE!</v>
      </c>
      <c r="HC1" t="e">
        <f>AND(Resumos!D2,"AAAAABrbz9I=")</f>
        <v>#VALUE!</v>
      </c>
      <c r="HD1" t="e">
        <f>AND(Resumos!F2,"AAAAABrbz9M=")</f>
        <v>#VALUE!</v>
      </c>
      <c r="HE1" t="e">
        <f>AND(Resumos!G2,"AAAAABrbz9Q=")</f>
        <v>#VALUE!</v>
      </c>
      <c r="HF1" t="e">
        <f>AND(Resumos!H2,"AAAAABrbz9U=")</f>
        <v>#VALUE!</v>
      </c>
      <c r="HG1">
        <f>IF(Resumos!3:3,"AAAAABrbz9Y=",0)</f>
        <v>0</v>
      </c>
      <c r="HH1" t="e">
        <f>AND(Resumos!B3,"AAAAABrbz9c=")</f>
        <v>#VALUE!</v>
      </c>
      <c r="HI1" t="e">
        <f>AND(Resumos!C3,"AAAAABrbz9g=")</f>
        <v>#VALUE!</v>
      </c>
      <c r="HJ1" t="e">
        <f>AND(Resumos!D3,"AAAAABrbz9k=")</f>
        <v>#VALUE!</v>
      </c>
      <c r="HK1" t="e">
        <f>AND(Resumos!F3,"AAAAABrbz9o=")</f>
        <v>#VALUE!</v>
      </c>
      <c r="HL1" t="e">
        <f>AND(Resumos!G3,"AAAAABrbz9s=")</f>
        <v>#VALUE!</v>
      </c>
      <c r="HM1" t="e">
        <f>AND(Resumos!H3,"AAAAABrbz9w=")</f>
        <v>#VALUE!</v>
      </c>
      <c r="HN1">
        <f>IF(Resumos!4:4,"AAAAABrbz90=",0)</f>
        <v>0</v>
      </c>
      <c r="HO1" t="e">
        <f>AND(Resumos!B4,"AAAAABrbz94=")</f>
        <v>#VALUE!</v>
      </c>
      <c r="HP1" t="e">
        <f>AND(Resumos!C4,"AAAAABrbz98=")</f>
        <v>#VALUE!</v>
      </c>
      <c r="HQ1" t="e">
        <f>AND(Resumos!D4,"AAAAABrbz+A=")</f>
        <v>#VALUE!</v>
      </c>
      <c r="HR1" t="e">
        <f>AND(Resumos!F4,"AAAAABrbz+E=")</f>
        <v>#VALUE!</v>
      </c>
      <c r="HS1" t="e">
        <f>AND(Resumos!G4,"AAAAABrbz+I=")</f>
        <v>#VALUE!</v>
      </c>
      <c r="HT1" t="e">
        <f>AND(Resumos!H4,"AAAAABrbz+M=")</f>
        <v>#VALUE!</v>
      </c>
      <c r="HU1">
        <f>IF(Resumos!5:5,"AAAAABrbz+Q=",0)</f>
        <v>0</v>
      </c>
      <c r="HV1" t="e">
        <f>AND(Resumos!B5,"AAAAABrbz+U=")</f>
        <v>#VALUE!</v>
      </c>
      <c r="HW1" t="e">
        <f>AND(Resumos!C5,"AAAAABrbz+Y=")</f>
        <v>#VALUE!</v>
      </c>
      <c r="HX1" t="e">
        <f>AND(Resumos!D5,"AAAAABrbz+c=")</f>
        <v>#VALUE!</v>
      </c>
      <c r="HY1" t="e">
        <f>AND(Resumos!F5,"AAAAABrbz+g=")</f>
        <v>#VALUE!</v>
      </c>
      <c r="HZ1" t="e">
        <f>AND(Resumos!G5,"AAAAABrbz+k=")</f>
        <v>#VALUE!</v>
      </c>
      <c r="IA1" t="e">
        <f>AND(Resumos!H5,"AAAAABrbz+o=")</f>
        <v>#VALUE!</v>
      </c>
      <c r="IB1">
        <f>IF(Resumos!6:6,"AAAAABrbz+s=",0)</f>
        <v>0</v>
      </c>
      <c r="IC1" t="e">
        <f>AND(Resumos!B6,"AAAAABrbz+w=")</f>
        <v>#VALUE!</v>
      </c>
      <c r="ID1" t="e">
        <f>AND(Resumos!C6,"AAAAABrbz+0=")</f>
        <v>#VALUE!</v>
      </c>
      <c r="IE1" t="e">
        <f>AND(Resumos!D6,"AAAAABrbz+4=")</f>
        <v>#VALUE!</v>
      </c>
      <c r="IF1" t="e">
        <f>AND(Resumos!F6,"AAAAABrbz+8=")</f>
        <v>#VALUE!</v>
      </c>
      <c r="IG1" t="e">
        <f>AND(Resumos!G6,"AAAAABrbz/A=")</f>
        <v>#VALUE!</v>
      </c>
      <c r="IH1" t="e">
        <f>AND(Resumos!H6,"AAAAABrbz/E=")</f>
        <v>#VALUE!</v>
      </c>
      <c r="II1">
        <f>IF(Resumos!7:7,"AAAAABrbz/I=",0)</f>
        <v>0</v>
      </c>
      <c r="IJ1" t="e">
        <f>AND(Resumos!B7,"AAAAABrbz/M=")</f>
        <v>#VALUE!</v>
      </c>
      <c r="IK1" t="e">
        <f>AND(Resumos!C7,"AAAAABrbz/Q=")</f>
        <v>#VALUE!</v>
      </c>
      <c r="IL1" t="e">
        <f>AND(Resumos!D7,"AAAAABrbz/U=")</f>
        <v>#VALUE!</v>
      </c>
      <c r="IM1" t="e">
        <f>AND(Resumos!F7,"AAAAABrbz/Y=")</f>
        <v>#VALUE!</v>
      </c>
      <c r="IN1" t="e">
        <f>AND(Resumos!G7,"AAAAABrbz/c=")</f>
        <v>#VALUE!</v>
      </c>
      <c r="IO1" t="e">
        <f>AND(Resumos!H7,"AAAAABrbz/g=")</f>
        <v>#VALUE!</v>
      </c>
      <c r="IP1">
        <f>IF(Resumos!8:8,"AAAAABrbz/k=",0)</f>
        <v>0</v>
      </c>
      <c r="IQ1" t="e">
        <f>AND(Resumos!B8,"AAAAABrbz/o=")</f>
        <v>#VALUE!</v>
      </c>
      <c r="IR1" t="e">
        <f>AND(Resumos!C8,"AAAAABrbz/s=")</f>
        <v>#VALUE!</v>
      </c>
      <c r="IS1" t="e">
        <f>AND(Resumos!D8,"AAAAABrbz/w=")</f>
        <v>#VALUE!</v>
      </c>
      <c r="IT1" t="e">
        <f>AND(Resumos!F8,"AAAAABrbz/0=")</f>
        <v>#VALUE!</v>
      </c>
      <c r="IU1" t="e">
        <f>AND(Resumos!G8,"AAAAABrbz/4=")</f>
        <v>#VALUE!</v>
      </c>
      <c r="IV1" t="e">
        <f>AND(Resumos!H8,"AAAAABrbz/8=")</f>
        <v>#VALUE!</v>
      </c>
    </row>
    <row r="2" spans="1:256">
      <c r="A2">
        <f>IF(Resumos!9:9,"AAAAAH/f/wA=",0)</f>
        <v>0</v>
      </c>
      <c r="B2" t="e">
        <f>AND(Resumos!B9,"AAAAAH/f/wE=")</f>
        <v>#VALUE!</v>
      </c>
      <c r="C2" t="e">
        <f>AND(Resumos!C9,"AAAAAH/f/wI=")</f>
        <v>#VALUE!</v>
      </c>
      <c r="D2" t="e">
        <f>AND(Resumos!D9,"AAAAAH/f/wM=")</f>
        <v>#VALUE!</v>
      </c>
      <c r="E2" t="e">
        <f>AND(Resumos!F9,"AAAAAH/f/wQ=")</f>
        <v>#VALUE!</v>
      </c>
      <c r="F2" t="e">
        <f>AND(Resumos!G9,"AAAAAH/f/wU=")</f>
        <v>#VALUE!</v>
      </c>
      <c r="G2" t="e">
        <f>AND(Resumos!H9,"AAAAAH/f/wY=")</f>
        <v>#VALUE!</v>
      </c>
      <c r="H2" t="e">
        <f>IF(Resumos!10:10,"AAAAAH/f/wc=",0)</f>
        <v>#VALUE!</v>
      </c>
      <c r="I2" t="e">
        <f>AND(Resumos!B10,"AAAAAH/f/wg=")</f>
        <v>#VALUE!</v>
      </c>
      <c r="J2" t="e">
        <f>AND(Resumos!C10,"AAAAAH/f/wk=")</f>
        <v>#VALUE!</v>
      </c>
      <c r="K2" t="e">
        <f>AND(Resumos!D10,"AAAAAH/f/wo=")</f>
        <v>#VALUE!</v>
      </c>
      <c r="L2" t="e">
        <f>AND(Resumos!F10,"AAAAAH/f/ws=")</f>
        <v>#VALUE!</v>
      </c>
      <c r="M2" t="e">
        <f>AND(Resumos!G10,"AAAAAH/f/ww=")</f>
        <v>#VALUE!</v>
      </c>
      <c r="N2" t="e">
        <f>AND(Resumos!H10,"AAAAAH/f/w0=")</f>
        <v>#VALUE!</v>
      </c>
      <c r="O2">
        <f>IF(Resumos!11:11,"AAAAAH/f/w4=",0)</f>
        <v>0</v>
      </c>
      <c r="P2" t="e">
        <f>AND(Resumos!B11,"AAAAAH/f/w8=")</f>
        <v>#VALUE!</v>
      </c>
      <c r="Q2" t="e">
        <f>AND(Resumos!C11,"AAAAAH/f/xA=")</f>
        <v>#VALUE!</v>
      </c>
      <c r="R2" t="e">
        <f>AND(Resumos!D11,"AAAAAH/f/xE=")</f>
        <v>#VALUE!</v>
      </c>
      <c r="S2" t="e">
        <f>AND(Resumos!F11,"AAAAAH/f/xI=")</f>
        <v>#VALUE!</v>
      </c>
      <c r="T2" t="e">
        <f>AND(Resumos!G11,"AAAAAH/f/xM=")</f>
        <v>#VALUE!</v>
      </c>
      <c r="U2" t="e">
        <f>AND(Resumos!H11,"AAAAAH/f/xQ=")</f>
        <v>#VALUE!</v>
      </c>
      <c r="V2">
        <f>IF(Resumos!12:12,"AAAAAH/f/xU=",0)</f>
        <v>0</v>
      </c>
      <c r="W2">
        <f>IF(Resumos!13:13,"AAAAAH/f/xY=",0)</f>
        <v>0</v>
      </c>
      <c r="X2">
        <f>IF(Resumos!A:A,"AAAAAH/f/xc=",0)</f>
        <v>0</v>
      </c>
      <c r="Y2" t="e">
        <f>IF(Resumos!B:B,"AAAAAH/f/xg=",0)</f>
        <v>#VALUE!</v>
      </c>
      <c r="Z2" t="e">
        <f>IF(Resumos!C:C,"AAAAAH/f/xk=",0)</f>
        <v>#VALUE!</v>
      </c>
      <c r="AA2" t="e">
        <f>IF(Resumos!D:D,"AAAAAH/f/xo=",0)</f>
        <v>#VALUE!</v>
      </c>
      <c r="AB2" t="e">
        <f>IF(Resumos!E:E,"AAAAAH/f/xs=",0)</f>
        <v>#VALUE!</v>
      </c>
      <c r="AC2" t="e">
        <f>IF(Resumos!F:F,"AAAAAH/f/xw=",0)</f>
        <v>#VALUE!</v>
      </c>
      <c r="AD2" t="e">
        <f>IF(Resumos!G:G,"AAAAAH/f/x0=",0)</f>
        <v>#VALUE!</v>
      </c>
      <c r="AE2">
        <f>IF(Plan3!1:1,"AAAAAH/f/x4=",0)</f>
        <v>0</v>
      </c>
      <c r="AF2" t="e">
        <f>AND(Plan3!A1,"AAAAAH/f/x8=")</f>
        <v>#VALUE!</v>
      </c>
      <c r="AG2">
        <f>IF(Plan3!A:A,"AAAAAH/f/yA=",0)</f>
        <v>0</v>
      </c>
      <c r="AH2" s="8" t="s">
        <v>67</v>
      </c>
    </row>
    <row r="3" spans="1:256">
      <c r="A3" t="e">
        <f>AND(Resumos!H1,"AAAAAE//+wA=")</f>
        <v>#VALUE!</v>
      </c>
      <c r="B3" t="e">
        <f>AND(Resumos!E2,"AAAAAE//+wE=")</f>
        <v>#VALUE!</v>
      </c>
      <c r="C3" t="e">
        <f>AND(Resumos!E3,"AAAAAE//+wI=")</f>
        <v>#VALUE!</v>
      </c>
      <c r="D3" t="e">
        <f>AND(Resumos!E4,"AAAAAE//+wM=")</f>
        <v>#VALUE!</v>
      </c>
      <c r="E3" t="e">
        <f>AND(Resumos!E5,"AAAAAE//+wQ=")</f>
        <v>#VALUE!</v>
      </c>
      <c r="F3" t="e">
        <f>AND(Resumos!E6,"AAAAAE//+wU=")</f>
        <v>#VALUE!</v>
      </c>
      <c r="G3" t="e">
        <f>AND(Resumos!E7,"AAAAAE//+wY=")</f>
        <v>#VALUE!</v>
      </c>
      <c r="H3" t="e">
        <f>AND(Resumos!E8,"AAAAAE//+wc=")</f>
        <v>#VALUE!</v>
      </c>
      <c r="I3" t="e">
        <f>AND(Resumos!E9,"AAAAAE//+wg=")</f>
        <v>#VALUE!</v>
      </c>
      <c r="J3" t="e">
        <f>AND(Resumos!E10,"AAAAAE//+wk=")</f>
        <v>#VALUE!</v>
      </c>
      <c r="K3" t="e">
        <f>AND(Resumos!E11,"AAAAAE//+wo=")</f>
        <v>#VALUE!</v>
      </c>
      <c r="L3" t="e">
        <f>IF(Resumos!H:H,"AAAAAE//+ws=",0)</f>
        <v>#VALUE!</v>
      </c>
    </row>
    <row r="4" spans="1:256">
      <c r="A4" t="e">
        <f>AND(Avaliação!C13,"AAAAAHf+7wA=")</f>
        <v>#VALUE!</v>
      </c>
      <c r="B4" t="e">
        <f>AND(Avaliação!D13,"AAAAAHf+7wE=")</f>
        <v>#VALUE!</v>
      </c>
      <c r="C4" t="e">
        <f>AND(Avaliação!E13,"AAAAAHf+7wI=")</f>
        <v>#VALUE!</v>
      </c>
      <c r="D4" t="e">
        <f>AND(Avaliação!F13,"AAAAAHf+7wM=")</f>
        <v>#VALUE!</v>
      </c>
      <c r="E4" t="e">
        <f>AND(Avaliação!G13,"AAAAAHf+7wQ=")</f>
        <v>#VALUE!</v>
      </c>
      <c r="F4" t="e">
        <f>AND(Avaliação!H13,"AAAAAHf+7wU=")</f>
        <v>#VALUE!</v>
      </c>
      <c r="G4" t="e">
        <f>AND(Avaliação!I13,"AAAAAHf+7wY=")</f>
        <v>#VALUE!</v>
      </c>
      <c r="H4" t="e">
        <f>AND(Avaliação!J13,"AAAAAHf+7wc=")</f>
        <v>#VALUE!</v>
      </c>
      <c r="I4" t="e">
        <f>AND(Avaliação!K13,"AAAAAHf+7wg=")</f>
        <v>#VALUE!</v>
      </c>
      <c r="J4" t="e">
        <f>AND(Avaliação!C14,"AAAAAHf+7wk=")</f>
        <v>#VALUE!</v>
      </c>
      <c r="K4" t="e">
        <f>AND(Avaliação!D14,"AAAAAHf+7wo=")</f>
        <v>#VALUE!</v>
      </c>
      <c r="L4" t="e">
        <f>AND(Avaliação!E14,"AAAAAHf+7ws=")</f>
        <v>#VALUE!</v>
      </c>
      <c r="M4" t="e">
        <f>AND(Avaliação!F14,"AAAAAHf+7ww=")</f>
        <v>#VALUE!</v>
      </c>
      <c r="N4" t="e">
        <f>AND(Avaliação!G14,"AAAAAHf+7w0=")</f>
        <v>#VALUE!</v>
      </c>
      <c r="O4" t="e">
        <f>AND(Avaliação!H14,"AAAAAHf+7w4=")</f>
        <v>#VALUE!</v>
      </c>
      <c r="P4" t="e">
        <f>AND(Avaliação!I14,"AAAAAHf+7w8=")</f>
        <v>#VALUE!</v>
      </c>
      <c r="Q4" t="e">
        <f>AND(Avaliação!J14,"AAAAAHf+7xA=")</f>
        <v>#VALUE!</v>
      </c>
      <c r="R4" t="e">
        <f>AND(Avaliação!K14,"AAAAAHf+7xE=")</f>
        <v>#VALUE!</v>
      </c>
      <c r="S4" t="e">
        <f>AND(Avaliação!C15,"AAAAAHf+7xI=")</f>
        <v>#VALUE!</v>
      </c>
      <c r="T4" t="e">
        <f>AND(Avaliação!D15,"AAAAAHf+7xM=")</f>
        <v>#VALUE!</v>
      </c>
      <c r="U4" t="e">
        <f>AND(Avaliação!E15,"AAAAAHf+7xQ=")</f>
        <v>#VALUE!</v>
      </c>
      <c r="V4" t="e">
        <f>AND(Avaliação!F15,"AAAAAHf+7xU=")</f>
        <v>#VALUE!</v>
      </c>
      <c r="W4" t="e">
        <f>AND(Avaliação!G15,"AAAAAHf+7xY=")</f>
        <v>#VALUE!</v>
      </c>
      <c r="X4" t="e">
        <f>AND(Avaliação!H15,"AAAAAHf+7xc=")</f>
        <v>#VALUE!</v>
      </c>
      <c r="Y4" t="e">
        <f>AND(Avaliação!I15,"AAAAAHf+7xg=")</f>
        <v>#VALUE!</v>
      </c>
      <c r="Z4" t="e">
        <f>AND(Avaliação!J15,"AAAAAHf+7xk=")</f>
        <v>#VALUE!</v>
      </c>
      <c r="AA4" t="e">
        <f>AND(Avaliação!K15,"AAAAAHf+7xo=")</f>
        <v>#VALUE!</v>
      </c>
    </row>
  </sheetData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</vt:lpstr>
      <vt:lpstr>Resumos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Matheus</cp:lastModifiedBy>
  <dcterms:created xsi:type="dcterms:W3CDTF">2011-09-16T12:59:42Z</dcterms:created>
  <dcterms:modified xsi:type="dcterms:W3CDTF">2012-03-04T02:03:06Z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1FtsEkminid7yIkvidE1LUqU_gjOnKujnQEv31jEYpAU</vt:lpwstr>
  </property>
  <property fmtid="{D5CDD505-2E9C-101B-9397-08002B2CF9AE}" pid="4" name="Google.Documents.RevisionId">
    <vt:lpwstr>02463597705022492393</vt:lpwstr>
  </property>
  <property fmtid="{D5CDD505-2E9C-101B-9397-08002B2CF9AE}" pid="5" name="Google.Documents.PreviousRevisionId">
    <vt:lpwstr>10857864536514070957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