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ulio/Documents/MATLAB/edp/"/>
    </mc:Choice>
  </mc:AlternateContent>
  <xr:revisionPtr revIDLastSave="0" documentId="13_ncr:1_{132674F4-F5C2-634A-AEE8-BCE467FB30BD}" xr6:coauthVersionLast="45" xr6:coauthVersionMax="45" xr10:uidLastSave="{00000000-0000-0000-0000-000000000000}"/>
  <bookViews>
    <workbookView xWindow="28780" yWindow="460" windowWidth="38400" windowHeight="21140" xr2:uid="{86B92337-7A10-3344-8E23-239E75A3C690}"/>
  </bookViews>
  <sheets>
    <sheet name="Inversionista" sheetId="2" r:id="rId1"/>
    <sheet name="Financista" sheetId="3" r:id="rId2"/>
    <sheet name="Financiamiento" sheetId="6" r:id="rId3"/>
    <sheet name="Comparacion Proyectos" sheetId="7" r:id="rId4"/>
    <sheet name="Hoja2" sheetId="8" r:id="rId5"/>
    <sheet name="Ej PEP3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3" l="1"/>
  <c r="F29" i="3"/>
  <c r="F27" i="3"/>
  <c r="G28" i="2"/>
  <c r="F5" i="6" l="1"/>
  <c r="F19" i="3"/>
  <c r="B12" i="3"/>
  <c r="E18" i="3"/>
  <c r="E17" i="3"/>
  <c r="E10" i="3"/>
  <c r="E9" i="3"/>
  <c r="D8" i="2"/>
  <c r="E8" i="2"/>
  <c r="C8" i="2"/>
  <c r="AA9" i="9" l="1"/>
  <c r="AB9" i="9"/>
  <c r="AC9" i="9"/>
  <c r="AD9" i="9"/>
  <c r="Z9" i="9"/>
  <c r="R66" i="9"/>
  <c r="N66" i="9"/>
  <c r="N59" i="9"/>
  <c r="O58" i="9"/>
  <c r="P58" i="9"/>
  <c r="Q58" i="9"/>
  <c r="R58" i="9"/>
  <c r="S58" i="9"/>
  <c r="N58" i="9"/>
  <c r="S57" i="9"/>
  <c r="P57" i="9"/>
  <c r="Q57" i="9"/>
  <c r="R57" i="9"/>
  <c r="P48" i="9"/>
  <c r="Q48" i="9"/>
  <c r="R48" i="9"/>
  <c r="S48" i="9"/>
  <c r="O48" i="9"/>
  <c r="S50" i="9"/>
  <c r="S51" i="9"/>
  <c r="S52" i="9"/>
  <c r="S53" i="9"/>
  <c r="S54" i="9"/>
  <c r="S49" i="9"/>
  <c r="P47" i="9"/>
  <c r="Q47" i="9"/>
  <c r="R47" i="9"/>
  <c r="S47" i="9"/>
  <c r="O47" i="9"/>
  <c r="P46" i="9"/>
  <c r="Q46" i="9"/>
  <c r="R46" i="9"/>
  <c r="S46" i="9"/>
  <c r="O46" i="9"/>
  <c r="O57" i="9"/>
  <c r="N57" i="9"/>
  <c r="N56" i="9"/>
  <c r="P55" i="9"/>
  <c r="Q55" i="9"/>
  <c r="R55" i="9"/>
  <c r="S55" i="9"/>
  <c r="O55" i="9"/>
  <c r="P45" i="9"/>
  <c r="Q45" i="9"/>
  <c r="R45" i="9"/>
  <c r="S45" i="9"/>
  <c r="O45" i="9"/>
  <c r="S43" i="9"/>
  <c r="P43" i="9"/>
  <c r="Q43" i="9"/>
  <c r="R43" i="9"/>
  <c r="O43" i="9"/>
  <c r="Y8" i="9"/>
  <c r="AA8" i="9"/>
  <c r="AB8" i="9"/>
  <c r="AC8" i="9"/>
  <c r="AD8" i="9"/>
  <c r="Z8" i="9"/>
  <c r="AB20" i="9"/>
  <c r="AB21" i="9"/>
  <c r="AB22" i="9"/>
  <c r="AB23" i="9"/>
  <c r="AB24" i="9"/>
  <c r="Y15" i="9"/>
  <c r="Y5" i="9"/>
  <c r="Y10" i="9" l="1"/>
  <c r="P66" i="9" s="1"/>
  <c r="O66" i="9" s="1"/>
  <c r="Y9" i="9" l="1"/>
  <c r="S17" i="9"/>
  <c r="S18" i="9"/>
  <c r="S19" i="9"/>
  <c r="S16" i="9"/>
  <c r="I4" i="9"/>
  <c r="I5" i="9"/>
  <c r="I3" i="9"/>
  <c r="I2" i="9"/>
  <c r="O23" i="9"/>
  <c r="P23" i="9"/>
  <c r="Q23" i="9"/>
  <c r="R23" i="9"/>
  <c r="N23" i="9"/>
  <c r="S22" i="9"/>
  <c r="S23" i="9" s="1"/>
  <c r="N24" i="9" s="1"/>
  <c r="P22" i="9"/>
  <c r="Q22" i="9"/>
  <c r="R22" i="9"/>
  <c r="O22" i="9"/>
  <c r="N22" i="9"/>
  <c r="S21" i="9"/>
  <c r="S20" i="9"/>
  <c r="P15" i="9"/>
  <c r="Q15" i="9"/>
  <c r="R15" i="9"/>
  <c r="S15" i="9"/>
  <c r="O15" i="9"/>
  <c r="P14" i="9"/>
  <c r="Q14" i="9"/>
  <c r="R14" i="9"/>
  <c r="S14" i="9"/>
  <c r="O14" i="9"/>
  <c r="P13" i="9"/>
  <c r="Q13" i="9"/>
  <c r="R13" i="9"/>
  <c r="S13" i="9"/>
  <c r="O13" i="9"/>
  <c r="P8" i="9"/>
  <c r="Q8" i="9"/>
  <c r="R8" i="9"/>
  <c r="S8" i="9"/>
  <c r="S12" i="9" s="1"/>
  <c r="O8" i="9"/>
  <c r="P12" i="9"/>
  <c r="Q12" i="9"/>
  <c r="R12" i="9"/>
  <c r="O12" i="9"/>
  <c r="P9" i="9"/>
  <c r="Q9" i="9"/>
  <c r="R9" i="9"/>
  <c r="S9" i="9"/>
  <c r="O9" i="9"/>
  <c r="B9" i="9"/>
  <c r="H7" i="9"/>
  <c r="H3" i="9"/>
  <c r="H4" i="9"/>
  <c r="H5" i="9"/>
  <c r="H2" i="9"/>
  <c r="P7" i="9"/>
  <c r="Q7" i="9"/>
  <c r="R7" i="9"/>
  <c r="S7" i="9"/>
  <c r="O7" i="9"/>
  <c r="P6" i="9"/>
  <c r="Q6" i="9"/>
  <c r="R6" i="9"/>
  <c r="S6" i="9"/>
  <c r="O6" i="9"/>
  <c r="N5" i="9"/>
  <c r="N4" i="9"/>
  <c r="B21" i="9"/>
  <c r="D12" i="9"/>
  <c r="C14" i="9"/>
  <c r="D14" i="9" s="1"/>
  <c r="G4" i="9"/>
  <c r="G5" i="9"/>
  <c r="G7" i="9"/>
  <c r="G2" i="9"/>
  <c r="D7" i="9"/>
  <c r="D3" i="9"/>
  <c r="G3" i="9" s="1"/>
  <c r="D2" i="9"/>
  <c r="B8" i="9" l="1"/>
  <c r="N3" i="9" s="1"/>
  <c r="J28" i="7"/>
  <c r="L6" i="7"/>
  <c r="C27" i="7"/>
  <c r="C6" i="7" s="1"/>
  <c r="D6" i="7"/>
  <c r="F9" i="8"/>
  <c r="E9" i="8"/>
  <c r="M12" i="8"/>
  <c r="Q32" i="8"/>
  <c r="Q33" i="8"/>
  <c r="Q34" i="8"/>
  <c r="Q35" i="8"/>
  <c r="Q31" i="8"/>
  <c r="F13" i="8"/>
  <c r="J28" i="8"/>
  <c r="J29" i="8" s="1"/>
  <c r="K28" i="8"/>
  <c r="K29" i="8"/>
  <c r="H28" i="8"/>
  <c r="H29" i="8" s="1"/>
  <c r="I28" i="8"/>
  <c r="I29" i="8" s="1"/>
  <c r="Q24" i="8"/>
  <c r="Q25" i="8"/>
  <c r="Q26" i="8"/>
  <c r="Q27" i="8"/>
  <c r="Q23" i="8"/>
  <c r="G28" i="8"/>
  <c r="G29" i="8" s="1"/>
  <c r="F28" i="8"/>
  <c r="F29" i="8" s="1"/>
  <c r="B4" i="6"/>
  <c r="N13" i="8"/>
  <c r="O13" i="8"/>
  <c r="P13" i="8"/>
  <c r="Q13" i="8"/>
  <c r="R13" i="8"/>
  <c r="O12" i="8"/>
  <c r="P12" i="8"/>
  <c r="Q12" i="8"/>
  <c r="R12" i="8"/>
  <c r="N12" i="8"/>
  <c r="M13" i="8"/>
  <c r="M15" i="8" s="1"/>
  <c r="I34" i="8" s="1"/>
  <c r="O9" i="8"/>
  <c r="P9" i="8"/>
  <c r="Q9" i="8"/>
  <c r="R9" i="8"/>
  <c r="N9" i="8"/>
  <c r="O8" i="8"/>
  <c r="P8" i="8"/>
  <c r="Q8" i="8"/>
  <c r="R8" i="8"/>
  <c r="N8" i="8"/>
  <c r="O7" i="8"/>
  <c r="P7" i="8"/>
  <c r="Q7" i="8"/>
  <c r="R7" i="8"/>
  <c r="N7" i="8"/>
  <c r="G9" i="8"/>
  <c r="H9" i="8"/>
  <c r="I9" i="8"/>
  <c r="J9" i="8"/>
  <c r="G8" i="8"/>
  <c r="H8" i="8"/>
  <c r="I8" i="8"/>
  <c r="J8" i="8"/>
  <c r="F8" i="8"/>
  <c r="E8" i="8"/>
  <c r="G7" i="8"/>
  <c r="H7" i="8"/>
  <c r="I7" i="8"/>
  <c r="J7" i="8"/>
  <c r="F7" i="8"/>
  <c r="G6" i="8"/>
  <c r="H6" i="8"/>
  <c r="I6" i="8"/>
  <c r="J6" i="8"/>
  <c r="F6" i="8"/>
  <c r="F30" i="8" l="1"/>
  <c r="J34" i="8" s="1"/>
  <c r="K6" i="7"/>
  <c r="J15" i="7" l="1"/>
  <c r="J16" i="7" s="1"/>
  <c r="L12" i="7"/>
  <c r="K12" i="7"/>
  <c r="L9" i="7"/>
  <c r="L10" i="7" s="1"/>
  <c r="K9" i="7"/>
  <c r="C9" i="7"/>
  <c r="C10" i="7" s="1"/>
  <c r="D9" i="7"/>
  <c r="D10" i="7" s="1"/>
  <c r="B15" i="7"/>
  <c r="B16" i="7" s="1"/>
  <c r="D12" i="7"/>
  <c r="C12" i="7"/>
  <c r="L11" i="7" l="1"/>
  <c r="L15" i="7" s="1"/>
  <c r="L16" i="7" s="1"/>
  <c r="K10" i="7"/>
  <c r="K11" i="7" s="1"/>
  <c r="K15" i="7" s="1"/>
  <c r="K16" i="7" s="1"/>
  <c r="C11" i="7"/>
  <c r="C15" i="7" s="1"/>
  <c r="C16" i="7" s="1"/>
  <c r="D11" i="7"/>
  <c r="D15" i="7" l="1"/>
  <c r="D16" i="7" s="1"/>
  <c r="B17" i="7" s="1"/>
  <c r="J17" i="7"/>
  <c r="O4" i="3"/>
  <c r="N5" i="3"/>
  <c r="N6" i="3" s="1"/>
  <c r="N7" i="3" s="1"/>
  <c r="L15" i="3"/>
  <c r="F12" i="3"/>
  <c r="L4" i="3"/>
  <c r="E11" i="2"/>
  <c r="P4" i="3" l="1"/>
  <c r="L5" i="3" s="1"/>
  <c r="M5" i="3" s="1"/>
  <c r="O5" i="3" s="1"/>
  <c r="B18" i="6"/>
  <c r="F18" i="3"/>
  <c r="F17" i="3"/>
  <c r="F10" i="3"/>
  <c r="F9" i="3"/>
  <c r="F8" i="3"/>
  <c r="F16" i="3" s="1"/>
  <c r="D8" i="3"/>
  <c r="D16" i="3" s="1"/>
  <c r="E8" i="3"/>
  <c r="E16" i="3" s="1"/>
  <c r="C8" i="3"/>
  <c r="C16" i="3" s="1"/>
  <c r="C7" i="3"/>
  <c r="C6" i="3"/>
  <c r="B5" i="3"/>
  <c r="B4" i="3"/>
  <c r="B17" i="2"/>
  <c r="B18" i="2" s="1"/>
  <c r="D14" i="2"/>
  <c r="E14" i="2"/>
  <c r="C14" i="2"/>
  <c r="D6" i="6" l="1"/>
  <c r="E6" i="6"/>
  <c r="C6" i="6"/>
  <c r="C11" i="3"/>
  <c r="C13" i="3" s="1"/>
  <c r="C14" i="3" s="1"/>
  <c r="L6" i="6"/>
  <c r="L3" i="6"/>
  <c r="B6" i="6" s="1"/>
  <c r="B7" i="6" s="1"/>
  <c r="B8" i="6" s="1"/>
  <c r="L5" i="6"/>
  <c r="L9" i="6"/>
  <c r="L7" i="6"/>
  <c r="F6" i="6" s="1"/>
  <c r="L8" i="6"/>
  <c r="L4" i="6"/>
  <c r="B21" i="3"/>
  <c r="B22" i="3" s="1"/>
  <c r="C7" i="6" l="1"/>
  <c r="C8" i="6" s="1"/>
  <c r="C15" i="3"/>
  <c r="C21" i="3" s="1"/>
  <c r="P5" i="3" l="1"/>
  <c r="L6" i="3" s="1"/>
  <c r="M6" i="3" s="1"/>
  <c r="O6" i="3" s="1"/>
  <c r="C22" i="3"/>
  <c r="C11" i="2"/>
  <c r="D6" i="3"/>
  <c r="D7" i="6" l="1"/>
  <c r="D8" i="6" s="1"/>
  <c r="D7" i="3"/>
  <c r="D11" i="3" s="1"/>
  <c r="D13" i="3" s="1"/>
  <c r="D14" i="3" s="1"/>
  <c r="D11" i="2"/>
  <c r="E6" i="3"/>
  <c r="C12" i="2"/>
  <c r="C13" i="2" s="1"/>
  <c r="C17" i="2" s="1"/>
  <c r="C18" i="2" s="1"/>
  <c r="E11" i="3" l="1"/>
  <c r="D15" i="3"/>
  <c r="D21" i="3" s="1"/>
  <c r="F7" i="3"/>
  <c r="E7" i="3"/>
  <c r="D12" i="2"/>
  <c r="D13" i="2" s="1"/>
  <c r="D17" i="2" s="1"/>
  <c r="D18" i="2" s="1"/>
  <c r="E13" i="3" l="1"/>
  <c r="E14" i="3" s="1"/>
  <c r="F6" i="3"/>
  <c r="F11" i="3" s="1"/>
  <c r="F13" i="3" s="1"/>
  <c r="F14" i="3" s="1"/>
  <c r="E12" i="2"/>
  <c r="E13" i="2" s="1"/>
  <c r="E17" i="2" s="1"/>
  <c r="E18" i="2" s="1"/>
  <c r="B19" i="2" l="1"/>
  <c r="F15" i="3"/>
  <c r="F21" i="3" s="1"/>
  <c r="C14" i="6" l="1"/>
  <c r="F22" i="3"/>
  <c r="D22" i="3" l="1"/>
  <c r="P6" i="3" l="1"/>
  <c r="L7" i="3" s="1"/>
  <c r="M7" i="3" l="1"/>
  <c r="O7" i="3" s="1"/>
  <c r="P7" i="3" s="1"/>
  <c r="E7" i="6" l="1"/>
  <c r="E8" i="6" s="1"/>
  <c r="B9" i="6" s="1"/>
  <c r="E14" i="6" s="1"/>
  <c r="D14" i="6" s="1"/>
  <c r="E15" i="3"/>
  <c r="E21" i="3" l="1"/>
  <c r="E22" i="3" l="1"/>
  <c r="B24" i="3" s="1"/>
  <c r="A14" i="6" s="1"/>
</calcChain>
</file>

<file path=xl/sharedStrings.xml><?xml version="1.0" encoding="utf-8"?>
<sst xmlns="http://schemas.openxmlformats.org/spreadsheetml/2006/main" count="246" uniqueCount="105">
  <si>
    <t>Intereses</t>
  </si>
  <si>
    <t>Impuestos</t>
  </si>
  <si>
    <t>Flujo de Caja Neto</t>
  </si>
  <si>
    <t>Inversionista</t>
  </si>
  <si>
    <t>Periodo</t>
  </si>
  <si>
    <t>Inv ACT Depreciables</t>
  </si>
  <si>
    <t>INV ACT No Depreciables</t>
  </si>
  <si>
    <t>Ingreso Ventas</t>
  </si>
  <si>
    <t>Costo Ventas</t>
  </si>
  <si>
    <t>Depreciacion</t>
  </si>
  <si>
    <t>UT/Perdida valor AD</t>
  </si>
  <si>
    <t>UT/Perdida valo AND</t>
  </si>
  <si>
    <t>UAI</t>
  </si>
  <si>
    <t>Valor Residual AD</t>
  </si>
  <si>
    <t>Valor Residual AND</t>
  </si>
  <si>
    <t>Flujo de caja Neto</t>
  </si>
  <si>
    <t>impuestos</t>
  </si>
  <si>
    <t>tmar</t>
  </si>
  <si>
    <t>financista</t>
  </si>
  <si>
    <t>UAI e Intereses</t>
  </si>
  <si>
    <t xml:space="preserve">Impuestos </t>
  </si>
  <si>
    <t>UDI</t>
  </si>
  <si>
    <t>Amortizaciones</t>
  </si>
  <si>
    <t>Prestamo</t>
  </si>
  <si>
    <t>Van proyecto Financiado</t>
  </si>
  <si>
    <t>VAN Proyecto Puro</t>
  </si>
  <si>
    <t>Financiamiento</t>
  </si>
  <si>
    <t>Cuota</t>
  </si>
  <si>
    <t>Van Financiamiento</t>
  </si>
  <si>
    <t>Ventaja Tributaria (t*intereses)</t>
  </si>
  <si>
    <t>VAN PF</t>
  </si>
  <si>
    <t>"="</t>
  </si>
  <si>
    <t>VAN PP</t>
  </si>
  <si>
    <t>+</t>
  </si>
  <si>
    <t>VAN F</t>
  </si>
  <si>
    <t>UT/Perdida valor AND</t>
  </si>
  <si>
    <t>FCN Descontado</t>
  </si>
  <si>
    <t>PERIODO</t>
  </si>
  <si>
    <t>SII</t>
  </si>
  <si>
    <t>INTERESES</t>
  </si>
  <si>
    <t>CUOTA</t>
  </si>
  <si>
    <t>AMORT</t>
  </si>
  <si>
    <t>SIF</t>
  </si>
  <si>
    <t>-</t>
  </si>
  <si>
    <t>TOTAL</t>
  </si>
  <si>
    <t>FCD</t>
  </si>
  <si>
    <t>t</t>
  </si>
  <si>
    <t>n  (cuotas)</t>
  </si>
  <si>
    <t>i (prestamo)</t>
  </si>
  <si>
    <t>v1 (i=g)</t>
  </si>
  <si>
    <t xml:space="preserve">v0 </t>
  </si>
  <si>
    <t xml:space="preserve">imp </t>
  </si>
  <si>
    <t>VAN MAQUINA A</t>
  </si>
  <si>
    <t>VAN MAQUINA B</t>
  </si>
  <si>
    <t>utdi</t>
  </si>
  <si>
    <t>i</t>
  </si>
  <si>
    <t>I</t>
  </si>
  <si>
    <t>Amor</t>
  </si>
  <si>
    <t>F</t>
  </si>
  <si>
    <t xml:space="preserve"> </t>
  </si>
  <si>
    <t>VAN FINANCISTA</t>
  </si>
  <si>
    <t>pres</t>
  </si>
  <si>
    <t>Dep</t>
  </si>
  <si>
    <t>Inversion</t>
  </si>
  <si>
    <t>hangar</t>
  </si>
  <si>
    <t>acceso</t>
  </si>
  <si>
    <t>pcs</t>
  </si>
  <si>
    <t>equipos</t>
  </si>
  <si>
    <t xml:space="preserve">capital trab </t>
  </si>
  <si>
    <t>terreno</t>
  </si>
  <si>
    <t>m2</t>
  </si>
  <si>
    <t>$m2</t>
  </si>
  <si>
    <t>$</t>
  </si>
  <si>
    <t>Vida util</t>
  </si>
  <si>
    <t>VR%</t>
  </si>
  <si>
    <t>VR</t>
  </si>
  <si>
    <t>Costos Op</t>
  </si>
  <si>
    <t>$nave</t>
  </si>
  <si>
    <t>naves</t>
  </si>
  <si>
    <t>Costos Fijos</t>
  </si>
  <si>
    <t>mantencion</t>
  </si>
  <si>
    <t>adm</t>
  </si>
  <si>
    <t>seguros</t>
  </si>
  <si>
    <t>total</t>
  </si>
  <si>
    <t>imp</t>
  </si>
  <si>
    <t>Terreno</t>
  </si>
  <si>
    <t>Capital Trabajo</t>
  </si>
  <si>
    <t>Rec Capital Trabajo</t>
  </si>
  <si>
    <t>Valor Residual Hangar</t>
  </si>
  <si>
    <t>VR Cimiento</t>
  </si>
  <si>
    <t>VR Pc's</t>
  </si>
  <si>
    <t>VR equipos</t>
  </si>
  <si>
    <t>Valor Residual Terreno</t>
  </si>
  <si>
    <t>Act Depreciables</t>
  </si>
  <si>
    <t>Dep Total</t>
  </si>
  <si>
    <t>VR año 5</t>
  </si>
  <si>
    <t>% a financiar</t>
  </si>
  <si>
    <t>Financista</t>
  </si>
  <si>
    <t>UAIntereses</t>
  </si>
  <si>
    <t>COMPROBACION</t>
  </si>
  <si>
    <t>PP</t>
  </si>
  <si>
    <t>=</t>
  </si>
  <si>
    <t>PF</t>
  </si>
  <si>
    <t>Interes</t>
  </si>
  <si>
    <t>t*interes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</si>
</sst>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9" fontId="0" fillId="0" borderId="0" xfId="0" applyNumberFormat="1"/>
    <xf numFmtId="0" fontId="0" fillId="4" borderId="0" xfId="0" applyFill="1"/>
    <xf numFmtId="0" fontId="0" fillId="4" borderId="0" xfId="0" applyNumberFormat="1" applyFill="1"/>
    <xf numFmtId="9" fontId="0" fillId="0" borderId="0" xfId="0" applyNumberFormat="1" applyFill="1"/>
    <xf numFmtId="0" fontId="0" fillId="0" borderId="1" xfId="0" applyNumberFormat="1" applyFill="1" applyBorder="1"/>
    <xf numFmtId="0" fontId="0" fillId="2" borderId="1" xfId="0" applyFill="1" applyBorder="1"/>
    <xf numFmtId="0" fontId="1" fillId="0" borderId="0" xfId="0" applyFont="1"/>
    <xf numFmtId="0" fontId="0" fillId="0" borderId="1" xfId="0" quotePrefix="1" applyBorder="1"/>
    <xf numFmtId="0" fontId="0" fillId="0" borderId="0" xfId="0" applyNumberFormat="1"/>
    <xf numFmtId="0" fontId="3" fillId="0" borderId="0" xfId="0" applyFont="1"/>
    <xf numFmtId="9" fontId="0" fillId="0" borderId="0" xfId="1" applyFont="1"/>
    <xf numFmtId="0" fontId="1" fillId="0" borderId="1" xfId="0" applyFont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1" fillId="0" borderId="4" xfId="0" applyFont="1" applyBorder="1"/>
    <xf numFmtId="0" fontId="1" fillId="0" borderId="5" xfId="0" applyFont="1" applyBorder="1"/>
    <xf numFmtId="0" fontId="1" fillId="8" borderId="6" xfId="0" applyFont="1" applyFill="1" applyBorder="1"/>
    <xf numFmtId="0" fontId="1" fillId="0" borderId="6" xfId="0" applyFont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5" xfId="0" applyFont="1" applyFill="1" applyBorder="1"/>
    <xf numFmtId="0" fontId="1" fillId="0" borderId="3" xfId="0" applyFont="1" applyBorder="1"/>
    <xf numFmtId="0" fontId="1" fillId="11" borderId="1" xfId="0" applyFont="1" applyFill="1" applyBorder="1"/>
    <xf numFmtId="0" fontId="1" fillId="0" borderId="7" xfId="0" applyFont="1" applyBorder="1"/>
    <xf numFmtId="0" fontId="1" fillId="12" borderId="0" xfId="0" applyFont="1" applyFill="1"/>
    <xf numFmtId="0" fontId="1" fillId="0" borderId="3" xfId="0" applyFont="1" applyFill="1" applyBorder="1"/>
    <xf numFmtId="0" fontId="0" fillId="13" borderId="0" xfId="0" applyFill="1"/>
    <xf numFmtId="0" fontId="0" fillId="0" borderId="0" xfId="0" quotePrefix="1"/>
    <xf numFmtId="0" fontId="0" fillId="5" borderId="0" xfId="0" applyFont="1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7</xdr:row>
      <xdr:rowOff>25400</xdr:rowOff>
    </xdr:from>
    <xdr:to>
      <xdr:col>11</xdr:col>
      <xdr:colOff>736600</xdr:colOff>
      <xdr:row>13</xdr:row>
      <xdr:rowOff>63500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95BAFE0-8925-2C45-BA30-CA2A68BEF0C2}"/>
            </a:ext>
          </a:extLst>
        </xdr:cNvPr>
        <xdr:cNvSpPr txBox="1"/>
      </xdr:nvSpPr>
      <xdr:spPr>
        <a:xfrm>
          <a:off x="8839200" y="1447800"/>
          <a:ext cx="1968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REVISA</a:t>
          </a:r>
          <a:r>
            <a:rPr lang="es-ES_tradnl" sz="1100" baseline="0"/>
            <a:t> LOS SIGNOS </a:t>
          </a:r>
        </a:p>
        <a:p>
          <a:r>
            <a:rPr lang="es-ES_tradnl" sz="1100" baseline="0"/>
            <a:t>REVISA N de la DEPRECIACION</a:t>
          </a:r>
        </a:p>
        <a:p>
          <a:r>
            <a:rPr lang="es-ES_tradnl" sz="1100"/>
            <a:t>VALORES</a:t>
          </a:r>
          <a:r>
            <a:rPr lang="es-ES_tradnl" sz="1100" baseline="0"/>
            <a:t> RESIDUALES</a:t>
          </a:r>
        </a:p>
        <a:p>
          <a:r>
            <a:rPr lang="es-ES_tradnl" sz="1100" baseline="0"/>
            <a:t>HASTA DONDE TOMA EL VAN</a:t>
          </a:r>
          <a:endParaRPr lang="es-ES_tradnl" sz="1100"/>
        </a:p>
      </xdr:txBody>
    </xdr:sp>
    <xdr:clientData/>
  </xdr:twoCellAnchor>
  <xdr:twoCellAnchor>
    <xdr:from>
      <xdr:col>9</xdr:col>
      <xdr:colOff>482600</xdr:colOff>
      <xdr:row>15</xdr:row>
      <xdr:rowOff>114300</xdr:rowOff>
    </xdr:from>
    <xdr:to>
      <xdr:col>11</xdr:col>
      <xdr:colOff>800100</xdr:colOff>
      <xdr:row>21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819E078-8EC8-7147-8911-3A3BA090445F}"/>
            </a:ext>
          </a:extLst>
        </xdr:cNvPr>
        <xdr:cNvSpPr txBox="1"/>
      </xdr:nvSpPr>
      <xdr:spPr>
        <a:xfrm>
          <a:off x="8902700" y="3162300"/>
          <a:ext cx="1968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EL VALOR RESIDUAL</a:t>
          </a:r>
          <a:r>
            <a:rPr lang="es-ES_tradnl" sz="1100" baseline="0"/>
            <a:t> DEL NO DEPRECIABLE ES EL VALOR QUE COSTO AL PRINCIPIO LAJIKL</a:t>
          </a:r>
        </a:p>
        <a:p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10</xdr:row>
      <xdr:rowOff>152400</xdr:rowOff>
    </xdr:from>
    <xdr:to>
      <xdr:col>11</xdr:col>
      <xdr:colOff>584200</xdr:colOff>
      <xdr:row>17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2674732-134B-BC40-829A-DACB341E2B0B}"/>
            </a:ext>
          </a:extLst>
        </xdr:cNvPr>
        <xdr:cNvSpPr txBox="1"/>
      </xdr:nvSpPr>
      <xdr:spPr>
        <a:xfrm>
          <a:off x="6578600" y="2184400"/>
          <a:ext cx="4356100" cy="142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Si VAN PP</a:t>
          </a:r>
          <a:r>
            <a:rPr lang="es-ES_tradnl" sz="1100" baseline="0"/>
            <a:t> negativo pero VAN F positivo y la suma positiva, igual no debe hacerse el proyecto ya que mejor usar ese fianciamiento en otro proyecto</a:t>
          </a:r>
        </a:p>
        <a:p>
          <a:r>
            <a:rPr lang="es-ES_tradnl" sz="1100" baseline="0"/>
            <a:t>SI VAN PP positivo pero VAN F negativo, igual podemos hacer el proyecto si la suma es positiva, ya que puede que nuestro financista nos este cobrando mucho pero aun asi tenemos ganancias , suponiendo que ese financista es la mejor opcion para que nos financie</a:t>
          </a:r>
        </a:p>
        <a:p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4972-4C9E-3E47-BFF7-43B30C4D184B}">
  <dimension ref="A1:H31"/>
  <sheetViews>
    <sheetView tabSelected="1" zoomScale="150" workbookViewId="0">
      <selection activeCell="B23" sqref="B23"/>
    </sheetView>
  </sheetViews>
  <sheetFormatPr baseColWidth="10" defaultRowHeight="16" x14ac:dyDescent="0.2"/>
  <cols>
    <col min="1" max="1" width="22" bestFit="1" customWidth="1"/>
    <col min="2" max="2" width="12.6640625" bestFit="1" customWidth="1"/>
  </cols>
  <sheetData>
    <row r="1" spans="1:8" x14ac:dyDescent="0.2">
      <c r="A1" s="40" t="s">
        <v>3</v>
      </c>
      <c r="B1" s="40"/>
      <c r="C1" s="40"/>
      <c r="D1" s="40"/>
      <c r="E1" s="40"/>
      <c r="F1" s="40"/>
    </row>
    <row r="2" spans="1:8" x14ac:dyDescent="0.2">
      <c r="A2" s="41"/>
      <c r="B2" s="41"/>
      <c r="C2" s="41"/>
      <c r="D2" s="41"/>
      <c r="E2" s="41"/>
      <c r="F2" s="41"/>
    </row>
    <row r="3" spans="1:8" x14ac:dyDescent="0.2">
      <c r="A3" s="1" t="s">
        <v>4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4">
        <v>5</v>
      </c>
    </row>
    <row r="4" spans="1:8" x14ac:dyDescent="0.2">
      <c r="A4" s="1" t="s">
        <v>5</v>
      </c>
      <c r="B4" s="1">
        <v>-3500000</v>
      </c>
      <c r="C4" s="1"/>
      <c r="D4" s="1"/>
      <c r="E4" s="1"/>
      <c r="F4" s="1"/>
      <c r="G4" s="1"/>
      <c r="H4" t="s">
        <v>43</v>
      </c>
    </row>
    <row r="5" spans="1:8" x14ac:dyDescent="0.2">
      <c r="A5" s="1" t="s">
        <v>6</v>
      </c>
      <c r="B5" s="1"/>
      <c r="C5" s="1"/>
      <c r="D5" s="1"/>
      <c r="E5" s="1"/>
      <c r="F5" s="1"/>
      <c r="G5" s="1"/>
      <c r="H5" t="s">
        <v>43</v>
      </c>
    </row>
    <row r="6" spans="1:8" x14ac:dyDescent="0.2">
      <c r="A6" s="1" t="s">
        <v>7</v>
      </c>
      <c r="B6" s="1"/>
      <c r="C6" s="1">
        <v>8000000</v>
      </c>
      <c r="D6" s="1">
        <v>8000000</v>
      </c>
      <c r="E6" s="1">
        <v>8000000</v>
      </c>
      <c r="F6" s="1"/>
      <c r="G6" s="1"/>
    </row>
    <row r="7" spans="1:8" x14ac:dyDescent="0.2">
      <c r="A7" s="1" t="s">
        <v>8</v>
      </c>
      <c r="B7" s="1"/>
      <c r="C7" s="1"/>
      <c r="D7" s="1"/>
      <c r="E7" s="1"/>
      <c r="F7" s="1"/>
      <c r="G7" s="1"/>
      <c r="H7" t="s">
        <v>43</v>
      </c>
    </row>
    <row r="8" spans="1:8" x14ac:dyDescent="0.2">
      <c r="A8" s="1" t="s">
        <v>9</v>
      </c>
      <c r="B8" s="1"/>
      <c r="C8" s="13">
        <f>-$G$28</f>
        <v>-1000000</v>
      </c>
      <c r="D8" s="13">
        <f t="shared" ref="D8:E8" si="0">-$G$28</f>
        <v>-1000000</v>
      </c>
      <c r="E8" s="13">
        <f t="shared" si="0"/>
        <v>-1000000</v>
      </c>
      <c r="F8" s="1"/>
      <c r="G8" s="1"/>
      <c r="H8" t="s">
        <v>43</v>
      </c>
    </row>
    <row r="9" spans="1:8" x14ac:dyDescent="0.2">
      <c r="A9" s="1" t="s">
        <v>10</v>
      </c>
      <c r="B9" s="1"/>
      <c r="C9" s="1"/>
      <c r="D9" s="1"/>
      <c r="E9" s="1"/>
      <c r="F9" s="1"/>
      <c r="G9" s="1"/>
    </row>
    <row r="10" spans="1:8" x14ac:dyDescent="0.2">
      <c r="A10" s="1" t="s">
        <v>35</v>
      </c>
      <c r="B10" s="1"/>
      <c r="C10" s="1"/>
      <c r="D10" s="1"/>
      <c r="E10" s="1"/>
      <c r="F10" s="1"/>
      <c r="G10" s="1"/>
    </row>
    <row r="11" spans="1:8" x14ac:dyDescent="0.2">
      <c r="A11" s="2" t="s">
        <v>12</v>
      </c>
      <c r="B11" s="1"/>
      <c r="C11" s="1">
        <f>SUM(C4:C10)</f>
        <v>7000000</v>
      </c>
      <c r="D11" s="1">
        <f t="shared" ref="D11" si="1">SUM(D4:D10)</f>
        <v>7000000</v>
      </c>
      <c r="E11" s="1">
        <f>SUM(E4:E10)</f>
        <v>7000000</v>
      </c>
      <c r="F11" s="1"/>
      <c r="G11" s="1"/>
    </row>
    <row r="12" spans="1:8" x14ac:dyDescent="0.2">
      <c r="A12" s="4" t="s">
        <v>20</v>
      </c>
      <c r="B12" s="1"/>
      <c r="C12" s="1">
        <f>$B$22*C11</f>
        <v>1890000.0000000002</v>
      </c>
      <c r="D12" s="1">
        <f t="shared" ref="D12:E12" si="2">$B$22*D11</f>
        <v>1890000.0000000002</v>
      </c>
      <c r="E12" s="1">
        <f t="shared" si="2"/>
        <v>1890000.0000000002</v>
      </c>
      <c r="F12" s="1"/>
      <c r="G12" s="1"/>
      <c r="H12" t="s">
        <v>33</v>
      </c>
    </row>
    <row r="13" spans="1:8" x14ac:dyDescent="0.2">
      <c r="A13" s="2" t="s">
        <v>21</v>
      </c>
      <c r="B13" s="1"/>
      <c r="C13" s="1">
        <f>C11-C12</f>
        <v>5110000</v>
      </c>
      <c r="D13" s="1">
        <f t="shared" ref="D13:E13" si="3">D11-D12</f>
        <v>5110000</v>
      </c>
      <c r="E13" s="1">
        <f t="shared" si="3"/>
        <v>5110000</v>
      </c>
      <c r="F13" s="1"/>
      <c r="G13" s="1"/>
    </row>
    <row r="14" spans="1:8" x14ac:dyDescent="0.2">
      <c r="A14" s="1" t="s">
        <v>9</v>
      </c>
      <c r="B14" s="1"/>
      <c r="C14" s="1">
        <f>-C8</f>
        <v>1000000</v>
      </c>
      <c r="D14" s="1">
        <f t="shared" ref="D14:E14" si="4">-D8</f>
        <v>1000000</v>
      </c>
      <c r="E14" s="1">
        <f t="shared" si="4"/>
        <v>1000000</v>
      </c>
      <c r="F14" s="1"/>
      <c r="G14" s="1"/>
    </row>
    <row r="15" spans="1:8" x14ac:dyDescent="0.2">
      <c r="A15" s="1" t="s">
        <v>13</v>
      </c>
      <c r="B15" s="1"/>
      <c r="C15" s="1"/>
      <c r="D15" s="1"/>
      <c r="E15" s="1">
        <v>500000</v>
      </c>
      <c r="F15" s="1"/>
      <c r="G15" s="1"/>
    </row>
    <row r="16" spans="1:8" x14ac:dyDescent="0.2">
      <c r="A16" s="1" t="s">
        <v>14</v>
      </c>
      <c r="B16" s="1"/>
      <c r="C16" s="1"/>
      <c r="D16" s="1"/>
      <c r="E16" s="1">
        <v>0</v>
      </c>
      <c r="F16" s="1"/>
      <c r="G16" s="1"/>
    </row>
    <row r="17" spans="1:7" x14ac:dyDescent="0.2">
      <c r="A17" s="2" t="s">
        <v>15</v>
      </c>
      <c r="B17" s="1">
        <f>B5+B4</f>
        <v>-3500000</v>
      </c>
      <c r="C17" s="1">
        <f>C14+C13</f>
        <v>6110000</v>
      </c>
      <c r="D17" s="1">
        <f>D14+D13</f>
        <v>6110000</v>
      </c>
      <c r="E17" s="1">
        <f>SUM(E13:E16)</f>
        <v>6610000</v>
      </c>
      <c r="F17" s="1"/>
      <c r="G17" s="1"/>
    </row>
    <row r="18" spans="1:7" x14ac:dyDescent="0.2">
      <c r="A18" s="4" t="s">
        <v>36</v>
      </c>
      <c r="B18" s="1">
        <f>B17</f>
        <v>-3500000</v>
      </c>
      <c r="C18" s="1">
        <f>C17/(1+$B$21)^C3</f>
        <v>5267241.3793103453</v>
      </c>
      <c r="D18" s="1">
        <f t="shared" ref="D18" si="5">D17/(1+$B$21)^D3</f>
        <v>4540725.3269916773</v>
      </c>
      <c r="E18" s="1">
        <f>E17/(1+$B$21)^E3</f>
        <v>4234747.2221083278</v>
      </c>
      <c r="F18" s="1"/>
      <c r="G18" s="1"/>
    </row>
    <row r="19" spans="1:7" x14ac:dyDescent="0.2">
      <c r="A19" s="8" t="s">
        <v>25</v>
      </c>
      <c r="B19" s="9">
        <f>SUM(B18:F18)</f>
        <v>10542713.928410351</v>
      </c>
    </row>
    <row r="21" spans="1:7" x14ac:dyDescent="0.2">
      <c r="A21" t="s">
        <v>17</v>
      </c>
      <c r="B21" s="7">
        <v>0.16</v>
      </c>
    </row>
    <row r="22" spans="1:7" x14ac:dyDescent="0.2">
      <c r="A22" t="s">
        <v>16</v>
      </c>
      <c r="B22" s="7">
        <v>0.27</v>
      </c>
    </row>
    <row r="28" spans="1:7" x14ac:dyDescent="0.2">
      <c r="F28" t="s">
        <v>62</v>
      </c>
      <c r="G28">
        <f>3000000/3</f>
        <v>1000000</v>
      </c>
    </row>
    <row r="31" spans="1:7" x14ac:dyDescent="0.2">
      <c r="E31">
        <v>-18</v>
      </c>
    </row>
  </sheetData>
  <mergeCells count="1">
    <mergeCell ref="A1:F2"/>
  </mergeCells>
  <pageMargins left="0.7" right="0.7" top="0.75" bottom="0.75" header="0.3" footer="0.3"/>
  <ignoredErrors>
    <ignoredError sqref="C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C6AA-EF2D-F244-A4B4-9FD1E28B048C}">
  <dimension ref="A1:P31"/>
  <sheetViews>
    <sheetView zoomScale="136" workbookViewId="0">
      <selection activeCell="C21" sqref="C21:E21"/>
    </sheetView>
  </sheetViews>
  <sheetFormatPr baseColWidth="10" defaultRowHeight="16" x14ac:dyDescent="0.2"/>
  <cols>
    <col min="1" max="1" width="22" bestFit="1" customWidth="1"/>
    <col min="16" max="16" width="11.5" bestFit="1" customWidth="1"/>
  </cols>
  <sheetData>
    <row r="1" spans="1:16" x14ac:dyDescent="0.2">
      <c r="A1" s="40" t="s">
        <v>18</v>
      </c>
      <c r="B1" s="40"/>
      <c r="C1" s="40"/>
      <c r="D1" s="40"/>
      <c r="E1" s="40"/>
      <c r="F1" s="40"/>
    </row>
    <row r="2" spans="1:16" x14ac:dyDescent="0.2">
      <c r="A2" s="41"/>
      <c r="B2" s="41"/>
      <c r="C2" s="41"/>
      <c r="D2" s="41"/>
      <c r="E2" s="41"/>
      <c r="F2" s="41"/>
    </row>
    <row r="3" spans="1:16" x14ac:dyDescent="0.2">
      <c r="A3" s="1" t="s">
        <v>4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4">
        <v>5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</row>
    <row r="4" spans="1:16" x14ac:dyDescent="0.2">
      <c r="A4" s="1" t="s">
        <v>5</v>
      </c>
      <c r="B4" s="1">
        <f>Inversionista!B4</f>
        <v>-3500000</v>
      </c>
      <c r="C4" s="1"/>
      <c r="D4" s="1"/>
      <c r="E4" s="1"/>
      <c r="F4" s="1"/>
      <c r="G4" s="1"/>
      <c r="H4" t="s">
        <v>43</v>
      </c>
      <c r="K4" s="1">
        <v>0</v>
      </c>
      <c r="L4" s="1">
        <f>B20</f>
        <v>3500000</v>
      </c>
      <c r="M4" s="1"/>
      <c r="N4" s="15">
        <v>16973.402999999998</v>
      </c>
      <c r="O4" s="1">
        <f>N4-M4</f>
        <v>16973.402999999998</v>
      </c>
      <c r="P4" s="1">
        <f>L4-O4</f>
        <v>3483026.5970000001</v>
      </c>
    </row>
    <row r="5" spans="1:16" x14ac:dyDescent="0.2">
      <c r="A5" s="1" t="s">
        <v>6</v>
      </c>
      <c r="B5" s="1">
        <f>Inversionista!B5</f>
        <v>0</v>
      </c>
      <c r="C5" s="1"/>
      <c r="D5" s="1"/>
      <c r="E5" s="1"/>
      <c r="F5" s="1"/>
      <c r="G5" s="1"/>
      <c r="H5" t="s">
        <v>43</v>
      </c>
      <c r="K5" s="1">
        <v>1</v>
      </c>
      <c r="L5" s="1">
        <f>P4</f>
        <v>3483026.5970000001</v>
      </c>
      <c r="M5" s="1">
        <f>$L$12*L5</f>
        <v>348302.65970000002</v>
      </c>
      <c r="N5" s="4">
        <f>N4*(1.08)</f>
        <v>18331.275239999999</v>
      </c>
      <c r="O5" s="1">
        <f>N5-M5</f>
        <v>-329971.38446000003</v>
      </c>
      <c r="P5" s="1">
        <f>L5-O5</f>
        <v>3812997.9814599999</v>
      </c>
    </row>
    <row r="6" spans="1:16" x14ac:dyDescent="0.2">
      <c r="A6" s="1" t="s">
        <v>7</v>
      </c>
      <c r="B6" s="1"/>
      <c r="C6" s="1">
        <f>Inversionista!C6</f>
        <v>8000000</v>
      </c>
      <c r="D6" s="1">
        <f>Inversionista!D6</f>
        <v>8000000</v>
      </c>
      <c r="E6" s="1">
        <f>Inversionista!E6</f>
        <v>8000000</v>
      </c>
      <c r="F6" s="1">
        <f>Inversionista!F6</f>
        <v>0</v>
      </c>
      <c r="G6" s="1"/>
      <c r="K6" s="1">
        <v>2</v>
      </c>
      <c r="L6" s="1">
        <f t="shared" ref="L6:L7" si="0">P5</f>
        <v>3812997.9814599999</v>
      </c>
      <c r="M6" s="1">
        <f t="shared" ref="M6:M7" si="1">$L$12*L6</f>
        <v>381299.79814600002</v>
      </c>
      <c r="N6" s="4">
        <f>N5*(1.08)</f>
        <v>19797.7772592</v>
      </c>
      <c r="O6" s="1">
        <f>N6-M6</f>
        <v>-361502.02088680002</v>
      </c>
      <c r="P6" s="1">
        <f>L6-O6</f>
        <v>4174500.0023467997</v>
      </c>
    </row>
    <row r="7" spans="1:16" x14ac:dyDescent="0.2">
      <c r="A7" s="1" t="s">
        <v>8</v>
      </c>
      <c r="B7" s="1"/>
      <c r="C7" s="1">
        <f>Inversionista!C7</f>
        <v>0</v>
      </c>
      <c r="D7" s="1">
        <f>Inversionista!D7</f>
        <v>0</v>
      </c>
      <c r="E7" s="1">
        <f>Inversionista!E7</f>
        <v>0</v>
      </c>
      <c r="F7" s="1">
        <f>Inversionista!F7</f>
        <v>0</v>
      </c>
      <c r="G7" s="1"/>
      <c r="H7" t="s">
        <v>43</v>
      </c>
      <c r="K7" s="1">
        <v>3</v>
      </c>
      <c r="L7" s="1">
        <f t="shared" si="0"/>
        <v>4174500.0023467997</v>
      </c>
      <c r="M7" s="1">
        <f t="shared" si="1"/>
        <v>417450.00023468002</v>
      </c>
      <c r="N7" s="4">
        <f>N6*(1.08)</f>
        <v>21381.599439936002</v>
      </c>
      <c r="O7" s="1">
        <f t="shared" ref="O7" si="2">N7-M7</f>
        <v>-396068.40079474403</v>
      </c>
      <c r="P7" s="1">
        <f>L7-O7</f>
        <v>4570568.4031415433</v>
      </c>
    </row>
    <row r="8" spans="1:16" x14ac:dyDescent="0.2">
      <c r="A8" s="1" t="s">
        <v>9</v>
      </c>
      <c r="B8" s="1"/>
      <c r="C8" s="1">
        <f>Inversionista!C8</f>
        <v>-1000000</v>
      </c>
      <c r="D8" s="1">
        <f>Inversionista!D8</f>
        <v>-1000000</v>
      </c>
      <c r="E8" s="1">
        <f>Inversionista!E8</f>
        <v>-1000000</v>
      </c>
      <c r="F8" s="1">
        <f>Inversionista!F8</f>
        <v>0</v>
      </c>
      <c r="G8" s="1"/>
      <c r="H8" t="s">
        <v>43</v>
      </c>
      <c r="K8" s="1">
        <v>4</v>
      </c>
      <c r="L8" s="1"/>
      <c r="M8" s="1"/>
      <c r="N8" s="14"/>
      <c r="O8" s="1"/>
      <c r="P8" s="1"/>
    </row>
    <row r="9" spans="1:16" x14ac:dyDescent="0.2">
      <c r="A9" s="1" t="s">
        <v>10</v>
      </c>
      <c r="B9" s="1"/>
      <c r="C9" s="1"/>
      <c r="D9" s="1"/>
      <c r="E9" s="1">
        <f>Inversionista!E9</f>
        <v>0</v>
      </c>
      <c r="F9" s="1">
        <f>Inversionista!F9</f>
        <v>0</v>
      </c>
      <c r="G9" s="1"/>
      <c r="K9" s="1" t="s">
        <v>44</v>
      </c>
      <c r="L9" s="1"/>
      <c r="M9" s="1"/>
      <c r="N9" s="1"/>
      <c r="O9" s="1"/>
      <c r="P9" s="1"/>
    </row>
    <row r="10" spans="1:16" x14ac:dyDescent="0.2">
      <c r="A10" s="1" t="s">
        <v>11</v>
      </c>
      <c r="B10" s="1"/>
      <c r="C10" s="1"/>
      <c r="D10" s="1"/>
      <c r="E10" s="1">
        <f>Inversionista!E10</f>
        <v>0</v>
      </c>
      <c r="F10" s="1">
        <f>Inversionista!F10</f>
        <v>0</v>
      </c>
      <c r="G10" s="1"/>
    </row>
    <row r="11" spans="1:16" x14ac:dyDescent="0.2">
      <c r="A11" s="2" t="s">
        <v>19</v>
      </c>
      <c r="B11" s="1"/>
      <c r="C11" s="1">
        <f>SUM(C4:C10)</f>
        <v>7000000</v>
      </c>
      <c r="D11" s="1">
        <f t="shared" ref="D11:F11" si="3">SUM(D4:D10)</f>
        <v>7000000</v>
      </c>
      <c r="E11" s="1">
        <f>SUM(E4:E10)</f>
        <v>7000000</v>
      </c>
      <c r="F11" s="1">
        <f t="shared" si="3"/>
        <v>0</v>
      </c>
      <c r="G11" s="1"/>
    </row>
    <row r="12" spans="1:16" s="5" customFormat="1" x14ac:dyDescent="0.2">
      <c r="A12" s="4" t="s">
        <v>0</v>
      </c>
      <c r="B12" s="4">
        <f>M4</f>
        <v>0</v>
      </c>
      <c r="C12" s="12">
        <v>420000</v>
      </c>
      <c r="D12" s="12">
        <v>295533.42816500721</v>
      </c>
      <c r="E12" s="12">
        <v>156130.86770981533</v>
      </c>
      <c r="F12" s="12">
        <f>M8</f>
        <v>0</v>
      </c>
      <c r="G12" s="4"/>
      <c r="H12" s="5" t="s">
        <v>33</v>
      </c>
      <c r="K12" s="5" t="s">
        <v>48</v>
      </c>
      <c r="L12" s="10">
        <v>0.1</v>
      </c>
    </row>
    <row r="13" spans="1:16" s="5" customFormat="1" x14ac:dyDescent="0.2">
      <c r="A13" s="2" t="s">
        <v>12</v>
      </c>
      <c r="B13" s="4"/>
      <c r="C13" s="4">
        <f>C11-C12</f>
        <v>6580000</v>
      </c>
      <c r="D13" s="4">
        <f t="shared" ref="D13:F13" si="4">D11-D12</f>
        <v>6704466.5718349926</v>
      </c>
      <c r="E13" s="4">
        <f t="shared" si="4"/>
        <v>6843869.1322901845</v>
      </c>
      <c r="F13" s="4">
        <f t="shared" si="4"/>
        <v>0</v>
      </c>
      <c r="G13" s="4"/>
      <c r="K13" s="5" t="s">
        <v>47</v>
      </c>
      <c r="L13" s="5">
        <v>2</v>
      </c>
    </row>
    <row r="14" spans="1:16" s="5" customFormat="1" x14ac:dyDescent="0.2">
      <c r="A14" s="4" t="s">
        <v>1</v>
      </c>
      <c r="B14" s="4"/>
      <c r="C14" s="11">
        <f>Inversionista!$B$22*C13</f>
        <v>1776600.0000000002</v>
      </c>
      <c r="D14" s="11">
        <f>Inversionista!$B$22*D13</f>
        <v>1810205.9743954481</v>
      </c>
      <c r="E14" s="11">
        <f>Inversionista!$B$22*E13</f>
        <v>1847844.6657183499</v>
      </c>
      <c r="F14" s="11">
        <f>Inversionista!$B$22*F13</f>
        <v>0</v>
      </c>
      <c r="G14" s="4"/>
      <c r="H14" s="5" t="s">
        <v>33</v>
      </c>
    </row>
    <row r="15" spans="1:16" s="5" customFormat="1" x14ac:dyDescent="0.2">
      <c r="A15" s="2" t="s">
        <v>21</v>
      </c>
      <c r="B15" s="4"/>
      <c r="C15" s="4">
        <f>C13-C14</f>
        <v>4803400</v>
      </c>
      <c r="D15" s="4">
        <f t="shared" ref="D15:E15" si="5">D13-D14</f>
        <v>4894260.5974395443</v>
      </c>
      <c r="E15" s="4">
        <f t="shared" si="5"/>
        <v>4996024.4665718349</v>
      </c>
      <c r="F15" s="4">
        <f>F13-F14</f>
        <v>0</v>
      </c>
      <c r="G15" s="4"/>
      <c r="K15" s="5" t="s">
        <v>49</v>
      </c>
      <c r="L15" s="5">
        <f>B20*(1+L12)/L13</f>
        <v>1925000.0000000002</v>
      </c>
    </row>
    <row r="16" spans="1:16" x14ac:dyDescent="0.2">
      <c r="A16" s="1" t="s">
        <v>9</v>
      </c>
      <c r="B16" s="1"/>
      <c r="C16" s="1">
        <f>-C8</f>
        <v>1000000</v>
      </c>
      <c r="D16" s="1">
        <f t="shared" ref="D16:F16" si="6">-D8</f>
        <v>1000000</v>
      </c>
      <c r="E16" s="1">
        <f t="shared" si="6"/>
        <v>1000000</v>
      </c>
      <c r="F16" s="1">
        <f t="shared" si="6"/>
        <v>0</v>
      </c>
      <c r="G16" s="1"/>
    </row>
    <row r="17" spans="1:15" x14ac:dyDescent="0.2">
      <c r="A17" s="1" t="s">
        <v>13</v>
      </c>
      <c r="B17" s="1"/>
      <c r="C17" s="1"/>
      <c r="D17" s="1"/>
      <c r="E17" s="1">
        <f>Inversionista!E15</f>
        <v>500000</v>
      </c>
      <c r="F17" s="1">
        <f>Inversionista!F15</f>
        <v>0</v>
      </c>
      <c r="G17" s="1"/>
    </row>
    <row r="18" spans="1:15" x14ac:dyDescent="0.2">
      <c r="A18" s="1" t="s">
        <v>14</v>
      </c>
      <c r="B18" s="1"/>
      <c r="C18" s="1"/>
      <c r="D18" s="1"/>
      <c r="E18" s="1">
        <f>Inversionista!E16</f>
        <v>0</v>
      </c>
      <c r="F18" s="1">
        <f>Inversionista!F16</f>
        <v>0</v>
      </c>
      <c r="G18" s="1"/>
      <c r="K18" t="s">
        <v>50</v>
      </c>
      <c r="L18" s="15">
        <v>17575.462500000001</v>
      </c>
      <c r="N18" s="5"/>
      <c r="O18" s="5"/>
    </row>
    <row r="19" spans="1:15" x14ac:dyDescent="0.2">
      <c r="A19" s="1" t="s">
        <v>22</v>
      </c>
      <c r="B19" s="1"/>
      <c r="C19" s="12">
        <v>-1037221.4319582731</v>
      </c>
      <c r="D19" s="12">
        <v>-1161688.0037932659</v>
      </c>
      <c r="E19" s="12">
        <v>-1301090.5642484578</v>
      </c>
      <c r="F19" s="12">
        <f>-K27</f>
        <v>0</v>
      </c>
      <c r="G19" s="1"/>
      <c r="H19" t="s">
        <v>43</v>
      </c>
    </row>
    <row r="20" spans="1:15" x14ac:dyDescent="0.2">
      <c r="A20" s="1" t="s">
        <v>23</v>
      </c>
      <c r="B20" s="12">
        <v>3500000</v>
      </c>
      <c r="C20" s="1"/>
      <c r="D20" s="1"/>
      <c r="E20" s="1"/>
      <c r="F20" s="1"/>
      <c r="G20" s="1"/>
      <c r="H20" t="s">
        <v>33</v>
      </c>
    </row>
    <row r="21" spans="1:15" x14ac:dyDescent="0.2">
      <c r="A21" s="2" t="s">
        <v>15</v>
      </c>
      <c r="B21" s="1">
        <f>SUM(B4:B20)</f>
        <v>0</v>
      </c>
      <c r="C21" s="1">
        <f>SUM(C15:C20)</f>
        <v>4766178.5680417269</v>
      </c>
      <c r="D21" s="1">
        <f>SUM(D15:D20)</f>
        <v>4732572.5936462786</v>
      </c>
      <c r="E21" s="1">
        <f>SUM(E15:E20)</f>
        <v>5194933.9023233773</v>
      </c>
      <c r="F21" s="1">
        <f>SUM(F15:F20)</f>
        <v>0</v>
      </c>
      <c r="G21" s="1"/>
      <c r="N21" s="13"/>
    </row>
    <row r="22" spans="1:15" x14ac:dyDescent="0.2">
      <c r="A22" s="6" t="s">
        <v>45</v>
      </c>
      <c r="B22">
        <f>B21</f>
        <v>0</v>
      </c>
      <c r="C22">
        <f>C21/(1+Inversionista!$B$21)^C3</f>
        <v>4108774.6276221788</v>
      </c>
      <c r="D22">
        <f>D21/(1+Inversionista!$B$21)^D3</f>
        <v>3517072.3793447376</v>
      </c>
      <c r="E22">
        <f>E21/(1+Inversionista!$B$21)^E3</f>
        <v>3328174.2680635853</v>
      </c>
      <c r="F22">
        <f>F21/(1+Inversionista!$B$21)^F3</f>
        <v>0</v>
      </c>
      <c r="N22" s="13"/>
    </row>
    <row r="23" spans="1:15" x14ac:dyDescent="0.2">
      <c r="N23" s="13"/>
    </row>
    <row r="24" spans="1:15" x14ac:dyDescent="0.2">
      <c r="A24" t="s">
        <v>24</v>
      </c>
      <c r="B24">
        <f>SUM(B22:F22)</f>
        <v>10954021.275030501</v>
      </c>
    </row>
    <row r="27" spans="1:15" x14ac:dyDescent="0.2">
      <c r="E27">
        <v>1037221.4319582731</v>
      </c>
      <c r="F27">
        <f>-E27</f>
        <v>-1037221.4319582731</v>
      </c>
      <c r="G27">
        <v>-1037221.4319582731</v>
      </c>
    </row>
    <row r="28" spans="1:15" x14ac:dyDescent="0.2">
      <c r="E28">
        <v>1161688.0037932659</v>
      </c>
      <c r="F28">
        <f t="shared" ref="F28:G29" si="7">-E28</f>
        <v>-1161688.0037932659</v>
      </c>
      <c r="G28">
        <v>-1161688.0037932659</v>
      </c>
    </row>
    <row r="29" spans="1:15" x14ac:dyDescent="0.2">
      <c r="E29">
        <v>1301090.5642484578</v>
      </c>
      <c r="F29">
        <f t="shared" si="7"/>
        <v>-1301090.5642484578</v>
      </c>
      <c r="G29">
        <v>-1301090.5642484578</v>
      </c>
    </row>
    <row r="31" spans="1:15" x14ac:dyDescent="0.2">
      <c r="E31">
        <v>-1037221.4319582731</v>
      </c>
      <c r="F31">
        <v>-1161688.0037932659</v>
      </c>
      <c r="G31">
        <v>-1301090.5642484578</v>
      </c>
    </row>
  </sheetData>
  <mergeCells count="1">
    <mergeCell ref="A1:F2"/>
  </mergeCells>
  <pageMargins left="0.7" right="0.7" top="0.75" bottom="0.75" header="0.3" footer="0.3"/>
  <ignoredErrors>
    <ignoredError sqref="D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58BA-FCA0-CC4B-AD90-ADD06DEC4545}">
  <dimension ref="A1:L27"/>
  <sheetViews>
    <sheetView zoomScale="150" workbookViewId="0">
      <selection activeCell="A31" sqref="A31"/>
    </sheetView>
  </sheetViews>
  <sheetFormatPr baseColWidth="10" defaultRowHeight="16" x14ac:dyDescent="0.2"/>
  <cols>
    <col min="1" max="1" width="27.5" bestFit="1" customWidth="1"/>
  </cols>
  <sheetData>
    <row r="1" spans="1:12" x14ac:dyDescent="0.2">
      <c r="A1" s="40" t="s">
        <v>26</v>
      </c>
      <c r="B1" s="40"/>
      <c r="C1" s="40"/>
      <c r="D1" s="40"/>
      <c r="E1" s="40"/>
    </row>
    <row r="2" spans="1:12" x14ac:dyDescent="0.2">
      <c r="A2" s="40"/>
      <c r="B2" s="40"/>
      <c r="C2" s="40"/>
      <c r="D2" s="40"/>
      <c r="E2" s="40"/>
      <c r="J2" t="s">
        <v>27</v>
      </c>
      <c r="K2" t="s">
        <v>103</v>
      </c>
      <c r="L2" t="s">
        <v>104</v>
      </c>
    </row>
    <row r="3" spans="1:12" x14ac:dyDescent="0.2">
      <c r="A3" s="1" t="s">
        <v>4</v>
      </c>
      <c r="B3" s="1">
        <v>0</v>
      </c>
      <c r="C3" s="1">
        <v>1</v>
      </c>
      <c r="D3" s="1">
        <v>2</v>
      </c>
      <c r="E3" s="1">
        <v>3</v>
      </c>
      <c r="F3" s="4">
        <v>4</v>
      </c>
      <c r="I3">
        <v>0</v>
      </c>
      <c r="J3">
        <v>3808.4953203743721</v>
      </c>
      <c r="K3">
        <v>0</v>
      </c>
      <c r="L3">
        <f>$B$18*K3</f>
        <v>0</v>
      </c>
    </row>
    <row r="4" spans="1:12" x14ac:dyDescent="0.2">
      <c r="A4" s="1" t="s">
        <v>23</v>
      </c>
      <c r="B4" s="1">
        <f>Financista!B20</f>
        <v>3500000</v>
      </c>
      <c r="C4" s="1"/>
      <c r="D4" s="1"/>
      <c r="E4" s="1"/>
      <c r="F4" s="1"/>
      <c r="G4" t="s">
        <v>33</v>
      </c>
      <c r="I4">
        <v>1</v>
      </c>
      <c r="J4">
        <v>3808.4953203743721</v>
      </c>
      <c r="K4">
        <v>928.72570194384423</v>
      </c>
      <c r="L4">
        <f t="shared" ref="L4:L9" si="0">$B$18*K4</f>
        <v>250.75593952483797</v>
      </c>
    </row>
    <row r="5" spans="1:12" x14ac:dyDescent="0.2">
      <c r="A5" s="1" t="s">
        <v>27</v>
      </c>
      <c r="B5" s="15"/>
      <c r="C5" s="12">
        <v>-1457221.43195827</v>
      </c>
      <c r="D5" s="12">
        <v>-1457221.43195827</v>
      </c>
      <c r="E5" s="12">
        <v>-1457221.43195827</v>
      </c>
      <c r="F5" s="12">
        <f>-J7</f>
        <v>0</v>
      </c>
      <c r="G5" t="s">
        <v>43</v>
      </c>
      <c r="I5">
        <v>2</v>
      </c>
      <c r="J5">
        <v>3808.4953203743721</v>
      </c>
      <c r="K5">
        <v>496.76025917926506</v>
      </c>
      <c r="L5">
        <f t="shared" si="0"/>
        <v>134.12526997840158</v>
      </c>
    </row>
    <row r="6" spans="1:12" x14ac:dyDescent="0.2">
      <c r="A6" s="1" t="s">
        <v>29</v>
      </c>
      <c r="B6" s="1">
        <f>L3</f>
        <v>0</v>
      </c>
      <c r="C6" s="12">
        <f>$B$18*D24</f>
        <v>113400.00000000001</v>
      </c>
      <c r="D6" s="12">
        <f t="shared" ref="D6:E6" si="1">$B$18*E24</f>
        <v>79794.025604551949</v>
      </c>
      <c r="E6" s="12">
        <f t="shared" si="1"/>
        <v>42155.334281650139</v>
      </c>
      <c r="F6" s="12">
        <f>L7</f>
        <v>0</v>
      </c>
      <c r="G6" t="s">
        <v>33</v>
      </c>
      <c r="I6">
        <v>3</v>
      </c>
      <c r="L6">
        <f t="shared" si="0"/>
        <v>0</v>
      </c>
    </row>
    <row r="7" spans="1:12" x14ac:dyDescent="0.2">
      <c r="A7" s="1" t="s">
        <v>2</v>
      </c>
      <c r="B7" s="1">
        <f>SUM(B4:B6)</f>
        <v>3500000</v>
      </c>
      <c r="C7" s="1">
        <f>SUM(C5:C6)</f>
        <v>-1343821.43195827</v>
      </c>
      <c r="D7" s="1">
        <f t="shared" ref="D7:E7" si="2">SUM(D5:D6)</f>
        <v>-1377427.4063537181</v>
      </c>
      <c r="E7" s="1">
        <f t="shared" si="2"/>
        <v>-1415066.0976766199</v>
      </c>
      <c r="F7" s="1"/>
      <c r="I7">
        <v>4</v>
      </c>
      <c r="L7">
        <f t="shared" si="0"/>
        <v>0</v>
      </c>
    </row>
    <row r="8" spans="1:12" x14ac:dyDescent="0.2">
      <c r="A8" s="6" t="s">
        <v>45</v>
      </c>
      <c r="B8">
        <f>B7</f>
        <v>3500000</v>
      </c>
      <c r="C8">
        <f>C7/(1+Inversionista!$B$21)^C3</f>
        <v>-1158466.751688164</v>
      </c>
      <c r="D8">
        <f>D7/(1+Inversionista!$B$21)^D3</f>
        <v>-1023652.9476469369</v>
      </c>
      <c r="E8">
        <f>E7/(1+Inversionista!$B$21)^E3</f>
        <v>-906572.954044741</v>
      </c>
      <c r="I8">
        <v>5</v>
      </c>
      <c r="L8">
        <f t="shared" si="0"/>
        <v>0</v>
      </c>
    </row>
    <row r="9" spans="1:12" x14ac:dyDescent="0.2">
      <c r="A9" t="s">
        <v>28</v>
      </c>
      <c r="B9" s="8">
        <f>SUM(B8:E8)</f>
        <v>411307.34662015841</v>
      </c>
      <c r="I9">
        <v>6</v>
      </c>
      <c r="L9">
        <f t="shared" si="0"/>
        <v>0</v>
      </c>
    </row>
    <row r="13" spans="1:12" x14ac:dyDescent="0.2">
      <c r="A13" t="s">
        <v>30</v>
      </c>
      <c r="B13" t="s">
        <v>31</v>
      </c>
      <c r="C13" t="s">
        <v>32</v>
      </c>
      <c r="D13" t="s">
        <v>33</v>
      </c>
      <c r="E13" t="s">
        <v>34</v>
      </c>
    </row>
    <row r="14" spans="1:12" x14ac:dyDescent="0.2">
      <c r="A14" s="3">
        <f>Financista!B24</f>
        <v>10954021.275030501</v>
      </c>
      <c r="C14">
        <f>Inversionista!B19</f>
        <v>10542713.928410351</v>
      </c>
      <c r="D14" s="2">
        <f>C14+E14</f>
        <v>10954021.275030511</v>
      </c>
      <c r="E14">
        <f>B9</f>
        <v>411307.34662015841</v>
      </c>
    </row>
    <row r="18" spans="1:6" x14ac:dyDescent="0.2">
      <c r="A18" t="s">
        <v>46</v>
      </c>
      <c r="B18" s="7">
        <f>Inversionista!B22</f>
        <v>0.27</v>
      </c>
    </row>
    <row r="24" spans="1:6" x14ac:dyDescent="0.2">
      <c r="D24">
        <v>420000</v>
      </c>
      <c r="E24">
        <v>295533.42816500721</v>
      </c>
      <c r="F24">
        <v>156130.86770981533</v>
      </c>
    </row>
    <row r="25" spans="1:6" x14ac:dyDescent="0.2">
      <c r="E25" s="13"/>
      <c r="F25" s="15"/>
    </row>
    <row r="26" spans="1:6" x14ac:dyDescent="0.2">
      <c r="E26" s="13"/>
      <c r="F26" s="15"/>
    </row>
    <row r="27" spans="1:6" x14ac:dyDescent="0.2">
      <c r="E27" s="13"/>
      <c r="F27" s="15"/>
    </row>
  </sheetData>
  <mergeCells count="1">
    <mergeCell ref="A1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3799-0962-FD4F-AB46-8C1AA3DE8582}">
  <dimension ref="A1:L28"/>
  <sheetViews>
    <sheetView workbookViewId="0">
      <selection activeCell="J29" sqref="J29"/>
    </sheetView>
  </sheetViews>
  <sheetFormatPr baseColWidth="10" defaultRowHeight="16" x14ac:dyDescent="0.2"/>
  <cols>
    <col min="1" max="1" width="22" bestFit="1" customWidth="1"/>
    <col min="9" max="9" width="22" bestFit="1" customWidth="1"/>
  </cols>
  <sheetData>
    <row r="1" spans="1:12" x14ac:dyDescent="0.2">
      <c r="A1" s="1" t="s">
        <v>4</v>
      </c>
      <c r="B1" s="1">
        <v>0</v>
      </c>
      <c r="C1" s="1">
        <v>1</v>
      </c>
      <c r="D1" s="1">
        <v>2</v>
      </c>
      <c r="I1" s="1" t="s">
        <v>4</v>
      </c>
      <c r="J1" s="1">
        <v>0</v>
      </c>
      <c r="K1" s="1">
        <v>1</v>
      </c>
      <c r="L1" s="1">
        <v>2</v>
      </c>
    </row>
    <row r="2" spans="1:12" x14ac:dyDescent="0.2">
      <c r="A2" s="1" t="s">
        <v>5</v>
      </c>
      <c r="B2" s="1">
        <v>-30000</v>
      </c>
      <c r="C2" s="1"/>
      <c r="D2" s="1"/>
      <c r="I2" s="1" t="s">
        <v>5</v>
      </c>
      <c r="J2" s="1">
        <v>-28000</v>
      </c>
      <c r="K2" s="1"/>
      <c r="L2" s="1"/>
    </row>
    <row r="3" spans="1:12" x14ac:dyDescent="0.2">
      <c r="A3" s="1" t="s">
        <v>6</v>
      </c>
      <c r="B3" s="1">
        <v>-4000</v>
      </c>
      <c r="C3" s="1"/>
      <c r="D3" s="1"/>
      <c r="I3" s="1" t="s">
        <v>6</v>
      </c>
      <c r="J3" s="1">
        <v>-6000</v>
      </c>
      <c r="K3" s="1"/>
      <c r="L3" s="1"/>
    </row>
    <row r="4" spans="1:12" x14ac:dyDescent="0.2">
      <c r="A4" s="1" t="s">
        <v>7</v>
      </c>
      <c r="B4" s="1"/>
      <c r="C4" s="1">
        <v>40000</v>
      </c>
      <c r="D4" s="1">
        <v>40000</v>
      </c>
      <c r="I4" s="1" t="s">
        <v>7</v>
      </c>
      <c r="J4" s="1"/>
      <c r="K4" s="1">
        <v>42000</v>
      </c>
      <c r="L4" s="1">
        <v>42000</v>
      </c>
    </row>
    <row r="5" spans="1:12" x14ac:dyDescent="0.2">
      <c r="A5" s="1" t="s">
        <v>8</v>
      </c>
      <c r="B5" s="1"/>
      <c r="C5" s="1">
        <v>-10000</v>
      </c>
      <c r="D5" s="1">
        <v>-10000</v>
      </c>
      <c r="I5" s="1" t="s">
        <v>8</v>
      </c>
      <c r="J5" s="1"/>
      <c r="K5" s="1">
        <v>-12000</v>
      </c>
      <c r="L5" s="1">
        <v>-12000</v>
      </c>
    </row>
    <row r="6" spans="1:12" x14ac:dyDescent="0.2">
      <c r="A6" s="1" t="s">
        <v>9</v>
      </c>
      <c r="B6" s="1"/>
      <c r="C6">
        <f>-C27</f>
        <v>-10000</v>
      </c>
      <c r="D6">
        <f>-C27</f>
        <v>-10000</v>
      </c>
      <c r="I6" s="1" t="s">
        <v>9</v>
      </c>
      <c r="J6" s="1"/>
      <c r="K6" s="13">
        <f>-J28</f>
        <v>-8000</v>
      </c>
      <c r="L6" s="13">
        <f>-J28</f>
        <v>-8000</v>
      </c>
    </row>
    <row r="7" spans="1:12" x14ac:dyDescent="0.2">
      <c r="A7" s="1" t="s">
        <v>10</v>
      </c>
      <c r="B7" s="1"/>
      <c r="C7" s="1"/>
      <c r="D7" s="1">
        <v>1000</v>
      </c>
      <c r="I7" s="1" t="s">
        <v>10</v>
      </c>
      <c r="J7" s="1"/>
      <c r="K7" s="1"/>
      <c r="L7" s="1">
        <v>-2000</v>
      </c>
    </row>
    <row r="8" spans="1:12" x14ac:dyDescent="0.2">
      <c r="A8" s="1" t="s">
        <v>35</v>
      </c>
      <c r="B8" s="1"/>
      <c r="C8" s="1"/>
      <c r="D8" s="1">
        <v>-2000</v>
      </c>
      <c r="I8" s="1" t="s">
        <v>35</v>
      </c>
      <c r="J8" s="1"/>
      <c r="K8" s="1"/>
      <c r="L8" s="1">
        <v>3000</v>
      </c>
    </row>
    <row r="9" spans="1:12" x14ac:dyDescent="0.2">
      <c r="A9" s="2" t="s">
        <v>12</v>
      </c>
      <c r="B9" s="1"/>
      <c r="C9" s="1">
        <f>SUM(C2:C8)</f>
        <v>20000</v>
      </c>
      <c r="D9" s="1">
        <f>SUM(D2:D8)</f>
        <v>19000</v>
      </c>
      <c r="I9" s="2" t="s">
        <v>12</v>
      </c>
      <c r="J9" s="1"/>
      <c r="K9" s="1">
        <f>SUM(K2:K8)</f>
        <v>22000</v>
      </c>
      <c r="L9" s="1">
        <f>SUM(L2:L8)</f>
        <v>23000</v>
      </c>
    </row>
    <row r="10" spans="1:12" x14ac:dyDescent="0.2">
      <c r="A10" s="4" t="s">
        <v>20</v>
      </c>
      <c r="B10" s="1"/>
      <c r="C10" s="1">
        <f>$B$20*C9</f>
        <v>5000</v>
      </c>
      <c r="D10" s="1">
        <f>$B$20*D9</f>
        <v>4750</v>
      </c>
      <c r="I10" s="4" t="s">
        <v>20</v>
      </c>
      <c r="J10" s="1"/>
      <c r="K10" s="1">
        <f>$B$20*K9</f>
        <v>5500</v>
      </c>
      <c r="L10" s="1">
        <f>$B$20*L9</f>
        <v>5750</v>
      </c>
    </row>
    <row r="11" spans="1:12" x14ac:dyDescent="0.2">
      <c r="A11" s="2" t="s">
        <v>21</v>
      </c>
      <c r="B11" s="1"/>
      <c r="C11" s="1">
        <f>C9-C10</f>
        <v>15000</v>
      </c>
      <c r="D11" s="1">
        <f t="shared" ref="D11" si="0">D9-D10</f>
        <v>14250</v>
      </c>
      <c r="I11" s="2" t="s">
        <v>21</v>
      </c>
      <c r="J11" s="1"/>
      <c r="K11" s="1">
        <f>K9-K10</f>
        <v>16500</v>
      </c>
      <c r="L11" s="1">
        <f t="shared" ref="L11" si="1">L9-L10</f>
        <v>17250</v>
      </c>
    </row>
    <row r="12" spans="1:12" x14ac:dyDescent="0.2">
      <c r="A12" s="1" t="s">
        <v>9</v>
      </c>
      <c r="B12" s="1"/>
      <c r="C12" s="1">
        <f>-C6</f>
        <v>10000</v>
      </c>
      <c r="D12" s="1">
        <f t="shared" ref="D12" si="2">-D6</f>
        <v>10000</v>
      </c>
      <c r="I12" s="1" t="s">
        <v>9</v>
      </c>
      <c r="J12" s="1"/>
      <c r="K12" s="1">
        <f>-K6</f>
        <v>8000</v>
      </c>
      <c r="L12" s="1">
        <f t="shared" ref="L12" si="3">-L6</f>
        <v>8000</v>
      </c>
    </row>
    <row r="13" spans="1:12" x14ac:dyDescent="0.2">
      <c r="A13" s="1" t="s">
        <v>13</v>
      </c>
      <c r="B13" s="1"/>
      <c r="C13" s="1"/>
      <c r="D13" s="1">
        <v>10000</v>
      </c>
      <c r="I13" s="1" t="s">
        <v>13</v>
      </c>
      <c r="J13" s="1"/>
      <c r="K13" s="1"/>
      <c r="L13" s="1">
        <v>12000</v>
      </c>
    </row>
    <row r="14" spans="1:12" x14ac:dyDescent="0.2">
      <c r="A14" s="1" t="s">
        <v>14</v>
      </c>
      <c r="B14" s="1"/>
      <c r="C14" s="1"/>
      <c r="D14" s="1">
        <v>4000</v>
      </c>
      <c r="I14" s="1" t="s">
        <v>14</v>
      </c>
      <c r="J14" s="1"/>
      <c r="K14" s="1"/>
      <c r="L14" s="1">
        <v>6000</v>
      </c>
    </row>
    <row r="15" spans="1:12" x14ac:dyDescent="0.2">
      <c r="A15" s="2" t="s">
        <v>15</v>
      </c>
      <c r="B15" s="1">
        <f>B3+B2</f>
        <v>-34000</v>
      </c>
      <c r="C15" s="1">
        <f>C12+C11</f>
        <v>25000</v>
      </c>
      <c r="D15" s="1">
        <f>SUM(D11:D14)</f>
        <v>38250</v>
      </c>
      <c r="I15" s="2" t="s">
        <v>15</v>
      </c>
      <c r="J15" s="1">
        <f>J3+J2</f>
        <v>-34000</v>
      </c>
      <c r="K15" s="1">
        <f>K12+K11</f>
        <v>24500</v>
      </c>
      <c r="L15" s="1">
        <f>SUM(L11:L14)</f>
        <v>43250</v>
      </c>
    </row>
    <row r="16" spans="1:12" x14ac:dyDescent="0.2">
      <c r="A16" s="4" t="s">
        <v>36</v>
      </c>
      <c r="B16" s="1">
        <f>B15</f>
        <v>-34000</v>
      </c>
      <c r="C16" s="1">
        <f>C15/(1+$B$21)^C1</f>
        <v>22321.428571428569</v>
      </c>
      <c r="D16" s="1">
        <f t="shared" ref="D16" si="4">D15/(1+$B$21)^D1</f>
        <v>30492.665816326527</v>
      </c>
      <c r="I16" s="4" t="s">
        <v>36</v>
      </c>
      <c r="J16" s="1">
        <f>J15</f>
        <v>-34000</v>
      </c>
      <c r="K16" s="1">
        <f>K15/(1+$B$21)^K1</f>
        <v>21874.999999999996</v>
      </c>
      <c r="L16" s="1">
        <f t="shared" ref="L16" si="5">L15/(1+$B$21)^L1</f>
        <v>34478.635204081627</v>
      </c>
    </row>
    <row r="17" spans="1:10" x14ac:dyDescent="0.2">
      <c r="A17" s="8" t="s">
        <v>52</v>
      </c>
      <c r="B17" s="9">
        <f>SUM(B16:F16)</f>
        <v>18814.094387755096</v>
      </c>
      <c r="I17" s="8" t="s">
        <v>53</v>
      </c>
      <c r="J17" s="9">
        <f>SUM(J16:N16)</f>
        <v>22353.635204081624</v>
      </c>
    </row>
    <row r="20" spans="1:10" x14ac:dyDescent="0.2">
      <c r="A20" t="s">
        <v>51</v>
      </c>
      <c r="B20" s="7">
        <v>0.25</v>
      </c>
      <c r="I20" t="s">
        <v>51</v>
      </c>
      <c r="J20" s="7">
        <v>0.25</v>
      </c>
    </row>
    <row r="21" spans="1:10" x14ac:dyDescent="0.2">
      <c r="A21" t="s">
        <v>17</v>
      </c>
      <c r="B21" s="7">
        <v>0.12</v>
      </c>
      <c r="I21" t="s">
        <v>17</v>
      </c>
      <c r="J21" s="7">
        <v>0.12</v>
      </c>
    </row>
    <row r="27" spans="1:10" x14ac:dyDescent="0.2">
      <c r="B27" t="s">
        <v>62</v>
      </c>
      <c r="C27">
        <f>(30000-10000)/2</f>
        <v>10000</v>
      </c>
    </row>
    <row r="28" spans="1:10" x14ac:dyDescent="0.2">
      <c r="I28" t="s">
        <v>62</v>
      </c>
      <c r="J28">
        <f>(28000-12000)/2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3B2C-2AC6-1143-B8B1-1B9AE6F1D6F9}">
  <dimension ref="D2:R35"/>
  <sheetViews>
    <sheetView workbookViewId="0">
      <selection activeCell="N5" sqref="N5"/>
    </sheetView>
  </sheetViews>
  <sheetFormatPr baseColWidth="10" defaultRowHeight="16" x14ac:dyDescent="0.2"/>
  <sheetData>
    <row r="2" spans="4:18" x14ac:dyDescent="0.2">
      <c r="M2" t="s">
        <v>3</v>
      </c>
    </row>
    <row r="3" spans="4:18" x14ac:dyDescent="0.2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</row>
    <row r="4" spans="4:18" x14ac:dyDescent="0.2">
      <c r="E4">
        <v>-600000</v>
      </c>
      <c r="M4">
        <v>-600000</v>
      </c>
    </row>
    <row r="5" spans="4:18" x14ac:dyDescent="0.2">
      <c r="F5">
        <v>160000</v>
      </c>
      <c r="G5">
        <v>220000</v>
      </c>
      <c r="H5">
        <v>240000</v>
      </c>
      <c r="I5">
        <v>260000</v>
      </c>
      <c r="J5">
        <v>220000</v>
      </c>
      <c r="N5">
        <v>160000</v>
      </c>
      <c r="O5">
        <v>220000</v>
      </c>
      <c r="P5">
        <v>240000</v>
      </c>
      <c r="Q5">
        <v>260000</v>
      </c>
      <c r="R5">
        <v>220000</v>
      </c>
    </row>
    <row r="6" spans="4:18" x14ac:dyDescent="0.2">
      <c r="D6" t="s">
        <v>55</v>
      </c>
      <c r="F6">
        <f>0.25*F5</f>
        <v>40000</v>
      </c>
      <c r="G6">
        <f t="shared" ref="G6:J6" si="0">0.25*G5</f>
        <v>55000</v>
      </c>
      <c r="H6">
        <f t="shared" si="0"/>
        <v>60000</v>
      </c>
      <c r="I6">
        <f t="shared" si="0"/>
        <v>65000</v>
      </c>
      <c r="J6">
        <f t="shared" si="0"/>
        <v>55000</v>
      </c>
      <c r="N6">
        <v>18000</v>
      </c>
      <c r="O6">
        <v>14806.864792238592</v>
      </c>
      <c r="P6">
        <v>11422.141472011499</v>
      </c>
      <c r="Q6">
        <v>7834.3347525707813</v>
      </c>
      <c r="R6">
        <v>4031.2596299636198</v>
      </c>
    </row>
    <row r="7" spans="4:18" x14ac:dyDescent="0.2">
      <c r="D7" t="s">
        <v>54</v>
      </c>
      <c r="F7">
        <f>F5-F6</f>
        <v>120000</v>
      </c>
      <c r="G7">
        <f t="shared" ref="G7:J7" si="1">G5-G6</f>
        <v>165000</v>
      </c>
      <c r="H7">
        <f t="shared" si="1"/>
        <v>180000</v>
      </c>
      <c r="I7">
        <f t="shared" si="1"/>
        <v>195000</v>
      </c>
      <c r="J7">
        <f t="shared" si="1"/>
        <v>165000</v>
      </c>
      <c r="L7" t="s">
        <v>12</v>
      </c>
      <c r="N7">
        <f>N5-N6</f>
        <v>142000</v>
      </c>
      <c r="O7">
        <f t="shared" ref="O7:R7" si="2">O5-O6</f>
        <v>205193.1352077614</v>
      </c>
      <c r="P7">
        <f t="shared" si="2"/>
        <v>228577.85852798849</v>
      </c>
      <c r="Q7">
        <f t="shared" si="2"/>
        <v>252165.66524742922</v>
      </c>
      <c r="R7">
        <f t="shared" si="2"/>
        <v>215968.74037003639</v>
      </c>
    </row>
    <row r="8" spans="4:18" x14ac:dyDescent="0.2">
      <c r="E8">
        <f>E4</f>
        <v>-600000</v>
      </c>
      <c r="F8">
        <f>F7</f>
        <v>120000</v>
      </c>
      <c r="G8">
        <f t="shared" ref="G8:J8" si="3">G7</f>
        <v>165000</v>
      </c>
      <c r="H8">
        <f t="shared" si="3"/>
        <v>180000</v>
      </c>
      <c r="I8">
        <f t="shared" si="3"/>
        <v>195000</v>
      </c>
      <c r="J8">
        <f t="shared" si="3"/>
        <v>165000</v>
      </c>
      <c r="L8" t="s">
        <v>56</v>
      </c>
      <c r="N8">
        <f>0.25*N7</f>
        <v>35500</v>
      </c>
      <c r="O8">
        <f t="shared" ref="O8:R8" si="4">0.25*O7</f>
        <v>51298.28380194035</v>
      </c>
      <c r="P8">
        <f t="shared" si="4"/>
        <v>57144.464631997122</v>
      </c>
      <c r="Q8">
        <f t="shared" si="4"/>
        <v>63041.416311857305</v>
      </c>
      <c r="R8">
        <f t="shared" si="4"/>
        <v>53992.185092509098</v>
      </c>
    </row>
    <row r="9" spans="4:18" x14ac:dyDescent="0.2">
      <c r="E9">
        <f>E8/(1.18)^E3</f>
        <v>-600000</v>
      </c>
      <c r="F9">
        <f>F8/(1.18)^F3</f>
        <v>101694.91525423729</v>
      </c>
      <c r="G9">
        <f t="shared" ref="G9:J9" si="5">G8/(1.18)^G3</f>
        <v>118500.43091065787</v>
      </c>
      <c r="H9">
        <f t="shared" si="5"/>
        <v>109553.55708227229</v>
      </c>
      <c r="I9">
        <f t="shared" si="5"/>
        <v>100578.83065462853</v>
      </c>
      <c r="J9">
        <f t="shared" si="5"/>
        <v>72123.020678025685</v>
      </c>
      <c r="L9" t="s">
        <v>21</v>
      </c>
      <c r="N9">
        <f>N7-N8</f>
        <v>106500</v>
      </c>
      <c r="O9">
        <f t="shared" ref="O9:R9" si="6">O7-O8</f>
        <v>153894.85140582104</v>
      </c>
      <c r="P9">
        <f t="shared" si="6"/>
        <v>171433.39389599138</v>
      </c>
      <c r="Q9">
        <f t="shared" si="6"/>
        <v>189124.24893557193</v>
      </c>
      <c r="R9">
        <f t="shared" si="6"/>
        <v>161976.55527752731</v>
      </c>
    </row>
    <row r="10" spans="4:18" x14ac:dyDescent="0.2">
      <c r="L10" t="s">
        <v>57</v>
      </c>
      <c r="N10">
        <v>53218.920129356804</v>
      </c>
      <c r="O10">
        <v>56412.05533711821</v>
      </c>
      <c r="P10">
        <v>59796.778657345305</v>
      </c>
      <c r="Q10">
        <v>63384.585376786024</v>
      </c>
      <c r="R10">
        <v>67187.660499393183</v>
      </c>
    </row>
    <row r="11" spans="4:18" x14ac:dyDescent="0.2">
      <c r="L11" t="s">
        <v>61</v>
      </c>
      <c r="M11">
        <v>300000</v>
      </c>
    </row>
    <row r="12" spans="4:18" x14ac:dyDescent="0.2">
      <c r="L12" t="s">
        <v>58</v>
      </c>
      <c r="M12">
        <f>M4+M11</f>
        <v>-300000</v>
      </c>
      <c r="N12">
        <f>N9-N10</f>
        <v>53281.079870643196</v>
      </c>
      <c r="O12">
        <f t="shared" ref="O12:R12" si="7">O9-O10</f>
        <v>97482.796068702824</v>
      </c>
      <c r="P12">
        <f t="shared" si="7"/>
        <v>111636.61523864607</v>
      </c>
      <c r="Q12">
        <f t="shared" si="7"/>
        <v>125739.66355878591</v>
      </c>
      <c r="R12">
        <f t="shared" si="7"/>
        <v>94788.894778134127</v>
      </c>
    </row>
    <row r="13" spans="4:18" x14ac:dyDescent="0.2">
      <c r="E13" t="s">
        <v>32</v>
      </c>
      <c r="F13">
        <f>SUM(E9:J9)</f>
        <v>-97549.245420178326</v>
      </c>
      <c r="L13" t="s">
        <v>59</v>
      </c>
      <c r="M13">
        <f>M12/(1.18^M3)</f>
        <v>-300000</v>
      </c>
      <c r="N13">
        <f t="shared" ref="N13:R13" si="8">N12/(1.18^N3)</f>
        <v>45153.457517494237</v>
      </c>
      <c r="O13">
        <f t="shared" si="8"/>
        <v>70010.626306164064</v>
      </c>
      <c r="P13">
        <f t="shared" si="8"/>
        <v>67945.490555659344</v>
      </c>
      <c r="Q13">
        <f t="shared" si="8"/>
        <v>64855.119628969711</v>
      </c>
      <c r="R13">
        <f t="shared" si="8"/>
        <v>41433.099503821628</v>
      </c>
    </row>
    <row r="15" spans="4:18" x14ac:dyDescent="0.2">
      <c r="L15" t="s">
        <v>60</v>
      </c>
      <c r="M15">
        <f>SUM(M13:R13)</f>
        <v>-10602.206487891024</v>
      </c>
    </row>
    <row r="23" spans="5:18" x14ac:dyDescent="0.2">
      <c r="N23">
        <v>71218.920129356804</v>
      </c>
      <c r="P23">
        <v>18000</v>
      </c>
      <c r="Q23">
        <f>0.25*P23</f>
        <v>4500</v>
      </c>
      <c r="R23">
        <v>4500</v>
      </c>
    </row>
    <row r="24" spans="5:18" x14ac:dyDescent="0.2">
      <c r="E24" s="1" t="s">
        <v>4</v>
      </c>
      <c r="F24" s="1">
        <v>0</v>
      </c>
      <c r="G24" s="1">
        <v>1</v>
      </c>
      <c r="H24" s="1">
        <v>2</v>
      </c>
      <c r="I24" s="1">
        <v>3</v>
      </c>
      <c r="J24" s="4">
        <v>4</v>
      </c>
      <c r="K24" s="6">
        <v>5</v>
      </c>
      <c r="N24">
        <v>71218.920129356804</v>
      </c>
      <c r="P24">
        <v>19080</v>
      </c>
      <c r="Q24">
        <f t="shared" ref="Q24:Q27" si="9">0.25*P24</f>
        <v>4770</v>
      </c>
      <c r="R24">
        <v>4770</v>
      </c>
    </row>
    <row r="25" spans="5:18" x14ac:dyDescent="0.2">
      <c r="E25" s="1" t="s">
        <v>23</v>
      </c>
      <c r="F25" s="1">
        <v>300000</v>
      </c>
      <c r="G25" s="1"/>
      <c r="H25" s="1"/>
      <c r="I25" s="1"/>
      <c r="J25" s="1"/>
      <c r="N25">
        <v>71218.920129356804</v>
      </c>
      <c r="P25">
        <v>15951.664792238593</v>
      </c>
      <c r="Q25">
        <f t="shared" si="9"/>
        <v>3987.9161980596482</v>
      </c>
      <c r="R25">
        <v>3987.9161980596482</v>
      </c>
    </row>
    <row r="26" spans="5:18" x14ac:dyDescent="0.2">
      <c r="E26" s="1" t="s">
        <v>27</v>
      </c>
      <c r="F26" s="15"/>
      <c r="G26">
        <v>-71218.920129356804</v>
      </c>
      <c r="H26">
        <v>-71218.920129356804</v>
      </c>
      <c r="I26">
        <v>-71218.920129356804</v>
      </c>
      <c r="J26">
        <v>-71218.920129356804</v>
      </c>
      <c r="K26">
        <v>-71218.920129356804</v>
      </c>
      <c r="N26">
        <v>71218.920129356804</v>
      </c>
      <c r="P26">
        <v>12635.629472011498</v>
      </c>
      <c r="Q26">
        <f t="shared" si="9"/>
        <v>3158.9073680028746</v>
      </c>
      <c r="R26">
        <v>3158.9073680028746</v>
      </c>
    </row>
    <row r="27" spans="5:18" x14ac:dyDescent="0.2">
      <c r="E27" s="1" t="s">
        <v>29</v>
      </c>
      <c r="F27" s="1"/>
      <c r="G27">
        <v>4500</v>
      </c>
      <c r="H27">
        <v>3701.7161980596479</v>
      </c>
      <c r="I27">
        <v>2855.5353680028747</v>
      </c>
      <c r="J27">
        <v>1958.5836881426953</v>
      </c>
      <c r="K27">
        <v>1007.8149074909049</v>
      </c>
      <c r="N27">
        <v>71218.920129356804</v>
      </c>
      <c r="P27">
        <v>9120.6320325707784</v>
      </c>
      <c r="Q27">
        <f t="shared" si="9"/>
        <v>2280.1580081426946</v>
      </c>
      <c r="R27">
        <v>2280.1580081426946</v>
      </c>
    </row>
    <row r="28" spans="5:18" x14ac:dyDescent="0.2">
      <c r="E28" s="1" t="s">
        <v>2</v>
      </c>
      <c r="F28" s="1">
        <f>SUM(F25:F27)</f>
        <v>300000</v>
      </c>
      <c r="G28" s="1">
        <f>SUM(G26:G27)</f>
        <v>-66718.920129356804</v>
      </c>
      <c r="H28" s="1">
        <f t="shared" ref="H28:K28" si="10">SUM(H26:H27)</f>
        <v>-67517.203931297161</v>
      </c>
      <c r="I28" s="1">
        <f t="shared" si="10"/>
        <v>-68363.384761353926</v>
      </c>
      <c r="J28" s="1">
        <f t="shared" si="10"/>
        <v>-69260.336441214109</v>
      </c>
      <c r="K28" s="1">
        <f t="shared" si="10"/>
        <v>-70211.105221865902</v>
      </c>
    </row>
    <row r="29" spans="5:18" x14ac:dyDescent="0.2">
      <c r="E29" s="6" t="s">
        <v>45</v>
      </c>
      <c r="F29">
        <f>F28</f>
        <v>300000</v>
      </c>
      <c r="G29">
        <f>G28/(1+Inversionista!$B$21)^G24</f>
        <v>-57516.310456342078</v>
      </c>
      <c r="H29">
        <f>H28/(1+Inversionista!$B$21)^H24</f>
        <v>-50176.281161784456</v>
      </c>
      <c r="I29">
        <f>I28/(1+Inversionista!$B$21)^I24</f>
        <v>-43797.527036621228</v>
      </c>
      <c r="J29">
        <f>J28/(1+Inversionista!$B$21)^J24</f>
        <v>-38251.867252689197</v>
      </c>
      <c r="K29">
        <f>K28/(1+Inversionista!$B$21)^K24</f>
        <v>-33428.421022746428</v>
      </c>
    </row>
    <row r="30" spans="5:18" x14ac:dyDescent="0.2">
      <c r="E30" t="s">
        <v>28</v>
      </c>
      <c r="F30" s="8">
        <f>SUM(F29:K29)</f>
        <v>76829.593069816619</v>
      </c>
    </row>
    <row r="31" spans="5:18" x14ac:dyDescent="0.2">
      <c r="P31">
        <v>18000</v>
      </c>
      <c r="Q31">
        <f>0.25*P31</f>
        <v>4500</v>
      </c>
      <c r="R31">
        <v>4500</v>
      </c>
    </row>
    <row r="32" spans="5:18" x14ac:dyDescent="0.2">
      <c r="P32">
        <v>14806.864792238592</v>
      </c>
      <c r="Q32">
        <f t="shared" ref="Q32:Q35" si="11">0.25*P32</f>
        <v>3701.7161980596479</v>
      </c>
      <c r="R32">
        <v>3701.7161980596479</v>
      </c>
    </row>
    <row r="33" spans="9:18" x14ac:dyDescent="0.2">
      <c r="P33">
        <v>11422.141472011499</v>
      </c>
      <c r="Q33">
        <f t="shared" si="11"/>
        <v>2855.5353680028747</v>
      </c>
      <c r="R33">
        <v>2855.5353680028747</v>
      </c>
    </row>
    <row r="34" spans="9:18" x14ac:dyDescent="0.2">
      <c r="I34">
        <f>M15</f>
        <v>-10602.206487891024</v>
      </c>
      <c r="J34">
        <f>F30+F13</f>
        <v>-20719.652350361706</v>
      </c>
      <c r="P34">
        <v>7834.3347525707813</v>
      </c>
      <c r="Q34">
        <f t="shared" si="11"/>
        <v>1958.5836881426953</v>
      </c>
      <c r="R34">
        <v>1958.5836881426953</v>
      </c>
    </row>
    <row r="35" spans="9:18" x14ac:dyDescent="0.2">
      <c r="P35">
        <v>4031.2596299636198</v>
      </c>
      <c r="Q35">
        <f t="shared" si="11"/>
        <v>1007.8149074909049</v>
      </c>
      <c r="R35">
        <v>1007.8149074909049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1DA-4493-0E43-8D7B-7967F3CBF28C}">
  <dimension ref="A1:AE66"/>
  <sheetViews>
    <sheetView workbookViewId="0">
      <selection activeCell="Y11" sqref="Y11"/>
    </sheetView>
  </sheetViews>
  <sheetFormatPr baseColWidth="10" defaultRowHeight="16" x14ac:dyDescent="0.2"/>
  <cols>
    <col min="13" max="13" width="22" bestFit="1" customWidth="1"/>
    <col min="14" max="14" width="12.83203125" bestFit="1" customWidth="1"/>
    <col min="15" max="16" width="12.1640625" bestFit="1" customWidth="1"/>
    <col min="17" max="17" width="11.1640625" bestFit="1" customWidth="1"/>
    <col min="18" max="18" width="9.1640625" bestFit="1" customWidth="1"/>
    <col min="24" max="24" width="27.5" bestFit="1" customWidth="1"/>
  </cols>
  <sheetData>
    <row r="1" spans="1:31" x14ac:dyDescent="0.2">
      <c r="A1" s="16" t="s">
        <v>63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62</v>
      </c>
      <c r="I1" t="s">
        <v>95</v>
      </c>
      <c r="M1" t="s">
        <v>3</v>
      </c>
    </row>
    <row r="2" spans="1:31" x14ac:dyDescent="0.2">
      <c r="A2" t="s">
        <v>64</v>
      </c>
      <c r="B2">
        <v>1200</v>
      </c>
      <c r="C2">
        <v>36</v>
      </c>
      <c r="D2">
        <f>B2*C2</f>
        <v>43200</v>
      </c>
      <c r="E2">
        <v>10</v>
      </c>
      <c r="F2" s="17">
        <v>0.6</v>
      </c>
      <c r="G2">
        <f>D2*F2</f>
        <v>25920</v>
      </c>
      <c r="H2">
        <f>(D2-G2)/E2</f>
        <v>1728</v>
      </c>
      <c r="I2">
        <f>D2-5*H2</f>
        <v>34560</v>
      </c>
      <c r="M2" s="1" t="s">
        <v>4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4">
        <v>5</v>
      </c>
      <c r="X2" s="40" t="s">
        <v>26</v>
      </c>
      <c r="Y2" s="40"/>
      <c r="Z2" s="40"/>
      <c r="AA2" s="40"/>
      <c r="AB2" s="40"/>
    </row>
    <row r="3" spans="1:31" x14ac:dyDescent="0.2">
      <c r="A3" t="s">
        <v>65</v>
      </c>
      <c r="B3">
        <v>8000</v>
      </c>
      <c r="C3">
        <v>27</v>
      </c>
      <c r="D3">
        <f>B3*C3</f>
        <v>216000</v>
      </c>
      <c r="E3">
        <v>10</v>
      </c>
      <c r="F3" s="17">
        <v>0.4</v>
      </c>
      <c r="G3">
        <f t="shared" ref="G3:G7" si="0">D3*F3</f>
        <v>86400</v>
      </c>
      <c r="H3">
        <f t="shared" ref="H3:H5" si="1">(D3-G3)/E3</f>
        <v>12960</v>
      </c>
      <c r="I3">
        <f>D3-5*H3</f>
        <v>151200</v>
      </c>
      <c r="M3" s="1" t="s">
        <v>5</v>
      </c>
      <c r="N3" s="19">
        <f>-B8</f>
        <v>-1084200</v>
      </c>
      <c r="O3" s="1"/>
      <c r="P3" s="1"/>
      <c r="Q3" s="1"/>
      <c r="R3" s="1"/>
      <c r="S3" s="1"/>
      <c r="X3" s="40"/>
      <c r="Y3" s="40"/>
      <c r="Z3" s="40"/>
      <c r="AA3" s="40"/>
      <c r="AB3" s="40"/>
    </row>
    <row r="4" spans="1:31" x14ac:dyDescent="0.2">
      <c r="A4" t="s">
        <v>66</v>
      </c>
      <c r="D4">
        <v>525000</v>
      </c>
      <c r="E4">
        <v>5</v>
      </c>
      <c r="F4" s="17">
        <v>0.2</v>
      </c>
      <c r="G4">
        <f t="shared" si="0"/>
        <v>105000</v>
      </c>
      <c r="H4">
        <f t="shared" si="1"/>
        <v>84000</v>
      </c>
      <c r="I4">
        <f t="shared" ref="I4:I5" si="2">D4-5*H4</f>
        <v>105000</v>
      </c>
      <c r="M4" s="1" t="s">
        <v>85</v>
      </c>
      <c r="N4" s="21">
        <f>-D7</f>
        <v>-480000</v>
      </c>
      <c r="O4" s="1"/>
      <c r="P4" s="1"/>
      <c r="Q4" s="1"/>
      <c r="R4" s="1"/>
      <c r="S4" s="1"/>
      <c r="X4" s="1" t="s">
        <v>4</v>
      </c>
      <c r="Y4" s="1">
        <v>0</v>
      </c>
      <c r="Z4" s="1">
        <v>1</v>
      </c>
      <c r="AA4" s="1">
        <v>2</v>
      </c>
      <c r="AB4" s="1">
        <v>3</v>
      </c>
      <c r="AC4" s="4">
        <v>4</v>
      </c>
      <c r="AD4" s="4">
        <v>5</v>
      </c>
    </row>
    <row r="5" spans="1:31" x14ac:dyDescent="0.2">
      <c r="A5" t="s">
        <v>67</v>
      </c>
      <c r="D5">
        <v>300000</v>
      </c>
      <c r="E5">
        <v>5</v>
      </c>
      <c r="F5" s="17">
        <v>0.3</v>
      </c>
      <c r="G5">
        <f t="shared" si="0"/>
        <v>90000</v>
      </c>
      <c r="H5">
        <f t="shared" si="1"/>
        <v>42000</v>
      </c>
      <c r="I5">
        <f t="shared" si="2"/>
        <v>90000</v>
      </c>
      <c r="M5" s="4" t="s">
        <v>86</v>
      </c>
      <c r="N5" s="24">
        <f>-D6</f>
        <v>-1175000</v>
      </c>
      <c r="O5" s="1"/>
      <c r="P5" s="1"/>
      <c r="Q5" s="1"/>
      <c r="R5" s="1"/>
      <c r="S5" s="1"/>
      <c r="X5" s="1" t="s">
        <v>23</v>
      </c>
      <c r="Y5" s="1">
        <f>-Y14*SUM(N3:N5)</f>
        <v>1095680</v>
      </c>
      <c r="Z5" s="1"/>
      <c r="AA5" s="1"/>
      <c r="AB5" s="1"/>
      <c r="AC5" s="1"/>
      <c r="AD5" s="1"/>
      <c r="AE5" t="s">
        <v>33</v>
      </c>
    </row>
    <row r="6" spans="1:31" x14ac:dyDescent="0.2">
      <c r="A6" t="s">
        <v>68</v>
      </c>
      <c r="D6" s="23">
        <v>1175000</v>
      </c>
      <c r="F6" s="17"/>
      <c r="M6" s="1" t="s">
        <v>7</v>
      </c>
      <c r="N6" s="1"/>
      <c r="O6" s="1">
        <f>$D$12</f>
        <v>11250000</v>
      </c>
      <c r="P6" s="1">
        <f t="shared" ref="P6:S6" si="3">$D$12</f>
        <v>11250000</v>
      </c>
      <c r="Q6" s="1">
        <f t="shared" si="3"/>
        <v>11250000</v>
      </c>
      <c r="R6" s="1">
        <f t="shared" si="3"/>
        <v>11250000</v>
      </c>
      <c r="S6" s="1">
        <f t="shared" si="3"/>
        <v>11250000</v>
      </c>
      <c r="X6" s="1" t="s">
        <v>27</v>
      </c>
      <c r="Y6" s="15"/>
      <c r="Z6">
        <v>-274420.12813979102</v>
      </c>
      <c r="AA6">
        <v>-274420.12813979102</v>
      </c>
      <c r="AB6">
        <v>-274420.12813979102</v>
      </c>
      <c r="AC6">
        <v>-274420.12813979102</v>
      </c>
      <c r="AD6">
        <v>-274420.12813979102</v>
      </c>
      <c r="AE6" t="s">
        <v>43</v>
      </c>
    </row>
    <row r="7" spans="1:31" x14ac:dyDescent="0.2">
      <c r="A7" t="s">
        <v>69</v>
      </c>
      <c r="B7">
        <v>10000</v>
      </c>
      <c r="C7">
        <v>48</v>
      </c>
      <c r="D7" s="22">
        <f>B7*C7</f>
        <v>480000</v>
      </c>
      <c r="F7" s="17">
        <v>1</v>
      </c>
      <c r="G7">
        <f t="shared" si="0"/>
        <v>480000</v>
      </c>
      <c r="H7">
        <f>0</f>
        <v>0</v>
      </c>
      <c r="M7" s="1" t="s">
        <v>8</v>
      </c>
      <c r="N7" s="1"/>
      <c r="O7" s="1">
        <f>-$D$14</f>
        <v>-7470000</v>
      </c>
      <c r="P7" s="1">
        <f t="shared" ref="P7:S7" si="4">-$D$14</f>
        <v>-7470000</v>
      </c>
      <c r="Q7" s="1">
        <f t="shared" si="4"/>
        <v>-7470000</v>
      </c>
      <c r="R7" s="1">
        <f t="shared" si="4"/>
        <v>-7470000</v>
      </c>
      <c r="S7" s="1">
        <f t="shared" si="4"/>
        <v>-7470000</v>
      </c>
      <c r="X7" s="1" t="s">
        <v>29</v>
      </c>
      <c r="Y7" s="1"/>
      <c r="Z7">
        <v>13148.160000000002</v>
      </c>
      <c r="AA7">
        <v>10906.971262322504</v>
      </c>
      <c r="AB7">
        <v>8486.4874256308067</v>
      </c>
      <c r="AC7">
        <v>5872.3648820037733</v>
      </c>
      <c r="AD7">
        <v>3049.112534886578</v>
      </c>
      <c r="AE7" t="s">
        <v>33</v>
      </c>
    </row>
    <row r="8" spans="1:31" x14ac:dyDescent="0.2">
      <c r="A8" t="s">
        <v>93</v>
      </c>
      <c r="B8" s="20">
        <f>SUM(D2:D5)</f>
        <v>1084200</v>
      </c>
      <c r="M8" s="4" t="s">
        <v>79</v>
      </c>
      <c r="N8" s="1"/>
      <c r="O8" s="1">
        <f>-$B$21</f>
        <v>-210000</v>
      </c>
      <c r="P8" s="1">
        <f t="shared" ref="P8:S8" si="5">-$B$21</f>
        <v>-210000</v>
      </c>
      <c r="Q8" s="1">
        <f t="shared" si="5"/>
        <v>-210000</v>
      </c>
      <c r="R8" s="1">
        <f t="shared" si="5"/>
        <v>-210000</v>
      </c>
      <c r="S8" s="1">
        <f t="shared" si="5"/>
        <v>-210000</v>
      </c>
      <c r="X8" s="1" t="s">
        <v>2</v>
      </c>
      <c r="Y8" s="1">
        <f>Y5</f>
        <v>1095680</v>
      </c>
      <c r="Z8" s="1">
        <f>SUM(Z6:Z7)</f>
        <v>-261271.96813979102</v>
      </c>
      <c r="AA8" s="1">
        <f t="shared" ref="AA8:AD8" si="6">SUM(AA6:AA7)</f>
        <v>-263513.15687746851</v>
      </c>
      <c r="AB8" s="1">
        <f t="shared" si="6"/>
        <v>-265933.64071416022</v>
      </c>
      <c r="AC8" s="1">
        <f t="shared" si="6"/>
        <v>-268547.76325778727</v>
      </c>
      <c r="AD8" s="1">
        <f t="shared" si="6"/>
        <v>-271371.01560490445</v>
      </c>
    </row>
    <row r="9" spans="1:31" x14ac:dyDescent="0.2">
      <c r="A9" t="s">
        <v>94</v>
      </c>
      <c r="B9">
        <f>SUM(H2:H5)</f>
        <v>140688</v>
      </c>
      <c r="M9" s="1" t="s">
        <v>9</v>
      </c>
      <c r="N9" s="1"/>
      <c r="O9" s="18">
        <f>-$B$9</f>
        <v>-140688</v>
      </c>
      <c r="P9" s="18">
        <f t="shared" ref="P9:S9" si="7">-$B$9</f>
        <v>-140688</v>
      </c>
      <c r="Q9" s="18">
        <f t="shared" si="7"/>
        <v>-140688</v>
      </c>
      <c r="R9" s="18">
        <f t="shared" si="7"/>
        <v>-140688</v>
      </c>
      <c r="S9" s="18">
        <f t="shared" si="7"/>
        <v>-140688</v>
      </c>
      <c r="X9" s="6" t="s">
        <v>45</v>
      </c>
      <c r="Y9">
        <f>Y8</f>
        <v>1095680</v>
      </c>
      <c r="Z9">
        <f>Z8/(1+$B$24)^Z4</f>
        <v>-233278.54298195624</v>
      </c>
      <c r="AA9">
        <f t="shared" ref="AA9:AD9" si="8">AA8/(1+$B$24)^AA4</f>
        <v>-210071.07531685944</v>
      </c>
      <c r="AB9">
        <f t="shared" si="8"/>
        <v>-189286.31268944754</v>
      </c>
      <c r="AC9">
        <f t="shared" si="8"/>
        <v>-170666.95846550449</v>
      </c>
      <c r="AD9">
        <f t="shared" si="8"/>
        <v>-153983.20211785386</v>
      </c>
    </row>
    <row r="10" spans="1:31" x14ac:dyDescent="0.2">
      <c r="M10" s="1" t="s">
        <v>10</v>
      </c>
      <c r="N10" s="1"/>
      <c r="O10" s="1"/>
      <c r="P10" s="1"/>
      <c r="Q10" s="1"/>
      <c r="R10" s="1"/>
      <c r="S10" s="1"/>
      <c r="X10" t="s">
        <v>28</v>
      </c>
      <c r="Y10" s="8">
        <f>SUM(Y9:AD9)</f>
        <v>138393.90842837846</v>
      </c>
    </row>
    <row r="11" spans="1:31" x14ac:dyDescent="0.2">
      <c r="A11" t="s">
        <v>76</v>
      </c>
      <c r="B11" t="s">
        <v>77</v>
      </c>
      <c r="C11" t="s">
        <v>78</v>
      </c>
      <c r="D11" t="s">
        <v>72</v>
      </c>
      <c r="M11" s="1" t="s">
        <v>35</v>
      </c>
      <c r="N11" s="1"/>
      <c r="O11" s="1"/>
      <c r="P11" s="1"/>
      <c r="Q11" s="1"/>
      <c r="R11" s="1"/>
      <c r="S11" s="1"/>
    </row>
    <row r="12" spans="1:31" x14ac:dyDescent="0.2">
      <c r="B12">
        <v>12500</v>
      </c>
      <c r="C12">
        <v>900</v>
      </c>
      <c r="D12">
        <f>C12*B12</f>
        <v>11250000</v>
      </c>
      <c r="M12" s="2" t="s">
        <v>12</v>
      </c>
      <c r="N12" s="1"/>
      <c r="O12" s="1">
        <f>SUM(O6:O9)</f>
        <v>3429312</v>
      </c>
      <c r="P12" s="1">
        <f t="shared" ref="P12:S12" si="9">SUM(P6:P9)</f>
        <v>3429312</v>
      </c>
      <c r="Q12" s="1">
        <f t="shared" si="9"/>
        <v>3429312</v>
      </c>
      <c r="R12" s="1">
        <f t="shared" si="9"/>
        <v>3429312</v>
      </c>
      <c r="S12" s="1">
        <f t="shared" si="9"/>
        <v>3429312</v>
      </c>
    </row>
    <row r="13" spans="1:31" x14ac:dyDescent="0.2">
      <c r="A13" t="s">
        <v>8</v>
      </c>
      <c r="M13" s="4" t="s">
        <v>20</v>
      </c>
      <c r="N13" s="1"/>
      <c r="O13" s="1">
        <f>O12*$B$25</f>
        <v>514396.8</v>
      </c>
      <c r="P13" s="1">
        <f t="shared" ref="P13:S13" si="10">P12*$B$25</f>
        <v>514396.8</v>
      </c>
      <c r="Q13" s="1">
        <f t="shared" si="10"/>
        <v>514396.8</v>
      </c>
      <c r="R13" s="1">
        <f t="shared" si="10"/>
        <v>514396.8</v>
      </c>
      <c r="S13" s="1">
        <f t="shared" si="10"/>
        <v>514396.8</v>
      </c>
    </row>
    <row r="14" spans="1:31" x14ac:dyDescent="0.2">
      <c r="B14">
        <v>8300</v>
      </c>
      <c r="C14">
        <f>C12</f>
        <v>900</v>
      </c>
      <c r="D14">
        <f>B14*C14</f>
        <v>7470000</v>
      </c>
      <c r="M14" s="2" t="s">
        <v>21</v>
      </c>
      <c r="N14" s="1"/>
      <c r="O14" s="1">
        <f>O12-O13</f>
        <v>2914915.2</v>
      </c>
      <c r="P14" s="1">
        <f t="shared" ref="P14:S14" si="11">P12-P13</f>
        <v>2914915.2</v>
      </c>
      <c r="Q14" s="1">
        <f t="shared" si="11"/>
        <v>2914915.2</v>
      </c>
      <c r="R14" s="1">
        <f t="shared" si="11"/>
        <v>2914915.2</v>
      </c>
      <c r="S14" s="1">
        <f t="shared" si="11"/>
        <v>2914915.2</v>
      </c>
      <c r="X14" t="s">
        <v>96</v>
      </c>
      <c r="Y14" s="17">
        <v>0.4</v>
      </c>
    </row>
    <row r="15" spans="1:31" x14ac:dyDescent="0.2">
      <c r="M15" s="1" t="s">
        <v>9</v>
      </c>
      <c r="N15" s="1"/>
      <c r="O15" s="1">
        <f>-O9</f>
        <v>140688</v>
      </c>
      <c r="P15" s="1">
        <f t="shared" ref="P15:S15" si="12">-P9</f>
        <v>140688</v>
      </c>
      <c r="Q15" s="1">
        <f t="shared" si="12"/>
        <v>140688</v>
      </c>
      <c r="R15" s="1">
        <f t="shared" si="12"/>
        <v>140688</v>
      </c>
      <c r="S15" s="1">
        <f t="shared" si="12"/>
        <v>140688</v>
      </c>
      <c r="X15" t="s">
        <v>46</v>
      </c>
      <c r="Y15" s="7">
        <f>B25</f>
        <v>0.15</v>
      </c>
    </row>
    <row r="16" spans="1:31" x14ac:dyDescent="0.2">
      <c r="M16" s="1" t="s">
        <v>88</v>
      </c>
      <c r="N16" s="1"/>
      <c r="O16" s="1"/>
      <c r="P16" s="1"/>
      <c r="Q16" s="1"/>
      <c r="R16" s="1"/>
      <c r="S16" s="1">
        <f>I2</f>
        <v>34560</v>
      </c>
    </row>
    <row r="17" spans="1:29" x14ac:dyDescent="0.2">
      <c r="A17" t="s">
        <v>79</v>
      </c>
      <c r="M17" s="4" t="s">
        <v>89</v>
      </c>
      <c r="N17" s="1"/>
      <c r="O17" s="1"/>
      <c r="P17" s="1"/>
      <c r="Q17" s="1"/>
      <c r="R17" s="1"/>
      <c r="S17" s="1">
        <f t="shared" ref="S17:S19" si="13">I3</f>
        <v>151200</v>
      </c>
    </row>
    <row r="18" spans="1:29" x14ac:dyDescent="0.2">
      <c r="A18" t="s">
        <v>80</v>
      </c>
      <c r="B18">
        <v>180000</v>
      </c>
      <c r="M18" s="4" t="s">
        <v>90</v>
      </c>
      <c r="N18" s="1"/>
      <c r="O18" s="1"/>
      <c r="P18" s="1"/>
      <c r="Q18" s="1"/>
      <c r="R18" s="1"/>
      <c r="S18" s="1">
        <f t="shared" si="13"/>
        <v>105000</v>
      </c>
    </row>
    <row r="19" spans="1:29" x14ac:dyDescent="0.2">
      <c r="A19" t="s">
        <v>81</v>
      </c>
      <c r="B19">
        <v>25000</v>
      </c>
      <c r="M19" s="4" t="s">
        <v>91</v>
      </c>
      <c r="N19" s="1"/>
      <c r="O19" s="1"/>
      <c r="P19" s="1"/>
      <c r="Q19" s="1"/>
      <c r="R19" s="1"/>
      <c r="S19" s="1">
        <f t="shared" si="13"/>
        <v>90000</v>
      </c>
    </row>
    <row r="20" spans="1:29" x14ac:dyDescent="0.2">
      <c r="A20" t="s">
        <v>82</v>
      </c>
      <c r="B20">
        <v>5000</v>
      </c>
      <c r="M20" s="1" t="s">
        <v>92</v>
      </c>
      <c r="N20" s="1"/>
      <c r="O20" s="1"/>
      <c r="P20" s="1"/>
      <c r="Q20" s="1"/>
      <c r="R20" s="1"/>
      <c r="S20" s="1">
        <f>G7</f>
        <v>480000</v>
      </c>
      <c r="AA20">
        <v>87654.400000000009</v>
      </c>
      <c r="AB20">
        <f>$Y$15*AA20</f>
        <v>13148.160000000002</v>
      </c>
      <c r="AC20">
        <v>13148.160000000002</v>
      </c>
    </row>
    <row r="21" spans="1:29" x14ac:dyDescent="0.2">
      <c r="A21" t="s">
        <v>83</v>
      </c>
      <c r="B21">
        <f>SUM(B18:B20)</f>
        <v>210000</v>
      </c>
      <c r="M21" s="6" t="s">
        <v>87</v>
      </c>
      <c r="S21" s="6">
        <f>D6</f>
        <v>1175000</v>
      </c>
      <c r="AA21">
        <v>72713.141748816692</v>
      </c>
      <c r="AB21">
        <f t="shared" ref="AB21:AB24" si="14">$Y$15*AA21</f>
        <v>10906.971262322504</v>
      </c>
      <c r="AC21">
        <v>10906.971262322504</v>
      </c>
    </row>
    <row r="22" spans="1:29" x14ac:dyDescent="0.2">
      <c r="M22" s="2" t="s">
        <v>15</v>
      </c>
      <c r="N22" s="1">
        <f>SUM(N3:N5)</f>
        <v>-2739200</v>
      </c>
      <c r="O22" s="1">
        <f>SUM(O14:O15)</f>
        <v>3055603.2</v>
      </c>
      <c r="P22" s="1">
        <f t="shared" ref="P22:R22" si="15">SUM(P14:P15)</f>
        <v>3055603.2</v>
      </c>
      <c r="Q22" s="1">
        <f t="shared" si="15"/>
        <v>3055603.2</v>
      </c>
      <c r="R22" s="1">
        <f t="shared" si="15"/>
        <v>3055603.2</v>
      </c>
      <c r="S22" s="6">
        <f>SUM(S14:S21)</f>
        <v>5091363.2</v>
      </c>
      <c r="AA22">
        <v>56576.582837538714</v>
      </c>
      <c r="AB22">
        <f t="shared" si="14"/>
        <v>8486.4874256308067</v>
      </c>
      <c r="AC22">
        <v>8486.4874256308067</v>
      </c>
    </row>
    <row r="23" spans="1:29" x14ac:dyDescent="0.2">
      <c r="M23" s="4" t="s">
        <v>36</v>
      </c>
      <c r="N23" s="1">
        <f>N22/(1+$B$24)^N2</f>
        <v>-2739200</v>
      </c>
      <c r="O23" s="1">
        <f t="shared" ref="O23:S23" si="16">O22/(1+$B$24)^O2</f>
        <v>2728217.1428571427</v>
      </c>
      <c r="P23" s="1">
        <f t="shared" si="16"/>
        <v>2435908.163265306</v>
      </c>
      <c r="Q23" s="1">
        <f t="shared" si="16"/>
        <v>2174918.0029154513</v>
      </c>
      <c r="R23" s="1">
        <f t="shared" si="16"/>
        <v>1941891.0740316531</v>
      </c>
      <c r="S23" s="1">
        <f t="shared" si="16"/>
        <v>2888976.2118973858</v>
      </c>
      <c r="AA23">
        <v>39149.099213358488</v>
      </c>
      <c r="AB23">
        <f t="shared" si="14"/>
        <v>5872.3648820037733</v>
      </c>
      <c r="AC23">
        <v>5872.3648820037733</v>
      </c>
    </row>
    <row r="24" spans="1:29" x14ac:dyDescent="0.2">
      <c r="A24" t="s">
        <v>17</v>
      </c>
      <c r="B24" s="17">
        <v>0.12</v>
      </c>
      <c r="M24" s="8" t="s">
        <v>25</v>
      </c>
      <c r="N24" s="9">
        <f>SUM(N23:S23)</f>
        <v>9430710.5949669387</v>
      </c>
      <c r="AA24">
        <v>20327.416899243854</v>
      </c>
      <c r="AB24">
        <f t="shared" si="14"/>
        <v>3049.112534886578</v>
      </c>
      <c r="AC24">
        <v>3049.112534886578</v>
      </c>
    </row>
    <row r="25" spans="1:29" x14ac:dyDescent="0.2">
      <c r="A25" t="s">
        <v>84</v>
      </c>
      <c r="B25" s="17">
        <v>0.15</v>
      </c>
    </row>
    <row r="32" spans="1:29" x14ac:dyDescent="0.2">
      <c r="M32" t="s">
        <v>97</v>
      </c>
    </row>
    <row r="33" spans="13:28" x14ac:dyDescent="0.2">
      <c r="M33" s="18" t="s">
        <v>4</v>
      </c>
      <c r="N33" s="25">
        <v>0</v>
      </c>
      <c r="O33" s="25">
        <v>1</v>
      </c>
      <c r="P33" s="25">
        <v>2</v>
      </c>
      <c r="Q33" s="25">
        <v>3</v>
      </c>
      <c r="R33" s="25">
        <v>4</v>
      </c>
      <c r="S33" s="25">
        <v>5</v>
      </c>
    </row>
    <row r="34" spans="13:28" x14ac:dyDescent="0.2">
      <c r="M34" s="26" t="s">
        <v>5</v>
      </c>
      <c r="N34" s="27">
        <v>-1084200</v>
      </c>
      <c r="O34" s="28"/>
      <c r="P34" s="28"/>
      <c r="Q34" s="28"/>
      <c r="R34" s="28"/>
      <c r="S34" s="28"/>
    </row>
    <row r="35" spans="13:28" x14ac:dyDescent="0.2">
      <c r="M35" s="26" t="s">
        <v>85</v>
      </c>
      <c r="N35" s="29">
        <v>-480000</v>
      </c>
      <c r="O35" s="28"/>
      <c r="P35" s="28"/>
      <c r="Q35" s="28"/>
      <c r="R35" s="28"/>
      <c r="S35" s="28"/>
    </row>
    <row r="36" spans="13:28" x14ac:dyDescent="0.2">
      <c r="M36" s="26" t="s">
        <v>86</v>
      </c>
      <c r="N36" s="30">
        <v>-1175000</v>
      </c>
      <c r="O36" s="28"/>
      <c r="P36" s="28"/>
      <c r="Q36" s="28"/>
      <c r="R36" s="28"/>
      <c r="S36" s="28"/>
    </row>
    <row r="37" spans="13:28" x14ac:dyDescent="0.2">
      <c r="M37" s="26" t="s">
        <v>7</v>
      </c>
      <c r="N37" s="28"/>
      <c r="O37" s="28">
        <v>11250000</v>
      </c>
      <c r="P37" s="28">
        <v>11250000</v>
      </c>
      <c r="Q37" s="28">
        <v>11250000</v>
      </c>
      <c r="R37" s="28">
        <v>11250000</v>
      </c>
      <c r="S37" s="28">
        <v>11250000</v>
      </c>
    </row>
    <row r="38" spans="13:28" x14ac:dyDescent="0.2">
      <c r="M38" s="26" t="s">
        <v>8</v>
      </c>
      <c r="N38" s="28"/>
      <c r="O38" s="28">
        <v>-7470000</v>
      </c>
      <c r="P38" s="28">
        <v>-7470000</v>
      </c>
      <c r="Q38" s="28">
        <v>-7470000</v>
      </c>
      <c r="R38" s="28">
        <v>-7470000</v>
      </c>
      <c r="S38" s="28">
        <v>-7470000</v>
      </c>
    </row>
    <row r="39" spans="13:28" x14ac:dyDescent="0.2">
      <c r="M39" s="26" t="s">
        <v>79</v>
      </c>
      <c r="N39" s="28"/>
      <c r="O39" s="28">
        <v>-210000</v>
      </c>
      <c r="P39" s="28">
        <v>-210000</v>
      </c>
      <c r="Q39" s="28">
        <v>-210000</v>
      </c>
      <c r="R39" s="28">
        <v>-210000</v>
      </c>
      <c r="S39" s="28">
        <v>-210000</v>
      </c>
    </row>
    <row r="40" spans="13:28" x14ac:dyDescent="0.2">
      <c r="M40" s="26" t="s">
        <v>9</v>
      </c>
      <c r="N40" s="28"/>
      <c r="O40" s="28">
        <v>-140688</v>
      </c>
      <c r="P40" s="28">
        <v>-140688</v>
      </c>
      <c r="Q40" s="28">
        <v>-140688</v>
      </c>
      <c r="R40" s="28">
        <v>-140688</v>
      </c>
      <c r="S40" s="28">
        <v>-140688</v>
      </c>
    </row>
    <row r="41" spans="13:28" x14ac:dyDescent="0.2">
      <c r="M41" s="26" t="s">
        <v>10</v>
      </c>
      <c r="N41" s="28"/>
      <c r="O41" s="28"/>
      <c r="P41" s="28"/>
      <c r="Q41" s="28"/>
      <c r="R41" s="28"/>
      <c r="S41" s="28"/>
    </row>
    <row r="42" spans="13:28" x14ac:dyDescent="0.2">
      <c r="M42" s="26" t="s">
        <v>35</v>
      </c>
      <c r="N42" s="28"/>
      <c r="O42" s="28"/>
      <c r="P42" s="28"/>
      <c r="Q42" s="28"/>
      <c r="R42" s="28"/>
      <c r="S42" s="28"/>
    </row>
    <row r="43" spans="13:28" x14ac:dyDescent="0.2">
      <c r="M43" s="36" t="s">
        <v>98</v>
      </c>
      <c r="O43">
        <f>SUM(O37:O40)</f>
        <v>3429312</v>
      </c>
      <c r="P43">
        <f t="shared" ref="P43:R43" si="17">SUM(P37:P40)</f>
        <v>3429312</v>
      </c>
      <c r="Q43">
        <f t="shared" si="17"/>
        <v>3429312</v>
      </c>
      <c r="R43">
        <f t="shared" si="17"/>
        <v>3429312</v>
      </c>
      <c r="S43">
        <f>SUM(S37:S40)</f>
        <v>3429312</v>
      </c>
    </row>
    <row r="44" spans="13:28" x14ac:dyDescent="0.2">
      <c r="M44" s="36" t="s">
        <v>0</v>
      </c>
      <c r="O44" s="37">
        <v>87654.400000000009</v>
      </c>
      <c r="P44" s="37">
        <v>72713.141748816692</v>
      </c>
      <c r="Q44" s="37">
        <v>56576.582837538714</v>
      </c>
      <c r="R44" s="37">
        <v>39149.099213358488</v>
      </c>
      <c r="S44" s="37">
        <v>20327.416899243854</v>
      </c>
    </row>
    <row r="45" spans="13:28" x14ac:dyDescent="0.2">
      <c r="M45" s="31" t="s">
        <v>12</v>
      </c>
      <c r="N45" s="28"/>
      <c r="O45" s="28">
        <f>O43-O44</f>
        <v>3341657.6</v>
      </c>
      <c r="P45" s="28">
        <f t="shared" ref="P45:S45" si="18">P43-P44</f>
        <v>3356598.8582511833</v>
      </c>
      <c r="Q45" s="28">
        <f t="shared" si="18"/>
        <v>3372735.4171624612</v>
      </c>
      <c r="R45" s="28">
        <f t="shared" si="18"/>
        <v>3390162.9007866415</v>
      </c>
      <c r="S45" s="28">
        <f t="shared" si="18"/>
        <v>3408984.5831007562</v>
      </c>
      <c r="X45">
        <v>186765.7281397914</v>
      </c>
      <c r="Y45">
        <v>201706.98639097472</v>
      </c>
      <c r="Z45">
        <v>217843.54530225272</v>
      </c>
      <c r="AA45">
        <v>235271.02892643295</v>
      </c>
      <c r="AB45">
        <v>254092.71124054756</v>
      </c>
    </row>
    <row r="46" spans="13:28" x14ac:dyDescent="0.2">
      <c r="M46" s="26" t="s">
        <v>20</v>
      </c>
      <c r="N46" s="28"/>
      <c r="O46" s="28">
        <f>$B$25*O45</f>
        <v>501248.64</v>
      </c>
      <c r="P46" s="28">
        <f t="shared" ref="P46:S46" si="19">$B$25*P45</f>
        <v>503489.82873767748</v>
      </c>
      <c r="Q46" s="28">
        <f t="shared" si="19"/>
        <v>505910.31257436913</v>
      </c>
      <c r="R46" s="28">
        <f t="shared" si="19"/>
        <v>508524.43511799618</v>
      </c>
      <c r="S46" s="28">
        <f t="shared" si="19"/>
        <v>511347.68746511341</v>
      </c>
    </row>
    <row r="47" spans="13:28" x14ac:dyDescent="0.2">
      <c r="M47" s="31" t="s">
        <v>21</v>
      </c>
      <c r="N47" s="28"/>
      <c r="O47" s="28">
        <f>O45-O46</f>
        <v>2840408.96</v>
      </c>
      <c r="P47" s="28">
        <f t="shared" ref="P47:S47" si="20">P45-P46</f>
        <v>2853109.0295135058</v>
      </c>
      <c r="Q47" s="28">
        <f t="shared" si="20"/>
        <v>2866825.1045880923</v>
      </c>
      <c r="R47" s="28">
        <f t="shared" si="20"/>
        <v>2881638.4656686452</v>
      </c>
      <c r="S47" s="28">
        <f t="shared" si="20"/>
        <v>2897636.8956356426</v>
      </c>
    </row>
    <row r="48" spans="13:28" x14ac:dyDescent="0.2">
      <c r="M48" s="26" t="s">
        <v>9</v>
      </c>
      <c r="N48" s="28"/>
      <c r="O48" s="28">
        <f>-O40</f>
        <v>140688</v>
      </c>
      <c r="P48" s="28">
        <f t="shared" ref="P48:S48" si="21">-P40</f>
        <v>140688</v>
      </c>
      <c r="Q48" s="28">
        <f t="shared" si="21"/>
        <v>140688</v>
      </c>
      <c r="R48" s="28">
        <f t="shared" si="21"/>
        <v>140688</v>
      </c>
      <c r="S48" s="28">
        <f t="shared" si="21"/>
        <v>140688</v>
      </c>
    </row>
    <row r="49" spans="13:19" x14ac:dyDescent="0.2">
      <c r="M49" s="26" t="s">
        <v>88</v>
      </c>
      <c r="N49" s="28"/>
      <c r="O49" s="28"/>
      <c r="P49" s="28"/>
      <c r="Q49" s="28"/>
      <c r="R49" s="28"/>
      <c r="S49" s="28">
        <f>S16</f>
        <v>34560</v>
      </c>
    </row>
    <row r="50" spans="13:19" x14ac:dyDescent="0.2">
      <c r="M50" s="26" t="s">
        <v>89</v>
      </c>
      <c r="N50" s="28"/>
      <c r="O50" s="28"/>
      <c r="P50" s="28"/>
      <c r="Q50" s="28"/>
      <c r="R50" s="28"/>
      <c r="S50" s="28">
        <f t="shared" ref="S50:S54" si="22">S17</f>
        <v>151200</v>
      </c>
    </row>
    <row r="51" spans="13:19" x14ac:dyDescent="0.2">
      <c r="M51" s="26" t="s">
        <v>90</v>
      </c>
      <c r="N51" s="28"/>
      <c r="O51" s="28"/>
      <c r="P51" s="28"/>
      <c r="Q51" s="28"/>
      <c r="R51" s="28"/>
      <c r="S51" s="28">
        <f t="shared" si="22"/>
        <v>105000</v>
      </c>
    </row>
    <row r="52" spans="13:19" x14ac:dyDescent="0.2">
      <c r="M52" s="26" t="s">
        <v>91</v>
      </c>
      <c r="N52" s="28"/>
      <c r="O52" s="28"/>
      <c r="P52" s="28"/>
      <c r="Q52" s="28"/>
      <c r="R52" s="28"/>
      <c r="S52" s="28">
        <f t="shared" si="22"/>
        <v>90000</v>
      </c>
    </row>
    <row r="53" spans="13:19" x14ac:dyDescent="0.2">
      <c r="M53" s="26" t="s">
        <v>92</v>
      </c>
      <c r="N53" s="28"/>
      <c r="O53" s="28"/>
      <c r="P53" s="28"/>
      <c r="Q53" s="28"/>
      <c r="R53" s="28"/>
      <c r="S53" s="28">
        <f t="shared" si="22"/>
        <v>480000</v>
      </c>
    </row>
    <row r="54" spans="13:19" x14ac:dyDescent="0.2">
      <c r="M54" s="32" t="s">
        <v>87</v>
      </c>
      <c r="N54" s="13"/>
      <c r="O54" s="13"/>
      <c r="P54" s="13"/>
      <c r="Q54" s="13"/>
      <c r="R54" s="13"/>
      <c r="S54" s="28">
        <f t="shared" si="22"/>
        <v>1175000</v>
      </c>
    </row>
    <row r="55" spans="13:19" x14ac:dyDescent="0.2">
      <c r="M55" s="36" t="s">
        <v>22</v>
      </c>
      <c r="O55">
        <f>-X45</f>
        <v>-186765.7281397914</v>
      </c>
      <c r="P55">
        <f t="shared" ref="P55:S55" si="23">-Y45</f>
        <v>-201706.98639097472</v>
      </c>
      <c r="Q55">
        <f t="shared" si="23"/>
        <v>-217843.54530225272</v>
      </c>
      <c r="R55">
        <f t="shared" si="23"/>
        <v>-235271.02892643295</v>
      </c>
      <c r="S55">
        <f t="shared" si="23"/>
        <v>-254092.71124054756</v>
      </c>
    </row>
    <row r="56" spans="13:19" x14ac:dyDescent="0.2">
      <c r="M56" s="36" t="s">
        <v>23</v>
      </c>
      <c r="N56">
        <f>Y5</f>
        <v>1095680</v>
      </c>
    </row>
    <row r="57" spans="13:19" x14ac:dyDescent="0.2">
      <c r="M57" s="33" t="s">
        <v>15</v>
      </c>
      <c r="N57" s="25">
        <f>SUM(N34:N56)</f>
        <v>-1643520</v>
      </c>
      <c r="O57" s="25">
        <f>SUM(O47:O55)</f>
        <v>2794331.2318602083</v>
      </c>
      <c r="P57" s="25">
        <f t="shared" ref="P57:R57" si="24">SUM(P47:P55)</f>
        <v>2792090.0431225309</v>
      </c>
      <c r="Q57" s="25">
        <f t="shared" si="24"/>
        <v>2789669.5592858396</v>
      </c>
      <c r="R57" s="25">
        <f t="shared" si="24"/>
        <v>2787055.4367422122</v>
      </c>
      <c r="S57" s="34">
        <f>SUM(S47:S55)</f>
        <v>4819992.1843950944</v>
      </c>
    </row>
    <row r="58" spans="13:19" x14ac:dyDescent="0.2">
      <c r="M58" s="26" t="s">
        <v>36</v>
      </c>
      <c r="N58" s="28">
        <f>N57/(1+$B$24)^N33</f>
        <v>-1643520</v>
      </c>
      <c r="O58" s="28">
        <f t="shared" ref="O58:S58" si="25">O57/(1+$B$24)^O33</f>
        <v>2494938.5998751856</v>
      </c>
      <c r="P58" s="28">
        <f t="shared" si="25"/>
        <v>2225837.0879484457</v>
      </c>
      <c r="Q58" s="28">
        <f t="shared" si="25"/>
        <v>1985631.6902260035</v>
      </c>
      <c r="R58" s="28">
        <f t="shared" si="25"/>
        <v>1771224.1155661482</v>
      </c>
      <c r="S58" s="28">
        <f t="shared" si="25"/>
        <v>2734993.009779531</v>
      </c>
    </row>
    <row r="59" spans="13:19" x14ac:dyDescent="0.2">
      <c r="M59" s="35" t="s">
        <v>25</v>
      </c>
      <c r="N59" s="35">
        <f>SUM(N58:S58)</f>
        <v>9569104.5033953134</v>
      </c>
      <c r="O59" s="13"/>
      <c r="P59" s="13"/>
      <c r="Q59" s="13"/>
      <c r="R59" s="13"/>
      <c r="S59" s="13"/>
    </row>
    <row r="65" spans="13:18" x14ac:dyDescent="0.2">
      <c r="M65" t="s">
        <v>99</v>
      </c>
      <c r="N65" t="s">
        <v>100</v>
      </c>
      <c r="O65" t="s">
        <v>33</v>
      </c>
      <c r="P65" t="s">
        <v>58</v>
      </c>
      <c r="Q65" s="38" t="s">
        <v>101</v>
      </c>
      <c r="R65" t="s">
        <v>102</v>
      </c>
    </row>
    <row r="66" spans="13:18" x14ac:dyDescent="0.2">
      <c r="N66">
        <f>N24</f>
        <v>9430710.5949669387</v>
      </c>
      <c r="O66" s="39">
        <f>N66+P66</f>
        <v>9569104.5033953171</v>
      </c>
      <c r="P66">
        <f>Y10</f>
        <v>138393.90842837846</v>
      </c>
      <c r="R66" s="20">
        <f>N59</f>
        <v>9569104.5033953134</v>
      </c>
    </row>
  </sheetData>
  <mergeCells count="1">
    <mergeCell ref="X2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Inversionista</vt:lpstr>
      <vt:lpstr>Financista</vt:lpstr>
      <vt:lpstr>Financiamiento</vt:lpstr>
      <vt:lpstr>Comparacion Proyectos</vt:lpstr>
      <vt:lpstr>Hoja2</vt:lpstr>
      <vt:lpstr>Ej PEP3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Machado Vasquez</dc:creator>
  <cp:lastModifiedBy>Diego Machado Vasquez</cp:lastModifiedBy>
  <dcterms:created xsi:type="dcterms:W3CDTF">2020-08-15T18:46:26Z</dcterms:created>
  <dcterms:modified xsi:type="dcterms:W3CDTF">2020-09-17T01:11:10Z</dcterms:modified>
</cp:coreProperties>
</file>