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8.png" ContentType="image/png"/>
  <Override PartName="/xl/media/image17.png" ContentType="image/png"/>
  <Override PartName="/xl/media/image16.jpeg" ContentType="image/jpeg"/>
  <Override PartName="/xl/media/image11.png" ContentType="image/png"/>
  <Override PartName="/xl/media/image10.jpeg" ContentType="image/jpe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4" activeTab="6"/>
  </bookViews>
  <sheets>
    <sheet name="Picture" sheetId="1" state="hidden" r:id="rId2"/>
    <sheet name="Sheet3" sheetId="2" state="hidden" r:id="rId3"/>
    <sheet name="Wire" sheetId="3" state="hidden" r:id="rId4"/>
    <sheet name="Powder Core Detail" sheetId="4" state="hidden" r:id="rId5"/>
    <sheet name="Toroid Design" sheetId="5" state="visible" r:id="rId6"/>
    <sheet name="Toroid LI^2 Chart" sheetId="6" state="visible" r:id="rId7"/>
    <sheet name="E Core Design" sheetId="7" state="visible" r:id="rId8"/>
    <sheet name="E Core LI^2 Chart" sheetId="8" state="visible" r:id="rId9"/>
    <sheet name=" Wire Table" sheetId="9" state="visible" r:id="rId10"/>
    <sheet name="75 CF" sheetId="10" state="hidden" r:id="rId11"/>
    <sheet name="LI_Xflux_E" sheetId="11" state="hidden" r:id="rId12"/>
    <sheet name="PN_XFlux_E" sheetId="12" state="hidden" r:id="rId13"/>
    <sheet name="E Core Detail" sheetId="13" state="hidden" r:id="rId14"/>
    <sheet name="Shape Core Weight" sheetId="14" state="hidden" r:id="rId15"/>
    <sheet name="Wire Resistivity" sheetId="15" state="hidden" r:id="rId16"/>
    <sheet name="Powder Core Toroid OD" sheetId="16" state="hidden" r:id="rId17"/>
    <sheet name="LI_MPP" sheetId="17" state="hidden" r:id="rId18"/>
    <sheet name="PN_MPP" sheetId="18" state="hidden" r:id="rId19"/>
    <sheet name="LI_HF" sheetId="19" state="hidden" r:id="rId20"/>
    <sheet name="PN_HF" sheetId="20" state="hidden" r:id="rId21"/>
    <sheet name="LI_KM" sheetId="21" state="hidden" r:id="rId22"/>
    <sheet name="PN_KM" sheetId="22" state="hidden" r:id="rId23"/>
    <sheet name="LI_XF" sheetId="23" state="hidden" r:id="rId24"/>
    <sheet name="PN_XF" sheetId="24" state="hidden" r:id="rId25"/>
    <sheet name="Wire Table" sheetId="25" state="hidden" r:id="rId26"/>
    <sheet name="Surface Area" sheetId="26" state="hidden" r:id="rId27"/>
    <sheet name="LI_KM_E" sheetId="27" state="hidden" r:id="rId28"/>
    <sheet name="PN_KM_E" sheetId="28" state="hidden" r:id="rId29"/>
    <sheet name="Curve Fit Equations" sheetId="29" state="hidden" r:id="rId30"/>
    <sheet name="Kool Mu CF Constants" sheetId="30" state="hidden" r:id="rId31"/>
    <sheet name="MPP CF" sheetId="31" state="hidden" r:id="rId32"/>
    <sheet name="HF CF" sheetId="32" state="hidden" r:id="rId33"/>
    <sheet name="XF CF" sheetId="33" state="hidden" r:id="rId34"/>
  </sheets>
  <externalReferences>
    <externalReference r:id="rId35"/>
  </externalReferences>
  <definedNames>
    <definedName function="false" hidden="true" localSheetId="12" name="_xlnm._FilterDatabase" vbProcedure="false">'E Core Detail'!$A$1:$F$81</definedName>
    <definedName function="false" hidden="true" localSheetId="3" name="_xlnm._FilterDatabase" vbProcedure="false">'Powder Core Detail'!$B$1:$T$818</definedName>
    <definedName function="false" hidden="true" localSheetId="13" name="_xlnm._FilterDatabase" vbProcedure="false">'Shape Core Weight'!$B$1:$B$107</definedName>
    <definedName function="false" hidden="false" name="Material" vbProcedure="false">'[1]Custom Toroid Design'!$C$57:$C$61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<sst xmlns="http://schemas.openxmlformats.org/spreadsheetml/2006/main" count="4547" uniqueCount="1467">
  <si>
    <t xml:space="preserve">AWG
Wire Size</t>
  </si>
  <si>
    <t xml:space="preserve">Cir Mils</t>
  </si>
  <si>
    <t xml:space="preserve">Wire
O.D. (cm)
Heavy Build</t>
  </si>
  <si>
    <t xml:space="preserve">Wire Area    sq. cm
(x0.001)</t>
  </si>
  <si>
    <t xml:space="preserve">Current Capacity, Amps
(listed by columns of amps/sq.cm.)</t>
  </si>
  <si>
    <t xml:space="preserve">Copper info</t>
  </si>
  <si>
    <t xml:space="preserve">Bare Wire OD (Inches)</t>
  </si>
  <si>
    <t xml:space="preserve">Bare Wire Radius (mm)</t>
  </si>
  <si>
    <t xml:space="preserve">Aluminum info</t>
  </si>
  <si>
    <t xml:space="preserve">Feet per Pound</t>
  </si>
  <si>
    <t xml:space="preserve">$/pound</t>
  </si>
  <si>
    <t xml:space="preserve">Part #</t>
  </si>
  <si>
    <t xml:space="preserve">Sales Part Number</t>
  </si>
  <si>
    <t xml:space="preserve">Base Part Number</t>
  </si>
  <si>
    <t xml:space="preserve">Perm</t>
  </si>
  <si>
    <t xml:space="preserve">Material</t>
  </si>
  <si>
    <r>
      <rPr>
        <sz val="11"/>
        <color rgb="FF000000"/>
        <rFont val="Calibri"/>
        <family val="2"/>
        <charset val="1"/>
      </rPr>
      <t xml:space="preserve">AL [nH/T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]</t>
    </r>
  </si>
  <si>
    <t xml:space="preserve">Shape</t>
  </si>
  <si>
    <t xml:space="preserve">Le [cm]</t>
  </si>
  <si>
    <t xml:space="preserve">Le [mm]</t>
  </si>
  <si>
    <t xml:space="preserve">ID min [inches]</t>
  </si>
  <si>
    <t xml:space="preserve">ID min [mm]</t>
  </si>
  <si>
    <t xml:space="preserve">OD max [inches]</t>
  </si>
  <si>
    <t xml:space="preserve">OD max [mm]</t>
  </si>
  <si>
    <t xml:space="preserve">HT max [inches]</t>
  </si>
  <si>
    <t xml:space="preserve">HT max [mm]</t>
  </si>
  <si>
    <r>
      <rPr>
        <sz val="11"/>
        <color rgb="FF000000"/>
        <rFont val="Calibri"/>
        <family val="2"/>
        <charset val="1"/>
      </rPr>
      <t xml:space="preserve">Ae [cm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</si>
  <si>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Ae [mm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</si>
  <si>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Ve [cm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</si>
  <si>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Ve [mm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</si>
  <si>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WA (cm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</si>
  <si>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t xml:space="preserve">Unfinished OD</t>
  </si>
  <si>
    <t xml:space="preserve">00K4741B026</t>
  </si>
  <si>
    <t xml:space="preserve">Kool Mu</t>
  </si>
  <si>
    <t xml:space="preserve">Block</t>
  </si>
  <si>
    <t xml:space="preserve">00K4741B02603</t>
  </si>
  <si>
    <t xml:space="preserve">00K4741B060</t>
  </si>
  <si>
    <t xml:space="preserve">00K5528B026</t>
  </si>
  <si>
    <t xml:space="preserve">00K5528B040</t>
  </si>
  <si>
    <t xml:space="preserve">00K5528B060</t>
  </si>
  <si>
    <t xml:space="preserve">00K6030B090</t>
  </si>
  <si>
    <t xml:space="preserve">00K6030B060</t>
  </si>
  <si>
    <t xml:space="preserve">00K6030B026</t>
  </si>
  <si>
    <t xml:space="preserve">00K8020E02601</t>
  </si>
  <si>
    <t xml:space="preserve">E Core</t>
  </si>
  <si>
    <t xml:space="preserve">00K8020E02602</t>
  </si>
  <si>
    <t xml:space="preserve">00K8030E026</t>
  </si>
  <si>
    <t xml:space="preserve">00K8030E040</t>
  </si>
  <si>
    <t xml:space="preserve">00K8044E02601</t>
  </si>
  <si>
    <t xml:space="preserve">0055098A2</t>
  </si>
  <si>
    <t xml:space="preserve">MPP</t>
  </si>
  <si>
    <t xml:space="preserve">Toroid</t>
  </si>
  <si>
    <t xml:space="preserve">0055099A2</t>
  </si>
  <si>
    <t xml:space="preserve">0055101A2</t>
  </si>
  <si>
    <t xml:space="preserve">0055102A2</t>
  </si>
  <si>
    <t xml:space="preserve">0055164A2</t>
  </si>
  <si>
    <t xml:space="preserve">0055165A2</t>
  </si>
  <si>
    <t xml:space="preserve">0055167A2</t>
  </si>
  <si>
    <t xml:space="preserve">C055195A2</t>
  </si>
  <si>
    <t xml:space="preserve">0055336A2</t>
  </si>
  <si>
    <t xml:space="preserve">0055337A2</t>
  </si>
  <si>
    <t xml:space="preserve">0055339A2</t>
  </si>
  <si>
    <t xml:space="preserve">0055340A2</t>
  </si>
  <si>
    <t xml:space="preserve">0055614A2</t>
  </si>
  <si>
    <t xml:space="preserve">0055615A2</t>
  </si>
  <si>
    <t xml:space="preserve">C055617A2</t>
  </si>
  <si>
    <t xml:space="preserve">C055620A2</t>
  </si>
  <si>
    <t xml:space="preserve">0055734A2</t>
  </si>
  <si>
    <t xml:space="preserve">0055735A2</t>
  </si>
  <si>
    <t xml:space="preserve">C055737A2</t>
  </si>
  <si>
    <t xml:space="preserve">C055740A2</t>
  </si>
  <si>
    <t xml:space="preserve">0058098A2</t>
  </si>
  <si>
    <t xml:space="preserve">High Flux</t>
  </si>
  <si>
    <t xml:space="preserve">0058099A2</t>
  </si>
  <si>
    <t xml:space="preserve">0058101A2</t>
  </si>
  <si>
    <t xml:space="preserve">0058102A2</t>
  </si>
  <si>
    <t xml:space="preserve">0058164A2</t>
  </si>
  <si>
    <t xml:space="preserve">0058165A2</t>
  </si>
  <si>
    <t xml:space="preserve">0058167A2</t>
  </si>
  <si>
    <t xml:space="preserve">0058336A2</t>
  </si>
  <si>
    <t xml:space="preserve">0058337A2</t>
  </si>
  <si>
    <t xml:space="preserve">0058339A2</t>
  </si>
  <si>
    <t xml:space="preserve">0058340A2</t>
  </si>
  <si>
    <t xml:space="preserve">0058587A2</t>
  </si>
  <si>
    <t xml:space="preserve">0058614A2</t>
  </si>
  <si>
    <t xml:space="preserve">0058615A2</t>
  </si>
  <si>
    <t xml:space="preserve">C058617A2</t>
  </si>
  <si>
    <t xml:space="preserve">C058620A2</t>
  </si>
  <si>
    <t xml:space="preserve">0058734A2</t>
  </si>
  <si>
    <t xml:space="preserve">0058735A2</t>
  </si>
  <si>
    <t xml:space="preserve">C058737A2</t>
  </si>
  <si>
    <t xml:space="preserve">C058740A2</t>
  </si>
  <si>
    <t xml:space="preserve">0077098A7</t>
  </si>
  <si>
    <t xml:space="preserve">0077099A7</t>
  </si>
  <si>
    <t xml:space="preserve">0077100A7</t>
  </si>
  <si>
    <t xml:space="preserve">0077102A7</t>
  </si>
  <si>
    <t xml:space="preserve">0077165A7</t>
  </si>
  <si>
    <t xml:space="preserve">0077337A7</t>
  </si>
  <si>
    <t xml:space="preserve">0077615A7</t>
  </si>
  <si>
    <t xml:space="preserve">0077616A7</t>
  </si>
  <si>
    <t xml:space="preserve">0077617A7</t>
  </si>
  <si>
    <t xml:space="preserve">0077618A7</t>
  </si>
  <si>
    <t xml:space="preserve">0077619A7</t>
  </si>
  <si>
    <t xml:space="preserve">0077620A7</t>
  </si>
  <si>
    <t xml:space="preserve">0077735A7</t>
  </si>
  <si>
    <t xml:space="preserve">0077736A7</t>
  </si>
  <si>
    <t xml:space="preserve">0077737A7</t>
  </si>
  <si>
    <t xml:space="preserve">0077738A7</t>
  </si>
  <si>
    <t xml:space="preserve">0077739A7</t>
  </si>
  <si>
    <t xml:space="preserve">0077740A7</t>
  </si>
  <si>
    <t xml:space="preserve">00M0301T125</t>
  </si>
  <si>
    <t xml:space="preserve">0301</t>
  </si>
  <si>
    <t xml:space="preserve">Thinz</t>
  </si>
  <si>
    <t xml:space="preserve">00M0301T160</t>
  </si>
  <si>
    <t xml:space="preserve">00M0301T200</t>
  </si>
  <si>
    <t xml:space="preserve">00M0301T250</t>
  </si>
  <si>
    <t xml:space="preserve">00M0302T125</t>
  </si>
  <si>
    <t xml:space="preserve">0302</t>
  </si>
  <si>
    <t xml:space="preserve">00M0302T160</t>
  </si>
  <si>
    <t xml:space="preserve">00M0302T200</t>
  </si>
  <si>
    <t xml:space="preserve">00M0302T250</t>
  </si>
  <si>
    <t xml:space="preserve">00M0402T125</t>
  </si>
  <si>
    <t xml:space="preserve">0402</t>
  </si>
  <si>
    <t xml:space="preserve">00M0402T160</t>
  </si>
  <si>
    <t xml:space="preserve">00M0402T200</t>
  </si>
  <si>
    <t xml:space="preserve">00M0402T250</t>
  </si>
  <si>
    <t xml:space="preserve">00M0502T125</t>
  </si>
  <si>
    <t xml:space="preserve">0502</t>
  </si>
  <si>
    <t xml:space="preserve">00M0502T160</t>
  </si>
  <si>
    <t xml:space="preserve">00M0502T200</t>
  </si>
  <si>
    <t xml:space="preserve">00M0502T250</t>
  </si>
  <si>
    <t xml:space="preserve">00M0603T125</t>
  </si>
  <si>
    <t xml:space="preserve">0603</t>
  </si>
  <si>
    <t xml:space="preserve">00M0603T160</t>
  </si>
  <si>
    <t xml:space="preserve">00M0603T200</t>
  </si>
  <si>
    <t xml:space="preserve">00M0603T250</t>
  </si>
  <si>
    <t xml:space="preserve">00M0804T125</t>
  </si>
  <si>
    <t xml:space="preserve">0804</t>
  </si>
  <si>
    <t xml:space="preserve">00M0804T160</t>
  </si>
  <si>
    <t xml:space="preserve">00M0804T200</t>
  </si>
  <si>
    <t xml:space="preserve">00M0804T250</t>
  </si>
  <si>
    <t xml:space="preserve">102RT</t>
  </si>
  <si>
    <t xml:space="preserve">00K102RT026</t>
  </si>
  <si>
    <t xml:space="preserve">Segment</t>
  </si>
  <si>
    <t xml:space="preserve">130LE</t>
  </si>
  <si>
    <t xml:space="preserve">00K130LE026</t>
  </si>
  <si>
    <t xml:space="preserve">133RT</t>
  </si>
  <si>
    <t xml:space="preserve">00K133RT026</t>
  </si>
  <si>
    <t xml:space="preserve">160LE</t>
  </si>
  <si>
    <t xml:space="preserve">00K160LE026</t>
  </si>
  <si>
    <t xml:space="preserve">00K1808E026</t>
  </si>
  <si>
    <t xml:space="preserve">1808</t>
  </si>
  <si>
    <t xml:space="preserve">00K1808E040</t>
  </si>
  <si>
    <t xml:space="preserve">00K1808E060</t>
  </si>
  <si>
    <t xml:space="preserve">00K1808E090</t>
  </si>
  <si>
    <t xml:space="preserve">00K2510E026</t>
  </si>
  <si>
    <t xml:space="preserve">2510</t>
  </si>
  <si>
    <t xml:space="preserve">00K2510E040</t>
  </si>
  <si>
    <t xml:space="preserve">00K2510E060</t>
  </si>
  <si>
    <t xml:space="preserve">00K2510E090</t>
  </si>
  <si>
    <t xml:space="preserve">00K3007E026</t>
  </si>
  <si>
    <t xml:space="preserve">3007</t>
  </si>
  <si>
    <t xml:space="preserve">00K3007E040</t>
  </si>
  <si>
    <t xml:space="preserve">00K3007E060</t>
  </si>
  <si>
    <t xml:space="preserve">00K3007E090</t>
  </si>
  <si>
    <t xml:space="preserve">00K3112U060</t>
  </si>
  <si>
    <t xml:space="preserve">3112</t>
  </si>
  <si>
    <t xml:space="preserve">U Core</t>
  </si>
  <si>
    <t xml:space="preserve">00K3112U040</t>
  </si>
  <si>
    <t xml:space="preserve">00K3112U090</t>
  </si>
  <si>
    <t xml:space="preserve">00K3515E026</t>
  </si>
  <si>
    <t xml:space="preserve">3515</t>
  </si>
  <si>
    <t xml:space="preserve">00K3515E040</t>
  </si>
  <si>
    <t xml:space="preserve">00K3515E060</t>
  </si>
  <si>
    <t xml:space="preserve">00K3515E090</t>
  </si>
  <si>
    <t xml:space="preserve">00K4017E026</t>
  </si>
  <si>
    <t xml:space="preserve">4017</t>
  </si>
  <si>
    <t xml:space="preserve">00K4017E040</t>
  </si>
  <si>
    <t xml:space="preserve">00K4017E060</t>
  </si>
  <si>
    <t xml:space="preserve">00K4017E090</t>
  </si>
  <si>
    <t xml:space="preserve">00K4020E026</t>
  </si>
  <si>
    <t xml:space="preserve">4020</t>
  </si>
  <si>
    <t xml:space="preserve">00K4020E040</t>
  </si>
  <si>
    <t xml:space="preserve">00K4020E060</t>
  </si>
  <si>
    <t xml:space="preserve">00K4020E090</t>
  </si>
  <si>
    <t xml:space="preserve">00K4022E026</t>
  </si>
  <si>
    <t xml:space="preserve">4022</t>
  </si>
  <si>
    <t xml:space="preserve">00K4022E040</t>
  </si>
  <si>
    <t xml:space="preserve">00K4022E060</t>
  </si>
  <si>
    <t xml:space="preserve">00K4022E090</t>
  </si>
  <si>
    <t xml:space="preserve">00K4110U060</t>
  </si>
  <si>
    <t xml:space="preserve">4110</t>
  </si>
  <si>
    <t xml:space="preserve">00K4110U040</t>
  </si>
  <si>
    <t xml:space="preserve">00K4110U090</t>
  </si>
  <si>
    <t xml:space="preserve">00K4111U060</t>
  </si>
  <si>
    <t xml:space="preserve">4111</t>
  </si>
  <si>
    <t xml:space="preserve">00K4111U040</t>
  </si>
  <si>
    <t xml:space="preserve">00K4111U090</t>
  </si>
  <si>
    <t xml:space="preserve">00K4119U040</t>
  </si>
  <si>
    <t xml:space="preserve">4119</t>
  </si>
  <si>
    <t xml:space="preserve">00K4119U060</t>
  </si>
  <si>
    <t xml:space="preserve">00K4119U090</t>
  </si>
  <si>
    <t xml:space="preserve">00K4317E026</t>
  </si>
  <si>
    <t xml:space="preserve">4317</t>
  </si>
  <si>
    <t xml:space="preserve">00K4317E040</t>
  </si>
  <si>
    <t xml:space="preserve">00K4317E060</t>
  </si>
  <si>
    <t xml:space="preserve">00K4317E090</t>
  </si>
  <si>
    <t xml:space="preserve">C055014A2</t>
  </si>
  <si>
    <t xml:space="preserve">020</t>
  </si>
  <si>
    <t xml:space="preserve">C055015A2</t>
  </si>
  <si>
    <t xml:space="preserve">0078737A7</t>
  </si>
  <si>
    <t xml:space="preserve">Xflux</t>
  </si>
  <si>
    <t xml:space="preserve">C055017A2</t>
  </si>
  <si>
    <t xml:space="preserve">C055018A2</t>
  </si>
  <si>
    <t xml:space="preserve">C055019A2</t>
  </si>
  <si>
    <t xml:space="preserve">C055020A2</t>
  </si>
  <si>
    <t xml:space="preserve">C055021A2</t>
  </si>
  <si>
    <t xml:space="preserve">0055022A2</t>
  </si>
  <si>
    <t xml:space="preserve">0055023A2</t>
  </si>
  <si>
    <t xml:space="preserve">C055024A2</t>
  </si>
  <si>
    <t xml:space="preserve">030</t>
  </si>
  <si>
    <t xml:space="preserve">C055025A2</t>
  </si>
  <si>
    <t xml:space="preserve">0078617A7</t>
  </si>
  <si>
    <t xml:space="preserve">XFlux</t>
  </si>
  <si>
    <t xml:space="preserve">C055027A2</t>
  </si>
  <si>
    <t xml:space="preserve">C055028A2</t>
  </si>
  <si>
    <t xml:space="preserve">C055029A2</t>
  </si>
  <si>
    <t xml:space="preserve">C055030A2</t>
  </si>
  <si>
    <t xml:space="preserve">C055031A2</t>
  </si>
  <si>
    <t xml:space="preserve">0055032A2</t>
  </si>
  <si>
    <t xml:space="preserve">0055033A2</t>
  </si>
  <si>
    <t xml:space="preserve">C055034A2</t>
  </si>
  <si>
    <t xml:space="preserve">040</t>
  </si>
  <si>
    <t xml:space="preserve">C055035A2</t>
  </si>
  <si>
    <t xml:space="preserve">C055036A2</t>
  </si>
  <si>
    <t xml:space="preserve">C055037A2</t>
  </si>
  <si>
    <t xml:space="preserve">C055038A2</t>
  </si>
  <si>
    <t xml:space="preserve">C055039A2</t>
  </si>
  <si>
    <t xml:space="preserve">C055040A2</t>
  </si>
  <si>
    <t xml:space="preserve">C055041A2</t>
  </si>
  <si>
    <t xml:space="preserve">0055042A2</t>
  </si>
  <si>
    <t xml:space="preserve">0055043A2</t>
  </si>
  <si>
    <t xml:space="preserve">C055044A2</t>
  </si>
  <si>
    <t xml:space="preserve">050</t>
  </si>
  <si>
    <t xml:space="preserve">C055045A2</t>
  </si>
  <si>
    <t xml:space="preserve">C055046A2</t>
  </si>
  <si>
    <t xml:space="preserve">C055047A2</t>
  </si>
  <si>
    <t xml:space="preserve">C055048A2</t>
  </si>
  <si>
    <t xml:space="preserve">C055049A2</t>
  </si>
  <si>
    <t xml:space="preserve">C055050A2</t>
  </si>
  <si>
    <t xml:space="preserve">C055051A2</t>
  </si>
  <si>
    <t xml:space="preserve">0055052A2</t>
  </si>
  <si>
    <t xml:space="preserve">0055053A2</t>
  </si>
  <si>
    <t xml:space="preserve">C055059A2</t>
  </si>
  <si>
    <t xml:space="preserve">C055071A2</t>
  </si>
  <si>
    <t xml:space="preserve">C055076A2</t>
  </si>
  <si>
    <t xml:space="preserve">C055083A2</t>
  </si>
  <si>
    <t xml:space="preserve">C055084A2</t>
  </si>
  <si>
    <t xml:space="preserve">089</t>
  </si>
  <si>
    <t xml:space="preserve">C055086A2</t>
  </si>
  <si>
    <t xml:space="preserve">C055087A2</t>
  </si>
  <si>
    <t xml:space="preserve">C055088A2</t>
  </si>
  <si>
    <t xml:space="preserve">C055089A2</t>
  </si>
  <si>
    <t xml:space="preserve">C055090A2</t>
  </si>
  <si>
    <t xml:space="preserve">0055091A2</t>
  </si>
  <si>
    <t xml:space="preserve">0055092A2</t>
  </si>
  <si>
    <t xml:space="preserve">C055103A2</t>
  </si>
  <si>
    <t xml:space="preserve">C055104A2</t>
  </si>
  <si>
    <t xml:space="preserve">C055106A2</t>
  </si>
  <si>
    <t xml:space="preserve">C055107A2</t>
  </si>
  <si>
    <t xml:space="preserve">C055108A2</t>
  </si>
  <si>
    <t xml:space="preserve">C055109A2</t>
  </si>
  <si>
    <t xml:space="preserve">C055110A2</t>
  </si>
  <si>
    <t xml:space="preserve">0055111A2</t>
  </si>
  <si>
    <t xml:space="preserve">0055112A2</t>
  </si>
  <si>
    <t xml:space="preserve">C055114A2</t>
  </si>
  <si>
    <t xml:space="preserve">C055115A2</t>
  </si>
  <si>
    <t xml:space="preserve">C055116A2</t>
  </si>
  <si>
    <t xml:space="preserve">C055117A2</t>
  </si>
  <si>
    <t xml:space="preserve">C055118A2</t>
  </si>
  <si>
    <t xml:space="preserve">C055119A2</t>
  </si>
  <si>
    <t xml:space="preserve">C055120A2</t>
  </si>
  <si>
    <t xml:space="preserve">C055121A2</t>
  </si>
  <si>
    <t xml:space="preserve">0055122A2</t>
  </si>
  <si>
    <t xml:space="preserve">0055123A2</t>
  </si>
  <si>
    <t xml:space="preserve">C055124A2</t>
  </si>
  <si>
    <t xml:space="preserve">C055125A2</t>
  </si>
  <si>
    <t xml:space="preserve">C055127A2</t>
  </si>
  <si>
    <t xml:space="preserve">C055128A2</t>
  </si>
  <si>
    <t xml:space="preserve">C055129A2</t>
  </si>
  <si>
    <t xml:space="preserve">C055130A2</t>
  </si>
  <si>
    <t xml:space="preserve">C055131A2</t>
  </si>
  <si>
    <t xml:space="preserve">0055132A2</t>
  </si>
  <si>
    <t xml:space="preserve">0055133A2</t>
  </si>
  <si>
    <t xml:space="preserve">0055134A2</t>
  </si>
  <si>
    <t xml:space="preserve">C055135A2</t>
  </si>
  <si>
    <t xml:space="preserve">C055137A2</t>
  </si>
  <si>
    <t xml:space="preserve">C055138A2</t>
  </si>
  <si>
    <t xml:space="preserve">C055139A2</t>
  </si>
  <si>
    <t xml:space="preserve">C055140A2</t>
  </si>
  <si>
    <t xml:space="preserve">C055144A2</t>
  </si>
  <si>
    <t xml:space="preserve">C055145A2</t>
  </si>
  <si>
    <t xml:space="preserve">C055147A2</t>
  </si>
  <si>
    <t xml:space="preserve">C055148A2</t>
  </si>
  <si>
    <t xml:space="preserve">C055149A2</t>
  </si>
  <si>
    <t xml:space="preserve">C055150A2</t>
  </si>
  <si>
    <t xml:space="preserve">C055174A2</t>
  </si>
  <si>
    <t xml:space="preserve">C055175A2</t>
  </si>
  <si>
    <t xml:space="preserve">C055177A2</t>
  </si>
  <si>
    <t xml:space="preserve">C055178A2</t>
  </si>
  <si>
    <t xml:space="preserve">C055179A2</t>
  </si>
  <si>
    <t xml:space="preserve">C055180A2</t>
  </si>
  <si>
    <t xml:space="preserve">C055181A2</t>
  </si>
  <si>
    <t xml:space="preserve">0055190A2</t>
  </si>
  <si>
    <t xml:space="preserve">0055191A2</t>
  </si>
  <si>
    <t xml:space="preserve">C055192A2</t>
  </si>
  <si>
    <t xml:space="preserve">C055200A2</t>
  </si>
  <si>
    <t xml:space="preserve">C055201A2</t>
  </si>
  <si>
    <t xml:space="preserve">C055202A2</t>
  </si>
  <si>
    <t xml:space="preserve">C055203A2</t>
  </si>
  <si>
    <t xml:space="preserve">C055204A2</t>
  </si>
  <si>
    <t xml:space="preserve">C055205A2</t>
  </si>
  <si>
    <t xml:space="preserve">C055206A2</t>
  </si>
  <si>
    <t xml:space="preserve">0055208A2</t>
  </si>
  <si>
    <t xml:space="preserve">0055209A2</t>
  </si>
  <si>
    <t xml:space="preserve">C055234A2</t>
  </si>
  <si>
    <t xml:space="preserve">C055235A2</t>
  </si>
  <si>
    <t xml:space="preserve">C055236A2</t>
  </si>
  <si>
    <t xml:space="preserve">C055237A2</t>
  </si>
  <si>
    <t xml:space="preserve">C055238A2</t>
  </si>
  <si>
    <t xml:space="preserve">C055239A2</t>
  </si>
  <si>
    <t xml:space="preserve">C055240A2</t>
  </si>
  <si>
    <t xml:space="preserve">C055241A2</t>
  </si>
  <si>
    <t xml:space="preserve">0055242A2</t>
  </si>
  <si>
    <t xml:space="preserve">0055243A2</t>
  </si>
  <si>
    <t xml:space="preserve">C055248A2</t>
  </si>
  <si>
    <t xml:space="preserve">C055249A2</t>
  </si>
  <si>
    <t xml:space="preserve">C055250A2</t>
  </si>
  <si>
    <t xml:space="preserve">C055251A2</t>
  </si>
  <si>
    <t xml:space="preserve">C055252A2</t>
  </si>
  <si>
    <t xml:space="preserve">C055253A2</t>
  </si>
  <si>
    <t xml:space="preserve">C055254A2</t>
  </si>
  <si>
    <t xml:space="preserve">0055256A2</t>
  </si>
  <si>
    <t xml:space="preserve">0055257A2</t>
  </si>
  <si>
    <t xml:space="preserve">C055264A2</t>
  </si>
  <si>
    <t xml:space="preserve">C055265A2</t>
  </si>
  <si>
    <t xml:space="preserve">C055266A2</t>
  </si>
  <si>
    <t xml:space="preserve">C055267A2</t>
  </si>
  <si>
    <t xml:space="preserve">C055268A2</t>
  </si>
  <si>
    <t xml:space="preserve">C055269A2</t>
  </si>
  <si>
    <t xml:space="preserve">00K5527U026</t>
  </si>
  <si>
    <t xml:space="preserve">5527</t>
  </si>
  <si>
    <t xml:space="preserve">C055270A2</t>
  </si>
  <si>
    <t xml:space="preserve">C055271A2</t>
  </si>
  <si>
    <t xml:space="preserve">0055272A2</t>
  </si>
  <si>
    <t xml:space="preserve">C055274A2</t>
  </si>
  <si>
    <t xml:space="preserve">C055275A2</t>
  </si>
  <si>
    <t xml:space="preserve">C055276A2</t>
  </si>
  <si>
    <t xml:space="preserve">C055277A2</t>
  </si>
  <si>
    <t xml:space="preserve">C055278A2</t>
  </si>
  <si>
    <t xml:space="preserve">C055279A2</t>
  </si>
  <si>
    <t xml:space="preserve">00K5528E026</t>
  </si>
  <si>
    <t xml:space="preserve">5528</t>
  </si>
  <si>
    <t xml:space="preserve">00K5528E040</t>
  </si>
  <si>
    <t xml:space="preserve">00K5528E060</t>
  </si>
  <si>
    <t xml:space="preserve">00K5528E090</t>
  </si>
  <si>
    <t xml:space="preserve">C055280A2</t>
  </si>
  <si>
    <t xml:space="preserve">C055281A2</t>
  </si>
  <si>
    <t xml:space="preserve">0055282A2</t>
  </si>
  <si>
    <t xml:space="preserve">0055283A2</t>
  </si>
  <si>
    <t xml:space="preserve">C055284A2</t>
  </si>
  <si>
    <t xml:space="preserve">C055285A2</t>
  </si>
  <si>
    <t xml:space="preserve">C055286A2</t>
  </si>
  <si>
    <t xml:space="preserve">C055287A2</t>
  </si>
  <si>
    <t xml:space="preserve">C055288A2</t>
  </si>
  <si>
    <t xml:space="preserve">C055289A2</t>
  </si>
  <si>
    <t xml:space="preserve">00K5529U026</t>
  </si>
  <si>
    <t xml:space="preserve">5529</t>
  </si>
  <si>
    <t xml:space="preserve">C055290A2</t>
  </si>
  <si>
    <t xml:space="preserve">C055291A2</t>
  </si>
  <si>
    <t xml:space="preserve">0055292A2</t>
  </si>
  <si>
    <t xml:space="preserve">0055293A2</t>
  </si>
  <si>
    <t xml:space="preserve">00K5530E026</t>
  </si>
  <si>
    <t xml:space="preserve">5530</t>
  </si>
  <si>
    <t xml:space="preserve">00K5530E040</t>
  </si>
  <si>
    <t xml:space="preserve">00K5530E060</t>
  </si>
  <si>
    <t xml:space="preserve">00K5530E090</t>
  </si>
  <si>
    <t xml:space="preserve">C055304A2</t>
  </si>
  <si>
    <t xml:space="preserve">C055305A2</t>
  </si>
  <si>
    <t xml:space="preserve">C055306A2</t>
  </si>
  <si>
    <t xml:space="preserve">C055307A2</t>
  </si>
  <si>
    <t xml:space="preserve">C055308A2</t>
  </si>
  <si>
    <t xml:space="preserve">C055309A2</t>
  </si>
  <si>
    <t xml:space="preserve">C055310A2</t>
  </si>
  <si>
    <t xml:space="preserve">0055312A2</t>
  </si>
  <si>
    <t xml:space="preserve">0055313A2</t>
  </si>
  <si>
    <t xml:space="preserve">C055318A2</t>
  </si>
  <si>
    <t xml:space="preserve">C055319A2</t>
  </si>
  <si>
    <t xml:space="preserve">C055320A2</t>
  </si>
  <si>
    <t xml:space="preserve">C055321A2</t>
  </si>
  <si>
    <t xml:space="preserve">C055322A2</t>
  </si>
  <si>
    <t xml:space="preserve">C055323A2</t>
  </si>
  <si>
    <t xml:space="preserve">C055324A2</t>
  </si>
  <si>
    <t xml:space="preserve">0055326A2</t>
  </si>
  <si>
    <t xml:space="preserve">0055327A2</t>
  </si>
  <si>
    <t xml:space="preserve">C055344A2</t>
  </si>
  <si>
    <t xml:space="preserve">C055345A2</t>
  </si>
  <si>
    <t xml:space="preserve">C055347A2</t>
  </si>
  <si>
    <t xml:space="preserve">C055348A2</t>
  </si>
  <si>
    <t xml:space="preserve">C055349A2</t>
  </si>
  <si>
    <t xml:space="preserve">C055350A2</t>
  </si>
  <si>
    <t xml:space="preserve">C055351A2</t>
  </si>
  <si>
    <t xml:space="preserve">0055352A2</t>
  </si>
  <si>
    <t xml:space="preserve">0055353A2</t>
  </si>
  <si>
    <t xml:space="preserve">C055374A2</t>
  </si>
  <si>
    <t xml:space="preserve">C055375A2</t>
  </si>
  <si>
    <t xml:space="preserve">C055377A2</t>
  </si>
  <si>
    <t xml:space="preserve">C055378A2</t>
  </si>
  <si>
    <t xml:space="preserve">C055379A2</t>
  </si>
  <si>
    <t xml:space="preserve">C055380A2</t>
  </si>
  <si>
    <t xml:space="preserve">C055381A2</t>
  </si>
  <si>
    <t xml:space="preserve">0055382A2</t>
  </si>
  <si>
    <t xml:space="preserve">0055383A2</t>
  </si>
  <si>
    <t xml:space="preserve">C055404A2</t>
  </si>
  <si>
    <t xml:space="preserve">C055405A2</t>
  </si>
  <si>
    <t xml:space="preserve">C055407A2</t>
  </si>
  <si>
    <t xml:space="preserve">C055408A2</t>
  </si>
  <si>
    <t xml:space="preserve">C055409A2</t>
  </si>
  <si>
    <t xml:space="preserve">C055410A2</t>
  </si>
  <si>
    <t xml:space="preserve">C055411A2</t>
  </si>
  <si>
    <t xml:space="preserve">C055432A2</t>
  </si>
  <si>
    <t xml:space="preserve">C055433A2</t>
  </si>
  <si>
    <t xml:space="preserve">C055435A2</t>
  </si>
  <si>
    <t xml:space="preserve">C055436A2</t>
  </si>
  <si>
    <t xml:space="preserve">C055437A2</t>
  </si>
  <si>
    <t xml:space="preserve">C055438A2</t>
  </si>
  <si>
    <t xml:space="preserve">C055439A2</t>
  </si>
  <si>
    <t xml:space="preserve">0055440A2</t>
  </si>
  <si>
    <t xml:space="preserve">0055441A2</t>
  </si>
  <si>
    <t xml:space="preserve">C055542A2</t>
  </si>
  <si>
    <t xml:space="preserve">C055543A2</t>
  </si>
  <si>
    <t xml:space="preserve">C055544A2</t>
  </si>
  <si>
    <t xml:space="preserve">C055545A2</t>
  </si>
  <si>
    <t xml:space="preserve">C055546A2</t>
  </si>
  <si>
    <t xml:space="preserve">C055547A2</t>
  </si>
  <si>
    <t xml:space="preserve">C055548A2</t>
  </si>
  <si>
    <t xml:space="preserve">0055550A2</t>
  </si>
  <si>
    <t xml:space="preserve">0055551A2</t>
  </si>
  <si>
    <t xml:space="preserve">C055579A2</t>
  </si>
  <si>
    <t xml:space="preserve">C055580A2</t>
  </si>
  <si>
    <t xml:space="preserve">C055581A2</t>
  </si>
  <si>
    <t xml:space="preserve">C055582A2</t>
  </si>
  <si>
    <t xml:space="preserve">C055583A2</t>
  </si>
  <si>
    <t xml:space="preserve">C055585A2</t>
  </si>
  <si>
    <t xml:space="preserve">C055586A2</t>
  </si>
  <si>
    <t xml:space="preserve">0055587A2</t>
  </si>
  <si>
    <t xml:space="preserve">0055588A2</t>
  </si>
  <si>
    <t xml:space="preserve">C055710A2</t>
  </si>
  <si>
    <t xml:space="preserve">C055713A2</t>
  </si>
  <si>
    <t xml:space="preserve">C055714A2</t>
  </si>
  <si>
    <t xml:space="preserve">C055715A2</t>
  </si>
  <si>
    <t xml:space="preserve">C055716A2</t>
  </si>
  <si>
    <t xml:space="preserve">0055717A2</t>
  </si>
  <si>
    <t xml:space="preserve">0055718A2</t>
  </si>
  <si>
    <t xml:space="preserve">C055848A2</t>
  </si>
  <si>
    <t xml:space="preserve">C055863A2</t>
  </si>
  <si>
    <t xml:space="preserve">C055866A2</t>
  </si>
  <si>
    <t xml:space="preserve">C055867A2</t>
  </si>
  <si>
    <t xml:space="preserve">0055868A2</t>
  </si>
  <si>
    <t xml:space="preserve">0055869A2</t>
  </si>
  <si>
    <t xml:space="preserve">C055894A2</t>
  </si>
  <si>
    <t xml:space="preserve">C055906A2</t>
  </si>
  <si>
    <t xml:space="preserve">C055907A2</t>
  </si>
  <si>
    <t xml:space="preserve">0055908A2</t>
  </si>
  <si>
    <t xml:space="preserve">0055909A2</t>
  </si>
  <si>
    <t xml:space="preserve">C055924A2</t>
  </si>
  <si>
    <t xml:space="preserve">C055925A2</t>
  </si>
  <si>
    <t xml:space="preserve">C055926A2</t>
  </si>
  <si>
    <t xml:space="preserve">C055927A2</t>
  </si>
  <si>
    <t xml:space="preserve">C055928A2</t>
  </si>
  <si>
    <t xml:space="preserve">C055929A2</t>
  </si>
  <si>
    <t xml:space="preserve">C055930A2</t>
  </si>
  <si>
    <t xml:space="preserve">0055932A2</t>
  </si>
  <si>
    <t xml:space="preserve">0055933A2</t>
  </si>
  <si>
    <t xml:space="preserve">C058018A2</t>
  </si>
  <si>
    <t xml:space="preserve">C058019A2</t>
  </si>
  <si>
    <t xml:space="preserve">C058020A2</t>
  </si>
  <si>
    <t xml:space="preserve">C058021A2</t>
  </si>
  <si>
    <t xml:space="preserve">0058023A2</t>
  </si>
  <si>
    <t xml:space="preserve">C058028A2</t>
  </si>
  <si>
    <t xml:space="preserve">C058029A2</t>
  </si>
  <si>
    <t xml:space="preserve">C058030A2</t>
  </si>
  <si>
    <t xml:space="preserve">C058031A2</t>
  </si>
  <si>
    <t xml:space="preserve">0058032A2</t>
  </si>
  <si>
    <t xml:space="preserve">0058033A2</t>
  </si>
  <si>
    <t xml:space="preserve">C058038A2</t>
  </si>
  <si>
    <t xml:space="preserve">C058039A2</t>
  </si>
  <si>
    <t xml:space="preserve">C058040A2</t>
  </si>
  <si>
    <t xml:space="preserve">C058041A2</t>
  </si>
  <si>
    <t xml:space="preserve">0058042A2</t>
  </si>
  <si>
    <t xml:space="preserve">C058048A2</t>
  </si>
  <si>
    <t xml:space="preserve">C058049A2</t>
  </si>
  <si>
    <t xml:space="preserve">C058050A2</t>
  </si>
  <si>
    <t xml:space="preserve">C058051A2</t>
  </si>
  <si>
    <t xml:space="preserve">0058052A2</t>
  </si>
  <si>
    <t xml:space="preserve">0058053A2</t>
  </si>
  <si>
    <t xml:space="preserve">C058059A2</t>
  </si>
  <si>
    <t xml:space="preserve">C058071A2</t>
  </si>
  <si>
    <t xml:space="preserve">C058076A2</t>
  </si>
  <si>
    <t xml:space="preserve">C058083A2</t>
  </si>
  <si>
    <t xml:space="preserve">C058089A2</t>
  </si>
  <si>
    <t xml:space="preserve">C058090A2</t>
  </si>
  <si>
    <t xml:space="preserve">0058091A2</t>
  </si>
  <si>
    <t xml:space="preserve">0058092A2</t>
  </si>
  <si>
    <t xml:space="preserve">C058109A2</t>
  </si>
  <si>
    <t xml:space="preserve">C058110A2</t>
  </si>
  <si>
    <t xml:space="preserve">0058111A2</t>
  </si>
  <si>
    <t xml:space="preserve">0058112A2</t>
  </si>
  <si>
    <t xml:space="preserve">C058118A2</t>
  </si>
  <si>
    <t xml:space="preserve">C058119A2</t>
  </si>
  <si>
    <t xml:space="preserve">C058120A2</t>
  </si>
  <si>
    <t xml:space="preserve">C058121A2</t>
  </si>
  <si>
    <t xml:space="preserve">0058122A2</t>
  </si>
  <si>
    <t xml:space="preserve">0058123A2</t>
  </si>
  <si>
    <t xml:space="preserve">C058128A2</t>
  </si>
  <si>
    <t xml:space="preserve">C058129A2</t>
  </si>
  <si>
    <t xml:space="preserve">C058130A2</t>
  </si>
  <si>
    <t xml:space="preserve">C058131A2</t>
  </si>
  <si>
    <t xml:space="preserve">0058132A2</t>
  </si>
  <si>
    <t xml:space="preserve">0058133A2</t>
  </si>
  <si>
    <t xml:space="preserve">C058150A2</t>
  </si>
  <si>
    <t xml:space="preserve">C058181A2</t>
  </si>
  <si>
    <t xml:space="preserve">0058190A2</t>
  </si>
  <si>
    <t xml:space="preserve">0058191A2</t>
  </si>
  <si>
    <t xml:space="preserve">C058192A2</t>
  </si>
  <si>
    <t xml:space="preserve">C058195A2</t>
  </si>
  <si>
    <t xml:space="preserve">C058204A2</t>
  </si>
  <si>
    <t xml:space="preserve">C058205A2</t>
  </si>
  <si>
    <t xml:space="preserve">C058206A2</t>
  </si>
  <si>
    <t xml:space="preserve">0058208A2</t>
  </si>
  <si>
    <t xml:space="preserve">0058209A2</t>
  </si>
  <si>
    <t xml:space="preserve">C058238A2</t>
  </si>
  <si>
    <t xml:space="preserve">C058239A2</t>
  </si>
  <si>
    <t xml:space="preserve">C058240A2</t>
  </si>
  <si>
    <t xml:space="preserve">C058241A2</t>
  </si>
  <si>
    <t xml:space="preserve">0058243A2</t>
  </si>
  <si>
    <t xml:space="preserve">C058252A2</t>
  </si>
  <si>
    <t xml:space="preserve">C058253A2</t>
  </si>
  <si>
    <t xml:space="preserve">C058254A2</t>
  </si>
  <si>
    <t xml:space="preserve">0058256A2</t>
  </si>
  <si>
    <t xml:space="preserve">0058257A2</t>
  </si>
  <si>
    <t xml:space="preserve">C058268A2</t>
  </si>
  <si>
    <t xml:space="preserve">C058270A2</t>
  </si>
  <si>
    <t xml:space="preserve">C058271A2</t>
  </si>
  <si>
    <t xml:space="preserve">0058273A2</t>
  </si>
  <si>
    <t xml:space="preserve">C058278A2</t>
  </si>
  <si>
    <t xml:space="preserve">C058279A2</t>
  </si>
  <si>
    <t xml:space="preserve">C058280A2</t>
  </si>
  <si>
    <t xml:space="preserve">C058281A2</t>
  </si>
  <si>
    <t xml:space="preserve">0058282A2</t>
  </si>
  <si>
    <t xml:space="preserve">C058288A2</t>
  </si>
  <si>
    <t xml:space="preserve">C058289A2</t>
  </si>
  <si>
    <t xml:space="preserve">C058290A2</t>
  </si>
  <si>
    <t xml:space="preserve">C058291A2</t>
  </si>
  <si>
    <t xml:space="preserve">0058292A2</t>
  </si>
  <si>
    <t xml:space="preserve">0058293A2</t>
  </si>
  <si>
    <t xml:space="preserve">C058308A2</t>
  </si>
  <si>
    <t xml:space="preserve">C058309A2</t>
  </si>
  <si>
    <t xml:space="preserve">C058310A2</t>
  </si>
  <si>
    <t xml:space="preserve">0058312A2</t>
  </si>
  <si>
    <t xml:space="preserve">0058313A2</t>
  </si>
  <si>
    <t xml:space="preserve">C058322A2</t>
  </si>
  <si>
    <t xml:space="preserve">C058324A2</t>
  </si>
  <si>
    <t xml:space="preserve">0058326A2</t>
  </si>
  <si>
    <t xml:space="preserve">0058327A2</t>
  </si>
  <si>
    <t xml:space="preserve">C058348A2</t>
  </si>
  <si>
    <t xml:space="preserve">C058349A2</t>
  </si>
  <si>
    <t xml:space="preserve">C058350A2</t>
  </si>
  <si>
    <t xml:space="preserve">C058351A2</t>
  </si>
  <si>
    <t xml:space="preserve">0058352A2</t>
  </si>
  <si>
    <t xml:space="preserve">0058353A2</t>
  </si>
  <si>
    <t xml:space="preserve">C058378A2</t>
  </si>
  <si>
    <t xml:space="preserve">C058379A2</t>
  </si>
  <si>
    <t xml:space="preserve">C058380A2</t>
  </si>
  <si>
    <t xml:space="preserve">C058381A2</t>
  </si>
  <si>
    <t xml:space="preserve">0058382A2</t>
  </si>
  <si>
    <t xml:space="preserve">0058383A2</t>
  </si>
  <si>
    <t xml:space="preserve">C058408A2</t>
  </si>
  <si>
    <t xml:space="preserve">C058410A2</t>
  </si>
  <si>
    <t xml:space="preserve">C058438A2</t>
  </si>
  <si>
    <t xml:space="preserve">C058439A2</t>
  </si>
  <si>
    <t xml:space="preserve">0058440A2</t>
  </si>
  <si>
    <t xml:space="preserve">0058441A2</t>
  </si>
  <si>
    <t xml:space="preserve">C058546A2</t>
  </si>
  <si>
    <t xml:space="preserve">C058547A2</t>
  </si>
  <si>
    <t xml:space="preserve">C058548A2</t>
  </si>
  <si>
    <t xml:space="preserve">0058550A2</t>
  </si>
  <si>
    <t xml:space="preserve">0058551A2</t>
  </si>
  <si>
    <t xml:space="preserve">C058583A2</t>
  </si>
  <si>
    <t xml:space="preserve">C058585A2</t>
  </si>
  <si>
    <t xml:space="preserve">C058586A2</t>
  </si>
  <si>
    <t xml:space="preserve">C058714A2</t>
  </si>
  <si>
    <t xml:space="preserve">C058715A2</t>
  </si>
  <si>
    <t xml:space="preserve">C058716A2</t>
  </si>
  <si>
    <t xml:space="preserve">0058717A2</t>
  </si>
  <si>
    <t xml:space="preserve">0058718A2</t>
  </si>
  <si>
    <t xml:space="preserve">C058848A2</t>
  </si>
  <si>
    <t xml:space="preserve">C058866A2</t>
  </si>
  <si>
    <t xml:space="preserve">C058867A2</t>
  </si>
  <si>
    <t xml:space="preserve">0058868A2</t>
  </si>
  <si>
    <t xml:space="preserve">0058869A2</t>
  </si>
  <si>
    <t xml:space="preserve">C058894A2</t>
  </si>
  <si>
    <t xml:space="preserve">C058906A2</t>
  </si>
  <si>
    <t xml:space="preserve">C058907A2</t>
  </si>
  <si>
    <t xml:space="preserve">0058908A2</t>
  </si>
  <si>
    <t xml:space="preserve">0058909A2</t>
  </si>
  <si>
    <t xml:space="preserve">C058928A2</t>
  </si>
  <si>
    <t xml:space="preserve">C058929A2</t>
  </si>
  <si>
    <t xml:space="preserve">C058930A2</t>
  </si>
  <si>
    <t xml:space="preserve">0058932A2</t>
  </si>
  <si>
    <t xml:space="preserve">0058933A2</t>
  </si>
  <si>
    <t xml:space="preserve">00K6527E026</t>
  </si>
  <si>
    <t xml:space="preserve">6527</t>
  </si>
  <si>
    <t xml:space="preserve">00K6527E040</t>
  </si>
  <si>
    <t xml:space="preserve">00K6527E060</t>
  </si>
  <si>
    <t xml:space="preserve">00K6527U026</t>
  </si>
  <si>
    <t xml:space="preserve">00K6527U060</t>
  </si>
  <si>
    <t xml:space="preserve">00K6533U026</t>
  </si>
  <si>
    <t xml:space="preserve">6533</t>
  </si>
  <si>
    <t xml:space="preserve">00K7228E026</t>
  </si>
  <si>
    <t xml:space="preserve">7228</t>
  </si>
  <si>
    <t xml:space="preserve">00K7228E040</t>
  </si>
  <si>
    <t xml:space="preserve">00K7228E060</t>
  </si>
  <si>
    <t xml:space="preserve">00K7236U026</t>
  </si>
  <si>
    <t xml:space="preserve">7236</t>
  </si>
  <si>
    <t xml:space="preserve">0077020A7</t>
  </si>
  <si>
    <t xml:space="preserve">0077021A7</t>
  </si>
  <si>
    <t xml:space="preserve">0077030A7</t>
  </si>
  <si>
    <t xml:space="preserve">0077031A7</t>
  </si>
  <si>
    <t xml:space="preserve">0077040A7</t>
  </si>
  <si>
    <t xml:space="preserve">0077041A7</t>
  </si>
  <si>
    <t xml:space="preserve">0077050A7</t>
  </si>
  <si>
    <t xml:space="preserve">0077051A7</t>
  </si>
  <si>
    <t xml:space="preserve">0077052A7</t>
  </si>
  <si>
    <t xml:space="preserve">0077054A7</t>
  </si>
  <si>
    <t xml:space="preserve">0077055A7</t>
  </si>
  <si>
    <t xml:space="preserve">0077059A7</t>
  </si>
  <si>
    <t xml:space="preserve">0077071A7</t>
  </si>
  <si>
    <t xml:space="preserve">0077076A7</t>
  </si>
  <si>
    <t xml:space="preserve">0077083A7</t>
  </si>
  <si>
    <t xml:space="preserve">0077089A7</t>
  </si>
  <si>
    <t xml:space="preserve">0077090A7</t>
  </si>
  <si>
    <t xml:space="preserve">0077091A7</t>
  </si>
  <si>
    <t xml:space="preserve">0077093A7</t>
  </si>
  <si>
    <t xml:space="preserve">0077094A7</t>
  </si>
  <si>
    <t xml:space="preserve">0077095A7</t>
  </si>
  <si>
    <t xml:space="preserve">0077109A7</t>
  </si>
  <si>
    <t xml:space="preserve">0077110A7</t>
  </si>
  <si>
    <t xml:space="preserve">0077111A7</t>
  </si>
  <si>
    <t xml:space="preserve">0077120A7</t>
  </si>
  <si>
    <t xml:space="preserve">0077121A7</t>
  </si>
  <si>
    <t xml:space="preserve">0077130A7</t>
  </si>
  <si>
    <t xml:space="preserve">0077131A7</t>
  </si>
  <si>
    <t xml:space="preserve">0077140A7</t>
  </si>
  <si>
    <t xml:space="preserve">0077141A7</t>
  </si>
  <si>
    <t xml:space="preserve">0077150A7</t>
  </si>
  <si>
    <t xml:space="preserve">0077151A7</t>
  </si>
  <si>
    <t xml:space="preserve">0077154A7</t>
  </si>
  <si>
    <t xml:space="preserve">0077180A7</t>
  </si>
  <si>
    <t xml:space="preserve">0077181A7</t>
  </si>
  <si>
    <t xml:space="preserve">0077184A7</t>
  </si>
  <si>
    <t xml:space="preserve">0077189A7</t>
  </si>
  <si>
    <t xml:space="preserve">0077191A7</t>
  </si>
  <si>
    <t xml:space="preserve">0077192A7</t>
  </si>
  <si>
    <t xml:space="preserve">0077193A7</t>
  </si>
  <si>
    <t xml:space="preserve">0077194A7</t>
  </si>
  <si>
    <t xml:space="preserve">0077195A7</t>
  </si>
  <si>
    <t xml:space="preserve">0077206A7</t>
  </si>
  <si>
    <t xml:space="preserve">0077210A7</t>
  </si>
  <si>
    <t xml:space="preserve">0077211A7</t>
  </si>
  <si>
    <t xml:space="preserve">0077212A7</t>
  </si>
  <si>
    <t xml:space="preserve">0077213A7</t>
  </si>
  <si>
    <t xml:space="preserve">0077214A7</t>
  </si>
  <si>
    <t xml:space="preserve">0077224A7</t>
  </si>
  <si>
    <t xml:space="preserve">0077225A7</t>
  </si>
  <si>
    <t xml:space="preserve">0077240A7</t>
  </si>
  <si>
    <t xml:space="preserve">0077244A7</t>
  </si>
  <si>
    <t xml:space="preserve">0077254A7</t>
  </si>
  <si>
    <t xml:space="preserve">0077256A7</t>
  </si>
  <si>
    <t xml:space="preserve">0077258A7</t>
  </si>
  <si>
    <t xml:space="preserve">0077259A7</t>
  </si>
  <si>
    <t xml:space="preserve">0077260A7</t>
  </si>
  <si>
    <t xml:space="preserve">0077270A7</t>
  </si>
  <si>
    <t xml:space="preserve">0077271A7</t>
  </si>
  <si>
    <t xml:space="preserve">0077280A7</t>
  </si>
  <si>
    <t xml:space="preserve">0077281A7</t>
  </si>
  <si>
    <t xml:space="preserve">0077290A7</t>
  </si>
  <si>
    <t xml:space="preserve">0077291A7</t>
  </si>
  <si>
    <t xml:space="preserve">0077294A7</t>
  </si>
  <si>
    <t xml:space="preserve">0077310A7</t>
  </si>
  <si>
    <t xml:space="preserve">0077312A7</t>
  </si>
  <si>
    <t xml:space="preserve">0077314A7</t>
  </si>
  <si>
    <t xml:space="preserve">0077315A7</t>
  </si>
  <si>
    <t xml:space="preserve">0077316A7</t>
  </si>
  <si>
    <t xml:space="preserve">0077324A7</t>
  </si>
  <si>
    <t xml:space="preserve">0077326A7</t>
  </si>
  <si>
    <t xml:space="preserve">0077328A7</t>
  </si>
  <si>
    <t xml:space="preserve">0077329A7</t>
  </si>
  <si>
    <t xml:space="preserve">0077330A7</t>
  </si>
  <si>
    <t xml:space="preserve">0077334A7</t>
  </si>
  <si>
    <t xml:space="preserve">0077335A7</t>
  </si>
  <si>
    <t xml:space="preserve">0077350A7</t>
  </si>
  <si>
    <t xml:space="preserve">0077351A7</t>
  </si>
  <si>
    <t xml:space="preserve">0077352A7</t>
  </si>
  <si>
    <t xml:space="preserve">0077354A7</t>
  </si>
  <si>
    <t xml:space="preserve">0077355A7</t>
  </si>
  <si>
    <t xml:space="preserve">0077356A7</t>
  </si>
  <si>
    <t xml:space="preserve">0077380A7</t>
  </si>
  <si>
    <t xml:space="preserve">0077381A7</t>
  </si>
  <si>
    <t xml:space="preserve">0077384A7</t>
  </si>
  <si>
    <t xml:space="preserve">0077385A7</t>
  </si>
  <si>
    <t xml:space="preserve">0077410A7</t>
  </si>
  <si>
    <t xml:space="preserve">0077414A7</t>
  </si>
  <si>
    <t xml:space="preserve">0077431A7</t>
  </si>
  <si>
    <t xml:space="preserve">0077438A7</t>
  </si>
  <si>
    <t xml:space="preserve">0077439A7</t>
  </si>
  <si>
    <t xml:space="preserve">0077440A7</t>
  </si>
  <si>
    <t xml:space="preserve">0077442A7</t>
  </si>
  <si>
    <t xml:space="preserve">0077443A7</t>
  </si>
  <si>
    <t xml:space="preserve">0077444A7</t>
  </si>
  <si>
    <t xml:space="preserve">0077445A7</t>
  </si>
  <si>
    <t xml:space="preserve">0077548A7</t>
  </si>
  <si>
    <t xml:space="preserve">0077550A7</t>
  </si>
  <si>
    <t xml:space="preserve">0077552A7</t>
  </si>
  <si>
    <t xml:space="preserve">0077553A7</t>
  </si>
  <si>
    <t xml:space="preserve">0077555A7</t>
  </si>
  <si>
    <t xml:space="preserve">0077585A7</t>
  </si>
  <si>
    <t xml:space="preserve">0077586A7</t>
  </si>
  <si>
    <t xml:space="preserve">0077587A7</t>
  </si>
  <si>
    <t xml:space="preserve">0077589A7</t>
  </si>
  <si>
    <t xml:space="preserve">0077590A7</t>
  </si>
  <si>
    <t xml:space="preserve">0077591A7</t>
  </si>
  <si>
    <t xml:space="preserve">0077715A7</t>
  </si>
  <si>
    <t xml:space="preserve">0077716A7</t>
  </si>
  <si>
    <t xml:space="preserve">0077717A7</t>
  </si>
  <si>
    <t xml:space="preserve">0077719A7</t>
  </si>
  <si>
    <t xml:space="preserve">0077720A7</t>
  </si>
  <si>
    <t xml:space="preserve">0077721A7</t>
  </si>
  <si>
    <t xml:space="preserve">0077824A7</t>
  </si>
  <si>
    <t xml:space="preserve">0077825A7</t>
  </si>
  <si>
    <t xml:space="preserve">0077834A7</t>
  </si>
  <si>
    <t xml:space="preserve">0077835A7</t>
  </si>
  <si>
    <t xml:space="preserve">0077844A7</t>
  </si>
  <si>
    <t xml:space="preserve">0077847A7</t>
  </si>
  <si>
    <t xml:space="preserve">0077848A7</t>
  </si>
  <si>
    <t xml:space="preserve">0077867A7</t>
  </si>
  <si>
    <t xml:space="preserve">0077868A7</t>
  </si>
  <si>
    <t xml:space="preserve">0077872A7</t>
  </si>
  <si>
    <t xml:space="preserve">0077874A7</t>
  </si>
  <si>
    <t xml:space="preserve">0077875A7</t>
  </si>
  <si>
    <t xml:space="preserve">0077884A7</t>
  </si>
  <si>
    <t xml:space="preserve">0077885A7</t>
  </si>
  <si>
    <t xml:space="preserve">0077894A7</t>
  </si>
  <si>
    <t xml:space="preserve">0077906A7</t>
  </si>
  <si>
    <t xml:space="preserve">0077907A7</t>
  </si>
  <si>
    <t xml:space="preserve">0077908A7</t>
  </si>
  <si>
    <t xml:space="preserve">0077912A7</t>
  </si>
  <si>
    <t xml:space="preserve">0077930A7</t>
  </si>
  <si>
    <t xml:space="preserve">0077932A7</t>
  </si>
  <si>
    <t xml:space="preserve">0077934A7</t>
  </si>
  <si>
    <t xml:space="preserve">0077935A7</t>
  </si>
  <si>
    <t xml:space="preserve">0077936A7</t>
  </si>
  <si>
    <t xml:space="preserve">0078051A7</t>
  </si>
  <si>
    <t xml:space="preserve">0078059A7</t>
  </si>
  <si>
    <t xml:space="preserve">0078071A7</t>
  </si>
  <si>
    <t xml:space="preserve">0078076A7</t>
  </si>
  <si>
    <t xml:space="preserve">0078083A7</t>
  </si>
  <si>
    <t xml:space="preserve">0078090A7</t>
  </si>
  <si>
    <t xml:space="preserve">0078110A7</t>
  </si>
  <si>
    <t xml:space="preserve">0078121A7</t>
  </si>
  <si>
    <t xml:space="preserve">0078192A7</t>
  </si>
  <si>
    <t xml:space="preserve">0078351A7</t>
  </si>
  <si>
    <t xml:space="preserve">0078381A7</t>
  </si>
  <si>
    <t xml:space="preserve">0078439A7</t>
  </si>
  <si>
    <t xml:space="preserve">0078586A7</t>
  </si>
  <si>
    <t xml:space="preserve">0078716A7</t>
  </si>
  <si>
    <t xml:space="preserve">0078848A7</t>
  </si>
  <si>
    <t xml:space="preserve">0078867A7</t>
  </si>
  <si>
    <t xml:space="preserve">0078894A7</t>
  </si>
  <si>
    <t xml:space="preserve">0078907A7</t>
  </si>
  <si>
    <t xml:space="preserve">00K8020U026</t>
  </si>
  <si>
    <t xml:space="preserve">8020</t>
  </si>
  <si>
    <t xml:space="preserve">00K8020E026</t>
  </si>
  <si>
    <t xml:space="preserve">00K8020E040</t>
  </si>
  <si>
    <t xml:space="preserve">00K8020E060</t>
  </si>
  <si>
    <t xml:space="preserve">00K8038U026</t>
  </si>
  <si>
    <t xml:space="preserve">8038</t>
  </si>
  <si>
    <t xml:space="preserve">00K8038U060</t>
  </si>
  <si>
    <t xml:space="preserve">00K8044E026</t>
  </si>
  <si>
    <t xml:space="preserve">8044</t>
  </si>
  <si>
    <t xml:space="preserve">0077166A7</t>
  </si>
  <si>
    <t xml:space="preserve">0077155A7</t>
  </si>
  <si>
    <t xml:space="preserve">0077185A7</t>
  </si>
  <si>
    <t xml:space="preserve">C055016A2</t>
  </si>
  <si>
    <t xml:space="preserve">0058022A2</t>
  </si>
  <si>
    <t xml:space="preserve">0058242A2</t>
  </si>
  <si>
    <t xml:space="preserve">High FLux</t>
  </si>
  <si>
    <t xml:space="preserve">0077241A7</t>
  </si>
  <si>
    <t xml:space="preserve">0077245A7</t>
  </si>
  <si>
    <t xml:space="preserve">0055273A2</t>
  </si>
  <si>
    <t xml:space="preserve">C058269A2</t>
  </si>
  <si>
    <t xml:space="preserve">0058272A2</t>
  </si>
  <si>
    <t xml:space="preserve">0055412A2</t>
  </si>
  <si>
    <t xml:space="preserve">0055413A2</t>
  </si>
  <si>
    <t xml:space="preserve">C058409A2</t>
  </si>
  <si>
    <t xml:space="preserve">C058411A2</t>
  </si>
  <si>
    <t xml:space="preserve">0058412A2</t>
  </si>
  <si>
    <t xml:space="preserve">0058413A2</t>
  </si>
  <si>
    <t xml:space="preserve">0077411A7</t>
  </si>
  <si>
    <t xml:space="preserve">0077415A7</t>
  </si>
  <si>
    <t xml:space="preserve">C055026A2</t>
  </si>
  <si>
    <t xml:space="preserve">0058283A2</t>
  </si>
  <si>
    <t xml:space="preserve">0077295A7</t>
  </si>
  <si>
    <t xml:space="preserve">0058043A2</t>
  </si>
  <si>
    <t xml:space="preserve">0077845A7</t>
  </si>
  <si>
    <t xml:space="preserve">0077313A7</t>
  </si>
  <si>
    <t xml:space="preserve">0077353A7</t>
  </si>
  <si>
    <t xml:space="preserve">0077933A7</t>
  </si>
  <si>
    <t xml:space="preserve">0077551A7</t>
  </si>
  <si>
    <t xml:space="preserve">C055584A2</t>
  </si>
  <si>
    <t xml:space="preserve">C058584A2</t>
  </si>
  <si>
    <t xml:space="preserve">0058588A2</t>
  </si>
  <si>
    <t xml:space="preserve">0077588A7</t>
  </si>
  <si>
    <t xml:space="preserve">C058323A2</t>
  </si>
  <si>
    <t xml:space="preserve">0077327A7</t>
  </si>
  <si>
    <t xml:space="preserve">0077257A7</t>
  </si>
  <si>
    <t xml:space="preserve">C058437A2</t>
  </si>
  <si>
    <t xml:space="preserve">0077441A7</t>
  </si>
  <si>
    <t xml:space="preserve">0077092A7</t>
  </si>
  <si>
    <t xml:space="preserve">C055082A2</t>
  </si>
  <si>
    <t xml:space="preserve">0077718A7</t>
  </si>
  <si>
    <t xml:space="preserve">C055709A2</t>
  </si>
  <si>
    <t xml:space="preserve">C055712A2</t>
  </si>
  <si>
    <t xml:space="preserve">C055196A2</t>
  </si>
  <si>
    <t xml:space="preserve">C055197A2</t>
  </si>
  <si>
    <t xml:space="preserve">C055198A2</t>
  </si>
  <si>
    <t xml:space="preserve">C055199A2</t>
  </si>
  <si>
    <t xml:space="preserve">0077190A7</t>
  </si>
  <si>
    <t xml:space="preserve">0077112A7</t>
  </si>
  <si>
    <t xml:space="preserve">0077614A7</t>
  </si>
  <si>
    <t xml:space="preserve">0077734A7</t>
  </si>
  <si>
    <t xml:space="preserve">0077869A7</t>
  </si>
  <si>
    <t xml:space="preserve">0077909A7</t>
  </si>
  <si>
    <t xml:space="preserve">0077866A7</t>
  </si>
  <si>
    <t xml:space="preserve">0077101A7</t>
  </si>
  <si>
    <t xml:space="preserve">0077338A7</t>
  </si>
  <si>
    <t xml:space="preserve">0077339A7</t>
  </si>
  <si>
    <t xml:space="preserve">0077336A7</t>
  </si>
  <si>
    <t xml:space="preserve">0078337A7</t>
  </si>
  <si>
    <t xml:space="preserve">0077164A7</t>
  </si>
  <si>
    <t xml:space="preserve">0078167A7</t>
  </si>
  <si>
    <t xml:space="preserve">0078165A7</t>
  </si>
  <si>
    <t xml:space="preserve">0078099A7</t>
  </si>
  <si>
    <t xml:space="preserve">0078102A7</t>
  </si>
  <si>
    <t xml:space="preserve">0078339A7</t>
  </si>
  <si>
    <t xml:space="preserve">0077070A7</t>
  </si>
  <si>
    <t xml:space="preserve">070</t>
  </si>
  <si>
    <t xml:space="preserve">0077072A7</t>
  </si>
  <si>
    <t xml:space="preserve">0077073A7</t>
  </si>
  <si>
    <t xml:space="preserve">0077074A7</t>
  </si>
  <si>
    <t xml:space="preserve">0077075A7</t>
  </si>
  <si>
    <t xml:space="preserve">0078072A7</t>
  </si>
  <si>
    <t xml:space="preserve">0078052A7</t>
  </si>
  <si>
    <t xml:space="preserve">0078112A7</t>
  </si>
  <si>
    <t xml:space="preserve">0078328A7</t>
  </si>
  <si>
    <t xml:space="preserve">380</t>
  </si>
  <si>
    <t xml:space="preserve">0078208A7</t>
  </si>
  <si>
    <t xml:space="preserve">0078312A7</t>
  </si>
  <si>
    <t xml:space="preserve">0078352A7</t>
  </si>
  <si>
    <t xml:space="preserve">350</t>
  </si>
  <si>
    <t xml:space="preserve">0078932A7</t>
  </si>
  <si>
    <t xml:space="preserve">0078550A7</t>
  </si>
  <si>
    <t xml:space="preserve">0078587A7</t>
  </si>
  <si>
    <t xml:space="preserve">0078326A7</t>
  </si>
  <si>
    <t xml:space="preserve">0078256A7</t>
  </si>
  <si>
    <t xml:space="preserve">0078440A7</t>
  </si>
  <si>
    <t xml:space="preserve">438</t>
  </si>
  <si>
    <t xml:space="preserve">0078091A7</t>
  </si>
  <si>
    <t xml:space="preserve">0078717A7</t>
  </si>
  <si>
    <t xml:space="preserve">715</t>
  </si>
  <si>
    <t xml:space="preserve">0078191A7</t>
  </si>
  <si>
    <t xml:space="preserve">195</t>
  </si>
  <si>
    <t xml:space="preserve">0078111A7</t>
  </si>
  <si>
    <t xml:space="preserve">109</t>
  </si>
  <si>
    <t xml:space="preserve">0078615A7</t>
  </si>
  <si>
    <t xml:space="preserve">0078735A7</t>
  </si>
  <si>
    <t xml:space="preserve">740</t>
  </si>
  <si>
    <t xml:space="preserve">0075099A7</t>
  </si>
  <si>
    <t xml:space="preserve">75</t>
  </si>
  <si>
    <t xml:space="preserve">0075100A7</t>
  </si>
  <si>
    <t xml:space="preserve">0075102A7</t>
  </si>
  <si>
    <t xml:space="preserve">0075165A7</t>
  </si>
  <si>
    <t xml:space="preserve">0075337A7</t>
  </si>
  <si>
    <t xml:space="preserve">0075615A7</t>
  </si>
  <si>
    <t xml:space="preserve">0075616A7</t>
  </si>
  <si>
    <t xml:space="preserve">0075617A7</t>
  </si>
  <si>
    <t xml:space="preserve">0075735A7</t>
  </si>
  <si>
    <t xml:space="preserve">0075736A7</t>
  </si>
  <si>
    <t xml:space="preserve">0075737A7</t>
  </si>
  <si>
    <t xml:space="preserve">0075059A7</t>
  </si>
  <si>
    <t xml:space="preserve">0075071A7</t>
  </si>
  <si>
    <t xml:space="preserve">0075076A7</t>
  </si>
  <si>
    <t xml:space="preserve">0075083A7</t>
  </si>
  <si>
    <t xml:space="preserve">0075090A7</t>
  </si>
  <si>
    <t xml:space="preserve">0075091A7</t>
  </si>
  <si>
    <t xml:space="preserve">0075095A7</t>
  </si>
  <si>
    <t xml:space="preserve">0075110A7</t>
  </si>
  <si>
    <t xml:space="preserve">0075111A7</t>
  </si>
  <si>
    <t xml:space="preserve">0075189A7</t>
  </si>
  <si>
    <t xml:space="preserve">0075191A7</t>
  </si>
  <si>
    <t xml:space="preserve">0075192A7</t>
  </si>
  <si>
    <t xml:space="preserve">0075212A7</t>
  </si>
  <si>
    <t xml:space="preserve">0075256A7</t>
  </si>
  <si>
    <t xml:space="preserve">0075260A7</t>
  </si>
  <si>
    <t xml:space="preserve">0075312A7</t>
  </si>
  <si>
    <t xml:space="preserve">0075316A7</t>
  </si>
  <si>
    <t xml:space="preserve">0075326A7</t>
  </si>
  <si>
    <t xml:space="preserve">0075330A7</t>
  </si>
  <si>
    <t xml:space="preserve">0075351A7</t>
  </si>
  <si>
    <t xml:space="preserve">0075352A7</t>
  </si>
  <si>
    <t xml:space="preserve">0075356A7</t>
  </si>
  <si>
    <t xml:space="preserve">0075431A7</t>
  </si>
  <si>
    <t xml:space="preserve">0075439A7</t>
  </si>
  <si>
    <t xml:space="preserve">0075440A7</t>
  </si>
  <si>
    <t xml:space="preserve">0075550A7</t>
  </si>
  <si>
    <t xml:space="preserve">0075555A7</t>
  </si>
  <si>
    <t xml:space="preserve">0075586A7</t>
  </si>
  <si>
    <t xml:space="preserve">0075587A7</t>
  </si>
  <si>
    <t xml:space="preserve">0075591A7</t>
  </si>
  <si>
    <t xml:space="preserve">0075716A7</t>
  </si>
  <si>
    <t xml:space="preserve">0075717A7</t>
  </si>
  <si>
    <t xml:space="preserve">0075721A7</t>
  </si>
  <si>
    <t xml:space="preserve">0075867A7</t>
  </si>
  <si>
    <t xml:space="preserve">0075868A7</t>
  </si>
  <si>
    <t xml:space="preserve">0075872A7</t>
  </si>
  <si>
    <t xml:space="preserve">0075894A7</t>
  </si>
  <si>
    <t xml:space="preserve">0075907A7</t>
  </si>
  <si>
    <t xml:space="preserve">0075908A7</t>
  </si>
  <si>
    <t xml:space="preserve">0075912A7</t>
  </si>
  <si>
    <t xml:space="preserve">0075932A7</t>
  </si>
  <si>
    <t xml:space="preserve">0075936A7</t>
  </si>
  <si>
    <t xml:space="preserve">0075166A7</t>
  </si>
  <si>
    <t xml:space="preserve">0075338A7</t>
  </si>
  <si>
    <t xml:space="preserve">0075339A7</t>
  </si>
  <si>
    <t xml:space="preserve">0075072A7</t>
  </si>
  <si>
    <t xml:space="preserve">0075073A7</t>
  </si>
  <si>
    <t xml:space="preserve">0075074A7</t>
  </si>
  <si>
    <t xml:space="preserve">HF</t>
  </si>
  <si>
    <t xml:space="preserve">Design #1</t>
  </si>
  <si>
    <t xml:space="preserve">Design #2</t>
  </si>
  <si>
    <t xml:space="preserve">Inductor Requirements</t>
  </si>
  <si>
    <t xml:space="preserve">Core Selection</t>
  </si>
  <si>
    <t xml:space="preserve">STEP 1</t>
  </si>
  <si>
    <t xml:space="preserve">STEP 2</t>
  </si>
  <si>
    <t xml:space="preserve">STEP 3</t>
  </si>
  <si>
    <t xml:space="preserve">STEP 4</t>
  </si>
  <si>
    <t xml:space="preserve">Inductance Required (mH)</t>
  </si>
  <si>
    <t xml:space="preserve">Part Number</t>
  </si>
  <si>
    <t xml:space="preserve">Design Input</t>
  </si>
  <si>
    <t xml:space="preserve">Calculated LI^2 value</t>
  </si>
  <si>
    <t xml:space="preserve">Input a Part Number</t>
  </si>
  <si>
    <t xml:space="preserve">Design Output</t>
  </si>
  <si>
    <t xml:space="preserve">DC or AC RMS (Amps)</t>
  </si>
  <si>
    <t xml:space="preserve">Number of Cores (Stack)</t>
  </si>
  <si>
    <t xml:space="preserve">Inductance at Full Load </t>
  </si>
  <si>
    <t xml:space="preserve">mH</t>
  </si>
  <si>
    <t xml:space="preserve">RMS Ripple Current (Amps)</t>
  </si>
  <si>
    <t xml:space="preserve">DC Current </t>
  </si>
  <si>
    <t xml:space="preserve">Amps</t>
  </si>
  <si>
    <t xml:space="preserve">Pk-Pk Ripple Current (Amps)</t>
  </si>
  <si>
    <t xml:space="preserve">Permeability</t>
  </si>
  <si>
    <t xml:space="preserve">Based on the LI^2 value choose a part number to fill in STEP 3. </t>
  </si>
  <si>
    <t xml:space="preserve">Input a Wire Size</t>
  </si>
  <si>
    <t xml:space="preserve">PK-Pk Frequency (kHz)</t>
  </si>
  <si>
    <r>
      <rPr>
        <sz val="11"/>
        <color rgb="FF000000"/>
        <rFont val="Calibri"/>
        <family val="2"/>
        <charset val="1"/>
      </rPr>
      <t xml:space="preserve">AL (nH/T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+/- 8%</t>
    </r>
  </si>
  <si>
    <t xml:space="preserve">Ripple Current</t>
  </si>
  <si>
    <t xml:space="preserve"> Amps            (peak to peak)</t>
  </si>
  <si>
    <t xml:space="preserve">Inductance at No Load </t>
  </si>
  <si>
    <t xml:space="preserve">Specified Current (Amps)</t>
  </si>
  <si>
    <t xml:space="preserve">Specified Current Inductance MIN(mH)</t>
  </si>
  <si>
    <t xml:space="preserve">Add. Lead Length/ end (mm)</t>
  </si>
  <si>
    <t xml:space="preserve">Max Current L MIN (mH)</t>
  </si>
  <si>
    <t xml:space="preserve">AWG</t>
  </si>
  <si>
    <t xml:space="preserve">Ambient Temperature (°C)</t>
  </si>
  <si>
    <t xml:space="preserve">Average Current Inductance MIN (mH)</t>
  </si>
  <si>
    <t xml:space="preserve">Frequency </t>
  </si>
  <si>
    <t xml:space="preserve">KHz</t>
  </si>
  <si>
    <t xml:space="preserve">Specified Current Inductance</t>
  </si>
  <si>
    <t xml:space="preserve">Number of Cores</t>
  </si>
  <si>
    <t xml:space="preserve">Min Current L MIN (mH)</t>
  </si>
  <si>
    <t xml:space="preserve">No Load Inductance (mH) +/- 8%</t>
  </si>
  <si>
    <t xml:space="preserve">L +/- 8% if Max Current is low f AC</t>
  </si>
  <si>
    <t xml:space="preserve">Full Load L </t>
  </si>
  <si>
    <t xml:space="preserve">Core Loss (W)</t>
  </si>
  <si>
    <t xml:space="preserve">W</t>
  </si>
  <si>
    <t xml:space="preserve">Design Criteria</t>
  </si>
  <si>
    <t xml:space="preserve">XFLUX</t>
  </si>
  <si>
    <t xml:space="preserve">Leakage Inductance (uH)</t>
  </si>
  <si>
    <t xml:space="preserve">Core OD (mm)</t>
  </si>
  <si>
    <r>
      <rPr>
        <sz val="11"/>
        <color rgb="FF000000"/>
        <rFont val="Calibri"/>
        <family val="2"/>
        <charset val="1"/>
      </rPr>
      <t xml:space="preserve">LI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(DC + Peak Ripple)</t>
    </r>
  </si>
  <si>
    <t xml:space="preserve">Copper Loss (W)</t>
  </si>
  <si>
    <t xml:space="preserve">DC + AC Ripple Current</t>
  </si>
  <si>
    <t xml:space="preserve">Stack Cores</t>
  </si>
  <si>
    <t xml:space="preserve">Core ID (mm)</t>
  </si>
  <si>
    <t xml:space="preserve">DC-AC Ripple Current</t>
  </si>
  <si>
    <t xml:space="preserve">Total Loss (W)</t>
  </si>
  <si>
    <t xml:space="preserve">Total Loss</t>
  </si>
  <si>
    <t xml:space="preserve">DC or fundamental AC rms Current</t>
  </si>
  <si>
    <t xml:space="preserve">Approximate Fill Factor</t>
  </si>
  <si>
    <t xml:space="preserve">Specified Current </t>
  </si>
  <si>
    <t xml:space="preserve">Core HT (mm)</t>
  </si>
  <si>
    <t xml:space="preserve">Fundamental AC, peak Current</t>
  </si>
  <si>
    <t xml:space="preserve">DCR (mΩ, 20° C)</t>
  </si>
  <si>
    <t xml:space="preserve">DCR (mΩ)</t>
  </si>
  <si>
    <t xml:space="preserve">Temp Rise</t>
  </si>
  <si>
    <t xml:space="preserve">°C</t>
  </si>
  <si>
    <t xml:space="preserve">Specified Current</t>
  </si>
  <si>
    <t xml:space="preserve">Temp Rise (C°)</t>
  </si>
  <si>
    <t xml:space="preserve">Core Perm</t>
  </si>
  <si>
    <t xml:space="preserve">Wire size</t>
  </si>
  <si>
    <t xml:space="preserve">Operating Temperature (C°)</t>
  </si>
  <si>
    <t xml:space="preserve">Number of Turns</t>
  </si>
  <si>
    <t xml:space="preserve">Core Al</t>
  </si>
  <si>
    <t xml:space="preserve">Number of Layers</t>
  </si>
  <si>
    <t xml:space="preserve">Wire Length (mm)</t>
  </si>
  <si>
    <t xml:space="preserve">Winding Factor</t>
  </si>
  <si>
    <t xml:space="preserve">INSTRUCTIONS:</t>
  </si>
  <si>
    <t xml:space="preserve">1.  Enter the input parameters in STEP 1.</t>
  </si>
  <si>
    <t xml:space="preserve">DC Resistance of Winding </t>
  </si>
  <si>
    <t xml:space="preserve">mΩ</t>
  </si>
  <si>
    <t xml:space="preserve">Winding Selection</t>
  </si>
  <si>
    <t xml:space="preserve">  -  Full Load DC Current is the full load or peak bias current.  Enter zero if there is no bias current.</t>
  </si>
  <si>
    <t xml:space="preserve">Wire AWG</t>
  </si>
  <si>
    <t xml:space="preserve">  -  Full Load L is the inductance required with  full load bias current plus ripple current.</t>
  </si>
  <si>
    <t xml:space="preserve"># of Strands</t>
  </si>
  <si>
    <t xml:space="preserve">  -  Specified Current is any RMS or bias current of interest.  </t>
  </si>
  <si>
    <t xml:space="preserve">Total Wire Length</t>
  </si>
  <si>
    <t xml:space="preserve">Current Skin Depth (mm)</t>
  </si>
  <si>
    <t xml:space="preserve">Skin Depth (mm)</t>
  </si>
  <si>
    <t xml:space="preserve">mm</t>
  </si>
  <si>
    <t xml:space="preserve">Wire Radius (mm)</t>
  </si>
  <si>
    <t xml:space="preserve">2.  LI^2 value will be calculated in STEP 2. </t>
  </si>
  <si>
    <t xml:space="preserve">Wire Area/ Strand (cm2)</t>
  </si>
  <si>
    <t xml:space="preserve">Finished OD</t>
  </si>
  <si>
    <t xml:space="preserve">Wire Area/ All Strands</t>
  </si>
  <si>
    <t xml:space="preserve">3.  Use calculated LI^2 value to select a part number from "Toroid LI^2 Chart" by different materials.</t>
  </si>
  <si>
    <t xml:space="preserve">Circ Mills/strand</t>
  </si>
  <si>
    <t xml:space="preserve">Finished HT</t>
  </si>
  <si>
    <t xml:space="preserve">Resistance (Ω/m) (@20 °C) all strands</t>
  </si>
  <si>
    <t xml:space="preserve">Resistance/m (20 °C)</t>
  </si>
  <si>
    <t xml:space="preserve">4.  Enter a Part Number you selected into STEP 3 and press "Enter". Then enter a wire size by selecting from wire table and press "Enter".</t>
  </si>
  <si>
    <t xml:space="preserve">Resistance (Ω/mm) (@20 °C)</t>
  </si>
  <si>
    <t xml:space="preserve">Resistance/mm (20 °C)</t>
  </si>
  <si>
    <t xml:space="preserve">Default strand is 1.</t>
  </si>
  <si>
    <t xml:space="preserve">Adjust Turns</t>
  </si>
  <si>
    <t xml:space="preserve">MLT (mm)</t>
  </si>
  <si>
    <t xml:space="preserve">5.  Adjust turns or strand if desired by entering new numbers in the input box in STEP 4, and press "Enter".</t>
  </si>
  <si>
    <t xml:space="preserve">DCR (mΩ, @ 20° C)</t>
  </si>
  <si>
    <t xml:space="preserve">Adjust Strand</t>
  </si>
  <si>
    <t xml:space="preserve">ACR (mΩ, @ 20° C)</t>
  </si>
  <si>
    <t xml:space="preserve">6.  To return to STEP 3, clear the "Adjust Turns" box, enter a new part number, and press "Enter".</t>
  </si>
  <si>
    <r>
      <rPr>
        <sz val="11"/>
        <color rgb="FF000000"/>
        <rFont val="Calibri"/>
        <family val="2"/>
        <charset val="1"/>
      </rPr>
      <t xml:space="preserve"> Wound Surface Area (cm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</si>
  <si>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AL (nH/T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MIN</t>
    </r>
  </si>
  <si>
    <r>
      <rPr>
        <sz val="11"/>
        <color rgb="FF000000"/>
        <rFont val="Calibri"/>
        <family val="2"/>
        <charset val="1"/>
      </rPr>
      <t xml:space="preserve">Window Area (cm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</si>
  <si>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t xml:space="preserve">Path Length (cm)</t>
  </si>
  <si>
    <r>
      <rPr>
        <sz val="11"/>
        <color rgb="FF000000"/>
        <rFont val="Calibri"/>
        <family val="2"/>
        <charset val="1"/>
      </rPr>
      <t xml:space="preserve">Volume (cm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</si>
  <si>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No Load Turns</t>
  </si>
  <si>
    <t xml:space="preserve">% Initial Perm at AVG Current</t>
  </si>
  <si>
    <t xml:space="preserve">Adjusted Turns</t>
  </si>
  <si>
    <t xml:space="preserve">% Initial Perm Adj. Turns AVG</t>
  </si>
  <si>
    <t xml:space="preserve">% Initial Perm Max Rip Current</t>
  </si>
  <si>
    <t xml:space="preserve">% Initial Perm Min Rip Current</t>
  </si>
  <si>
    <t xml:space="preserve">% Intial Perm MAX Current AC low f</t>
  </si>
  <si>
    <t xml:space="preserve">% Intial Perm Spec. Current</t>
  </si>
  <si>
    <t xml:space="preserve">Core Loss</t>
  </si>
  <si>
    <t xml:space="preserve">HAC MAX</t>
  </si>
  <si>
    <t xml:space="preserve">HAC MIN</t>
  </si>
  <si>
    <t xml:space="preserve">ABS HAC MIN</t>
  </si>
  <si>
    <t xml:space="preserve">BAC MAX</t>
  </si>
  <si>
    <t xml:space="preserve">BAC MIN</t>
  </si>
  <si>
    <t xml:space="preserve">B Peak (DeltaB/2)</t>
  </si>
  <si>
    <t xml:space="preserve">Core Loss (mW/cm3)</t>
  </si>
  <si>
    <t xml:space="preserve">Core Info</t>
  </si>
  <si>
    <t xml:space="preserve">OD MAX (mm)</t>
  </si>
  <si>
    <t xml:space="preserve">ID MIN (mm)</t>
  </si>
  <si>
    <t xml:space="preserve">Stacked HT MAX (mm)</t>
  </si>
  <si>
    <t xml:space="preserve">HT MAX (mm)</t>
  </si>
  <si>
    <t xml:space="preserve">Window Area (mm2)</t>
  </si>
  <si>
    <t xml:space="preserve">Core Winding Circumference (mm)</t>
  </si>
  <si>
    <t xml:space="preserve">First Layer Circumference (mm)</t>
  </si>
  <si>
    <t xml:space="preserve">Wire OD (mm)</t>
  </si>
  <si>
    <t xml:space="preserve"># of Turns possible on layer 1</t>
  </si>
  <si>
    <t xml:space="preserve">Turns on Layer 1</t>
  </si>
  <si>
    <t xml:space="preserve">Turns on Layer 2</t>
  </si>
  <si>
    <t xml:space="preserve">Turns on Layer 3</t>
  </si>
  <si>
    <t xml:space="preserve">Turns on Layer 4</t>
  </si>
  <si>
    <t xml:space="preserve">Length per turn Layer 1 (mm)</t>
  </si>
  <si>
    <t xml:space="preserve">Length per turn Layer 2</t>
  </si>
  <si>
    <t xml:space="preserve">Length per turn Layer 3</t>
  </si>
  <si>
    <t xml:space="preserve">Length per turn Layer 4</t>
  </si>
  <si>
    <t xml:space="preserve">Total wire length (mm)</t>
  </si>
  <si>
    <t xml:space="preserve">Feet/Pound</t>
  </si>
  <si>
    <t xml:space="preserve">Pounds of Wire</t>
  </si>
  <si>
    <t xml:space="preserve">Surface Area</t>
  </si>
  <si>
    <t xml:space="preserve">Single Toroid Surface Area</t>
  </si>
  <si>
    <t xml:space="preserve">Stacking Surface Area</t>
  </si>
  <si>
    <t xml:space="preserve">Core Ht for SA</t>
  </si>
  <si>
    <t xml:space="preserve">Total Surface Area</t>
  </si>
  <si>
    <t xml:space="preserve">Cross Section (cm2)</t>
  </si>
  <si>
    <t xml:space="preserve">Equations</t>
  </si>
  <si>
    <t xml:space="preserve">DC A</t>
  </si>
  <si>
    <t xml:space="preserve">DC B</t>
  </si>
  <si>
    <t xml:space="preserve">DC C</t>
  </si>
  <si>
    <t xml:space="preserve">DC D</t>
  </si>
  <si>
    <t xml:space="preserve">DC E</t>
  </si>
  <si>
    <t xml:space="preserve">NM A</t>
  </si>
  <si>
    <t xml:space="preserve">NM B</t>
  </si>
  <si>
    <t xml:space="preserve">NM C</t>
  </si>
  <si>
    <t xml:space="preserve">NM D</t>
  </si>
  <si>
    <t xml:space="preserve">NM E</t>
  </si>
  <si>
    <t xml:space="preserve">NM X</t>
  </si>
  <si>
    <t xml:space="preserve">CL A</t>
  </si>
  <si>
    <t xml:space="preserve">CL B</t>
  </si>
  <si>
    <t xml:space="preserve">CL C</t>
  </si>
  <si>
    <t xml:space="preserve">DC + AC Ripple Drive</t>
  </si>
  <si>
    <t xml:space="preserve">DC-AC Ripple Drive</t>
  </si>
  <si>
    <t xml:space="preserve">DC or low f AC RMS Drive Init</t>
  </si>
  <si>
    <t xml:space="preserve">If low f AC Drive</t>
  </si>
  <si>
    <t xml:space="preserve">DC or low f AC RMS Drive 2nd</t>
  </si>
  <si>
    <t xml:space="preserve">Specified Current Drive</t>
  </si>
  <si>
    <t xml:space="preserve">Finished OD(mm)</t>
  </si>
  <si>
    <t xml:space="preserve">Finished HT(mm)</t>
  </si>
  <si>
    <t xml:space="preserve">Select your Inductor Type</t>
  </si>
  <si>
    <t xml:space="preserve">DC w/ ripple</t>
  </si>
  <si>
    <t xml:space="preserve">Kool Mu E</t>
  </si>
  <si>
    <t xml:space="preserve">Xflux E</t>
  </si>
  <si>
    <t xml:space="preserve">Number of Cores (Stack-per set)</t>
  </si>
  <si>
    <t xml:space="preserve">Ambient Temperature(°C)</t>
  </si>
  <si>
    <t xml:space="preserve">Type of Wire</t>
  </si>
  <si>
    <t xml:space="preserve">copper</t>
  </si>
  <si>
    <t xml:space="preserve">Number of cores</t>
  </si>
  <si>
    <t xml:space="preserve">Core A Dimension (mm)</t>
  </si>
  <si>
    <t xml:space="preserve">Core B Dimension (mm)</t>
  </si>
  <si>
    <t xml:space="preserve">Core C Dimension (mm)</t>
  </si>
  <si>
    <t xml:space="preserve">DCR(mΩ, 20° C)</t>
  </si>
  <si>
    <t xml:space="preserve">Wire Size</t>
  </si>
  <si>
    <t xml:space="preserve">Number of Layers Possible</t>
  </si>
  <si>
    <t xml:space="preserve"> </t>
  </si>
  <si>
    <t xml:space="preserve">Layers Needed</t>
  </si>
  <si>
    <t xml:space="preserve">Wire Cost</t>
  </si>
  <si>
    <t xml:space="preserve">Per Core Cost</t>
  </si>
  <si>
    <t xml:space="preserve">Total Cost</t>
  </si>
  <si>
    <r>
      <rPr>
        <sz val="11"/>
        <color rgb="FF000000"/>
        <rFont val="Calibri"/>
        <family val="2"/>
        <charset val="1"/>
      </rPr>
      <t xml:space="preserve">LI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(Peak Current)</t>
    </r>
  </si>
  <si>
    <t xml:space="preserve">Finished A</t>
  </si>
  <si>
    <t xml:space="preserve">Current Skin Depth(mm)</t>
  </si>
  <si>
    <t xml:space="preserve">3.  Use calculated LI^2 value to select a part number from "E Core LI^2 Chart" by Kool Mu material. A smaller size Xflux core may work vs. Kool</t>
  </si>
  <si>
    <t xml:space="preserve">Mu core.</t>
  </si>
  <si>
    <t xml:space="preserve">4.  Select a Part Number you STEP 3 and press "Enter". Then enter a wire size by selecting from wire table and press "Enter". </t>
  </si>
  <si>
    <t xml:space="preserve">Circ Mils/ All Strands</t>
  </si>
  <si>
    <t xml:space="preserve">Default strand is 1. </t>
  </si>
  <si>
    <t xml:space="preserve">Adjust Wire Strand</t>
  </si>
  <si>
    <t xml:space="preserve">Resistivity(Ω-Circ Mills/FT)</t>
  </si>
  <si>
    <t xml:space="preserve">Resistance/mm</t>
  </si>
  <si>
    <t xml:space="preserve">Leave Blank When starting new design -------------------&gt;</t>
  </si>
  <si>
    <r>
      <rPr>
        <sz val="11"/>
        <color rgb="FF000000"/>
        <rFont val="Calibri"/>
        <family val="2"/>
        <charset val="1"/>
      </rPr>
      <t xml:space="preserve">Bobbin Window Area(cm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</si>
  <si>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t xml:space="preserve">A (mm)</t>
  </si>
  <si>
    <t xml:space="preserve">B (mm)</t>
  </si>
  <si>
    <t xml:space="preserve">C (mm)</t>
  </si>
  <si>
    <t xml:space="preserve">D (mm)</t>
  </si>
  <si>
    <t xml:space="preserve">E (mm)</t>
  </si>
  <si>
    <t xml:space="preserve">F (mm)</t>
  </si>
  <si>
    <t xml:space="preserve">L (mm)</t>
  </si>
  <si>
    <t xml:space="preserve">M (mm)</t>
  </si>
  <si>
    <t xml:space="preserve">Bobbin Thickness (mm)</t>
  </si>
  <si>
    <t xml:space="preserve">C +F+4Bob</t>
  </si>
  <si>
    <t xml:space="preserve"> Bobbin Width (mm)</t>
  </si>
  <si>
    <t xml:space="preserve"># of Turns possible per layer</t>
  </si>
  <si>
    <t xml:space="preserve">Turns on Layer 5</t>
  </si>
  <si>
    <t xml:space="preserve">Turns on Layer 6</t>
  </si>
  <si>
    <t xml:space="preserve">Turns on Layer 7</t>
  </si>
  <si>
    <t xml:space="preserve">Turns on Layer 8</t>
  </si>
  <si>
    <t xml:space="preserve">Turns on Layer 9</t>
  </si>
  <si>
    <t xml:space="preserve">Length per turn Layer 2 (mm)</t>
  </si>
  <si>
    <t xml:space="preserve">Length per turn Layer 5</t>
  </si>
  <si>
    <t xml:space="preserve">Wire Price Per Pound</t>
  </si>
  <si>
    <t xml:space="preserve">Kgs of Wire</t>
  </si>
  <si>
    <t xml:space="preserve">Finished A(mm)</t>
  </si>
  <si>
    <t xml:space="preserve">Finished W (mm)</t>
  </si>
  <si>
    <t xml:space="preserve">Finished HT (mm)</t>
  </si>
  <si>
    <t xml:space="preserve">Single Core Weight(KG)</t>
  </si>
  <si>
    <t xml:space="preserve">Total Core Weight(KG)</t>
  </si>
  <si>
    <t xml:space="preserve">Finished Weight(kG)</t>
  </si>
  <si>
    <t xml:space="preserve">DC Bias</t>
  </si>
  <si>
    <t xml:space="preserve">a</t>
  </si>
  <si>
    <t xml:space="preserve">b</t>
  </si>
  <si>
    <t xml:space="preserve">c</t>
  </si>
  <si>
    <t xml:space="preserve">Norm Mag</t>
  </si>
  <si>
    <t xml:space="preserve">d</t>
  </si>
  <si>
    <t xml:space="preserve">e</t>
  </si>
  <si>
    <t xml:space="preserve">x</t>
  </si>
  <si>
    <t xml:space="preserve">60u</t>
  </si>
  <si>
    <t xml:space="preserve">40u</t>
  </si>
  <si>
    <t xml:space="preserve">26u</t>
  </si>
  <si>
    <t xml:space="preserve">X4317E060</t>
  </si>
  <si>
    <t xml:space="preserve">X4020E060</t>
  </si>
  <si>
    <t xml:space="preserve">X4022E060</t>
  </si>
  <si>
    <t xml:space="preserve">X5528E060</t>
  </si>
  <si>
    <t xml:space="preserve">X5530E060</t>
  </si>
  <si>
    <t xml:space="preserve">X7228E060</t>
  </si>
  <si>
    <t xml:space="preserve">X6527E060</t>
  </si>
  <si>
    <t xml:space="preserve">X8020E060</t>
  </si>
  <si>
    <t xml:space="preserve">X8024E060</t>
  </si>
  <si>
    <t xml:space="preserve">X8044E026</t>
  </si>
  <si>
    <t xml:space="preserve">00X4317E060</t>
  </si>
  <si>
    <t xml:space="preserve">00X4317E040</t>
  </si>
  <si>
    <t xml:space="preserve">00X4317E026</t>
  </si>
  <si>
    <t xml:space="preserve">00X4020E060</t>
  </si>
  <si>
    <t xml:space="preserve">00X4020E040</t>
  </si>
  <si>
    <t xml:space="preserve">00X4020E026</t>
  </si>
  <si>
    <t xml:space="preserve">00X4022E060</t>
  </si>
  <si>
    <t xml:space="preserve">00X4022E040</t>
  </si>
  <si>
    <t xml:space="preserve">00X4022E026</t>
  </si>
  <si>
    <t xml:space="preserve">00X5528E060</t>
  </si>
  <si>
    <t xml:space="preserve">00X5528E040</t>
  </si>
  <si>
    <t xml:space="preserve">00X5528E026</t>
  </si>
  <si>
    <t xml:space="preserve">00X5530E060</t>
  </si>
  <si>
    <t xml:space="preserve">00X5530E040</t>
  </si>
  <si>
    <t xml:space="preserve">00X5530E026</t>
  </si>
  <si>
    <t xml:space="preserve">00X7228E060</t>
  </si>
  <si>
    <t xml:space="preserve">00X7228E040</t>
  </si>
  <si>
    <t xml:space="preserve">00X7228E026</t>
  </si>
  <si>
    <t xml:space="preserve">00X6527E060</t>
  </si>
  <si>
    <t xml:space="preserve">00X6527E040</t>
  </si>
  <si>
    <t xml:space="preserve">00X6527E026</t>
  </si>
  <si>
    <t xml:space="preserve">00X8020E060</t>
  </si>
  <si>
    <t xml:space="preserve">00X8020E040</t>
  </si>
  <si>
    <t xml:space="preserve">00X8020E026</t>
  </si>
  <si>
    <t xml:space="preserve">00X8024E060</t>
  </si>
  <si>
    <t xml:space="preserve">00X8024E040</t>
  </si>
  <si>
    <t xml:space="preserve">00X8024E026</t>
  </si>
  <si>
    <t xml:space="preserve">00X8044E060</t>
  </si>
  <si>
    <t xml:space="preserve">00X8044E040</t>
  </si>
  <si>
    <t xml:space="preserve">00X8044E026</t>
  </si>
  <si>
    <r>
      <rPr>
        <sz val="11"/>
        <color rgb="FF000000"/>
        <rFont val="Calibri"/>
        <family val="2"/>
        <charset val="1"/>
      </rPr>
      <t xml:space="preserve">WA w/o bobbin  (mm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</si>
  <si>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WA w/o bobbin  (cm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</si>
  <si>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WA w/ PC bobbin  (cm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</si>
  <si>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WA w/ Plain bobbin  (cm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</si>
  <si>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t xml:space="preserve">Bobbin Width  (mm)</t>
  </si>
  <si>
    <t xml:space="preserve">2D</t>
  </si>
  <si>
    <t xml:space="preserve">Bobbin Thickness</t>
  </si>
  <si>
    <t xml:space="preserve">00K114LE060</t>
  </si>
  <si>
    <t xml:space="preserve">114LE</t>
  </si>
  <si>
    <t xml:space="preserve">00K114LE026</t>
  </si>
  <si>
    <t xml:space="preserve">00K114LE026HT26</t>
  </si>
  <si>
    <t xml:space="preserve">Weight Ration</t>
  </si>
  <si>
    <t xml:space="preserve">Spec sheet weight (grams)</t>
  </si>
  <si>
    <t xml:space="preserve">00K4017E0040</t>
  </si>
  <si>
    <t xml:space="preserve">00K4741B014</t>
  </si>
  <si>
    <t xml:space="preserve">00K4741B040</t>
  </si>
  <si>
    <t xml:space="preserve">00K5030B014</t>
  </si>
  <si>
    <t xml:space="preserve">00K5030B026</t>
  </si>
  <si>
    <t xml:space="preserve">00K5030B040</t>
  </si>
  <si>
    <t xml:space="preserve">00K5030B060</t>
  </si>
  <si>
    <t xml:space="preserve">00K5528B014</t>
  </si>
  <si>
    <t xml:space="preserve">00K6030B014</t>
  </si>
  <si>
    <t xml:space="preserve">00K6030B040</t>
  </si>
  <si>
    <t xml:space="preserve">00K8030B014</t>
  </si>
  <si>
    <t xml:space="preserve">00K8030B026</t>
  </si>
  <si>
    <t xml:space="preserve">00K8030B040</t>
  </si>
  <si>
    <t xml:space="preserve">00K8030B060</t>
  </si>
  <si>
    <t xml:space="preserve">00X4741B026</t>
  </si>
  <si>
    <t xml:space="preserve">00X4741B040</t>
  </si>
  <si>
    <t xml:space="preserve">00X5528B026</t>
  </si>
  <si>
    <t xml:space="preserve">00X5528B040</t>
  </si>
  <si>
    <t xml:space="preserve">00X5030B026</t>
  </si>
  <si>
    <t xml:space="preserve">00X5030B040</t>
  </si>
  <si>
    <t xml:space="preserve">00X6030B026</t>
  </si>
  <si>
    <t xml:space="preserve">00X6030B040</t>
  </si>
  <si>
    <t xml:space="preserve">00X8030B026</t>
  </si>
  <si>
    <t xml:space="preserve">00X8030B040</t>
  </si>
  <si>
    <t xml:space="preserve">Resistivity</t>
  </si>
  <si>
    <t xml:space="preserve">Copper</t>
  </si>
  <si>
    <t xml:space="preserve">Aluminum</t>
  </si>
  <si>
    <t xml:space="preserve">Litz</t>
  </si>
  <si>
    <t xml:space="preserve">Temperature Coefficient of resistance</t>
  </si>
  <si>
    <t xml:space="preserve">Catalog page</t>
  </si>
  <si>
    <t xml:space="preserve">Size Code</t>
  </si>
  <si>
    <t xml:space="preserve">LI^2 max (%ui=0.5min)</t>
  </si>
  <si>
    <t xml:space="preserve">550u</t>
  </si>
  <si>
    <t xml:space="preserve">300u</t>
  </si>
  <si>
    <t xml:space="preserve">200u</t>
  </si>
  <si>
    <t xml:space="preserve">173u</t>
  </si>
  <si>
    <t xml:space="preserve">160u</t>
  </si>
  <si>
    <t xml:space="preserve">147u</t>
  </si>
  <si>
    <t xml:space="preserve">125u</t>
  </si>
  <si>
    <t xml:space="preserve">14u</t>
  </si>
  <si>
    <t xml:space="preserve">LI^2 min (%ui=0.5min)</t>
  </si>
  <si>
    <t xml:space="preserve">P/N, page</t>
  </si>
  <si>
    <t xml:space="preserve">%ui win limit</t>
  </si>
  <si>
    <t xml:space="preserve">%ui limit</t>
  </si>
  <si>
    <t xml:space="preserve">140, pg 4-1</t>
  </si>
  <si>
    <t xml:space="preserve">55135 (300µ), pg 4-1</t>
  </si>
  <si>
    <t xml:space="preserve">150, pg 4-2</t>
  </si>
  <si>
    <t xml:space="preserve">55145 (300µ), pg 4-2</t>
  </si>
  <si>
    <t xml:space="preserve">180, pg 4-3</t>
  </si>
  <si>
    <t xml:space="preserve">55175 (300µ), pg 4-3</t>
  </si>
  <si>
    <t xml:space="preserve">020, pg 4-4</t>
  </si>
  <si>
    <t xml:space="preserve">55015 (300µ), pg 4-4</t>
  </si>
  <si>
    <t xml:space="preserve">240, pg 4-5</t>
  </si>
  <si>
    <t xml:space="preserve">55235 (300µ), pg 4-5</t>
  </si>
  <si>
    <t xml:space="preserve">270, pg 4-6</t>
  </si>
  <si>
    <t xml:space="preserve">55265 (300µ), pg 4-6</t>
  </si>
  <si>
    <t xml:space="preserve">030, pg 4-8</t>
  </si>
  <si>
    <t xml:space="preserve">55025 (300µ), pg 4-8</t>
  </si>
  <si>
    <t xml:space="preserve">410, pg 4-7</t>
  </si>
  <si>
    <t xml:space="preserve">55405 (300µ), pg 4-7</t>
  </si>
  <si>
    <t xml:space="preserve">280, pg 4-9</t>
  </si>
  <si>
    <t xml:space="preserve">55275 (300µ), pg 4-9</t>
  </si>
  <si>
    <t xml:space="preserve">290, pg 4-10</t>
  </si>
  <si>
    <t xml:space="preserve">55285 (300µ), pg 4-10</t>
  </si>
  <si>
    <t xml:space="preserve">040, pg 4-11</t>
  </si>
  <si>
    <t xml:space="preserve">55035 (300µ), pg 4-11</t>
  </si>
  <si>
    <t xml:space="preserve">130, pg 4-12</t>
  </si>
  <si>
    <t xml:space="preserve">55125 (300µ), pg 4-12</t>
  </si>
  <si>
    <t xml:space="preserve">050, pg 4-13</t>
  </si>
  <si>
    <t xml:space="preserve">55047 (200µ), pg 4-13</t>
  </si>
  <si>
    <t xml:space="preserve">120, pg 4-14</t>
  </si>
  <si>
    <t xml:space="preserve">55117 (200µ), pg 4-14</t>
  </si>
  <si>
    <t xml:space="preserve">380, pg 4-15</t>
  </si>
  <si>
    <t xml:space="preserve">55377 (200µ), pg 4-15</t>
  </si>
  <si>
    <t xml:space="preserve">206, pg 4-16</t>
  </si>
  <si>
    <t xml:space="preserve">55206 (125µ), pg 4-16</t>
  </si>
  <si>
    <t xml:space="preserve">310, pg 4-17</t>
  </si>
  <si>
    <t xml:space="preserve">55310 (125µ), pg 4-17</t>
  </si>
  <si>
    <t xml:space="preserve">350, pg 4-18</t>
  </si>
  <si>
    <t xml:space="preserve">55350 (125µ), pg 4-18</t>
  </si>
  <si>
    <t xml:space="preserve">930, pg 4-19</t>
  </si>
  <si>
    <t xml:space="preserve">55930 (125µ), pg 4-19</t>
  </si>
  <si>
    <t xml:space="preserve">548, pg 4-20</t>
  </si>
  <si>
    <t xml:space="preserve">55071 (60µ), pg 4-20</t>
  </si>
  <si>
    <t xml:space="preserve">585, pg 4-21</t>
  </si>
  <si>
    <t xml:space="preserve">55586 (60µ), pg 4-21</t>
  </si>
  <si>
    <t xml:space="preserve">324, pg 4-22</t>
  </si>
  <si>
    <t xml:space="preserve">55076 (60µ), pg 4-22</t>
  </si>
  <si>
    <t xml:space="preserve">254, pg 4-23</t>
  </si>
  <si>
    <t xml:space="preserve">55083 (60µ), pg 4-23</t>
  </si>
  <si>
    <t xml:space="preserve">438, pg 4-24</t>
  </si>
  <si>
    <t xml:space="preserve">55439 (60µ), pg 4-24</t>
  </si>
  <si>
    <t xml:space="preserve">089, pg 4-25</t>
  </si>
  <si>
    <t xml:space="preserve">55090 (60µ), pg 4-25</t>
  </si>
  <si>
    <t xml:space="preserve">715, pg 4-26</t>
  </si>
  <si>
    <t xml:space="preserve">55716 (60µ), pg 4-26</t>
  </si>
  <si>
    <t xml:space="preserve">Set to 0.5</t>
  </si>
  <si>
    <t xml:space="preserve">195, pg 4-27</t>
  </si>
  <si>
    <t xml:space="preserve">55192 (60µ), pg 4-27</t>
  </si>
  <si>
    <t xml:space="preserve">109, pg 4-28</t>
  </si>
  <si>
    <t xml:space="preserve">55111 (26µ), pg 4-28</t>
  </si>
  <si>
    <t xml:space="preserve">620, pg 4-29</t>
  </si>
  <si>
    <t xml:space="preserve">55617 (60µ), pg 4-29</t>
  </si>
  <si>
    <t xml:space="preserve">866, pg 4-31</t>
  </si>
  <si>
    <t xml:space="preserve">55868 (26µ), pg 4-31</t>
  </si>
  <si>
    <t xml:space="preserve">906, pg 4-32</t>
  </si>
  <si>
    <t xml:space="preserve">55908 (26µ), pg 4-32</t>
  </si>
  <si>
    <t xml:space="preserve">740, pg 4-30</t>
  </si>
  <si>
    <t xml:space="preserve">55735 (26µ), pg 4-30</t>
  </si>
  <si>
    <t xml:space="preserve">102, pg 4-33</t>
  </si>
  <si>
    <t xml:space="preserve">55102 (26µ), pg 4-33</t>
  </si>
  <si>
    <t xml:space="preserve">337, pg 4-34</t>
  </si>
  <si>
    <t xml:space="preserve">55336 (14µ), pg 4-34</t>
  </si>
  <si>
    <t xml:space="preserve">165, pg 4-35</t>
  </si>
  <si>
    <t xml:space="preserve">55164 (14µ), pg 4-35</t>
  </si>
  <si>
    <t xml:space="preserve">140</t>
  </si>
  <si>
    <t xml:space="preserve">150</t>
  </si>
  <si>
    <t xml:space="preserve">180</t>
  </si>
  <si>
    <t xml:space="preserve">240</t>
  </si>
  <si>
    <t xml:space="preserve">270</t>
  </si>
  <si>
    <t xml:space="preserve">410</t>
  </si>
  <si>
    <t xml:space="preserve">280</t>
  </si>
  <si>
    <t xml:space="preserve">290</t>
  </si>
  <si>
    <t xml:space="preserve">130</t>
  </si>
  <si>
    <t xml:space="preserve">120</t>
  </si>
  <si>
    <t xml:space="preserve">206</t>
  </si>
  <si>
    <t xml:space="preserve">310</t>
  </si>
  <si>
    <t xml:space="preserve">930</t>
  </si>
  <si>
    <t xml:space="preserve">585</t>
  </si>
  <si>
    <t xml:space="preserve">548</t>
  </si>
  <si>
    <t xml:space="preserve">324</t>
  </si>
  <si>
    <t xml:space="preserve">254</t>
  </si>
  <si>
    <t xml:space="preserve">620</t>
  </si>
  <si>
    <t xml:space="preserve">866</t>
  </si>
  <si>
    <t xml:space="preserve">906</t>
  </si>
  <si>
    <t xml:space="preserve">102</t>
  </si>
  <si>
    <t xml:space="preserve">337</t>
  </si>
  <si>
    <t xml:space="preserve">165</t>
  </si>
  <si>
    <t xml:space="preserve">LI^2 max %ui=0.5min</t>
  </si>
  <si>
    <t xml:space="preserve">90u</t>
  </si>
  <si>
    <t xml:space="preserve">75u</t>
  </si>
  <si>
    <t xml:space="preserve">78051 (60µ), pg 4-13</t>
  </si>
  <si>
    <t xml:space="preserve">78381 (60µ), pg 4-15</t>
  </si>
  <si>
    <t xml:space="preserve">78121 (60µ), pg 4-14</t>
  </si>
  <si>
    <t xml:space="preserve">78848 (60µ), pg 4-16</t>
  </si>
  <si>
    <t xml:space="preserve">78059 (60µ), pg 4-17</t>
  </si>
  <si>
    <t xml:space="preserve">78351 (60µ), pg 4-18</t>
  </si>
  <si>
    <t xml:space="preserve">78894 (60µ), pg 4-19</t>
  </si>
  <si>
    <t xml:space="preserve">78071 (60µ), pg 4-20</t>
  </si>
  <si>
    <t xml:space="preserve">78586 (60µ), pg 4-21</t>
  </si>
  <si>
    <t xml:space="preserve">78076 (60µ), pg 4-22</t>
  </si>
  <si>
    <t xml:space="preserve">78083 (60µ), pg 4-23</t>
  </si>
  <si>
    <t xml:space="preserve">78439 (60µ), pg 4-24</t>
  </si>
  <si>
    <t xml:space="preserve">78090 (60µ), pg 4-25</t>
  </si>
  <si>
    <t xml:space="preserve">78716 (60µ), pg 4-26</t>
  </si>
  <si>
    <t xml:space="preserve">78192 (60µ), pg 4-27</t>
  </si>
  <si>
    <t xml:space="preserve">78110 (60µ), pg 4-28</t>
  </si>
  <si>
    <t xml:space="preserve">78867 (60µ), pg 4-31</t>
  </si>
  <si>
    <t xml:space="preserve">78907 (60µ), pg 4-32</t>
  </si>
  <si>
    <t xml:space="preserve">Core</t>
  </si>
  <si>
    <t xml:space="preserve">Slope</t>
  </si>
  <si>
    <t xml:space="preserve">Intercept</t>
  </si>
  <si>
    <t xml:space="preserve">Design 1</t>
  </si>
  <si>
    <t xml:space="preserve">Design 2</t>
  </si>
  <si>
    <t xml:space="preserve">Design 3</t>
  </si>
  <si>
    <t xml:space="preserve">Determined using slope of line by plotting 0% and 40% winding factor.</t>
  </si>
  <si>
    <t xml:space="preserve">Perm, LI^2 max, %ui=0.5 min</t>
  </si>
  <si>
    <t xml:space="preserve">P/N, pg</t>
  </si>
  <si>
    <t xml:space="preserve">1808E</t>
  </si>
  <si>
    <t xml:space="preserve">K1808E090, pg 4-???37-2</t>
  </si>
  <si>
    <t xml:space="preserve">2510E</t>
  </si>
  <si>
    <t xml:space="preserve">K2510E090, pg 4-???37-3</t>
  </si>
  <si>
    <t xml:space="preserve">3007E</t>
  </si>
  <si>
    <t xml:space="preserve">K3007E090, pg 4-???37-4</t>
  </si>
  <si>
    <t xml:space="preserve">3515E</t>
  </si>
  <si>
    <t xml:space="preserve">K3515E090, pg 4-???37-5</t>
  </si>
  <si>
    <t xml:space="preserve">4317E</t>
  </si>
  <si>
    <t xml:space="preserve">K4317E090, pg 4-???37-9</t>
  </si>
  <si>
    <t xml:space="preserve">4020E</t>
  </si>
  <si>
    <t xml:space="preserve">K4020E060, pg 4-???37-7</t>
  </si>
  <si>
    <t xml:space="preserve">4017E</t>
  </si>
  <si>
    <t xml:space="preserve">K4017E060, pg 4-???37-6</t>
  </si>
  <si>
    <t xml:space="preserve">4022E</t>
  </si>
  <si>
    <t xml:space="preserve">K4022E090, pg 4-???37-8</t>
  </si>
  <si>
    <t xml:space="preserve">5528E</t>
  </si>
  <si>
    <t xml:space="preserve">K5528E060, pg 4-???37-10</t>
  </si>
  <si>
    <t xml:space="preserve">5530E</t>
  </si>
  <si>
    <t xml:space="preserve">K5530E060, pg 4-???37-11</t>
  </si>
  <si>
    <t xml:space="preserve">7228E</t>
  </si>
  <si>
    <t xml:space="preserve">K7228E040, pg 4-???37-13</t>
  </si>
  <si>
    <t xml:space="preserve">6527E</t>
  </si>
  <si>
    <t xml:space="preserve">K6527E040, pg 4-???37-12</t>
  </si>
  <si>
    <t xml:space="preserve">8020E</t>
  </si>
  <si>
    <t xml:space="preserve">K8020E040, pg 4-???37-14</t>
  </si>
  <si>
    <t xml:space="preserve">8044E</t>
  </si>
  <si>
    <t xml:space="preserve">K8044E026, pg 4-???37-15</t>
  </si>
  <si>
    <t xml:space="preserve">K130LE026, pg 4-???37-16</t>
  </si>
  <si>
    <t xml:space="preserve">K160LE026, pg 4-???37-17</t>
  </si>
  <si>
    <t xml:space="preserve">1kHz-10kHz</t>
  </si>
  <si>
    <t xml:space="preserve">10kHz-20kHz</t>
  </si>
  <si>
    <t xml:space="preserve">20kHz-100kHz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</si>
</sst>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@"/>
    <numFmt numFmtId="166" formatCode="0.00E+00"/>
    <numFmt numFmtId="167" formatCode="0.00000"/>
    <numFmt numFmtId="168" formatCode="0.000"/>
    <numFmt numFmtId="169" formatCode="0.0000"/>
    <numFmt numFmtId="170" formatCode="0"/>
    <numFmt numFmtId="171" formatCode="0.00"/>
    <numFmt numFmtId="172" formatCode="0.0"/>
    <numFmt numFmtId="173" formatCode="0.0%"/>
    <numFmt numFmtId="174" formatCode="0.00%"/>
    <numFmt numFmtId="175" formatCode="\$#,##0.000"/>
    <numFmt numFmtId="176" formatCode="0.000E+00"/>
    <numFmt numFmtId="177" formatCode="0.000000000"/>
    <numFmt numFmtId="178" formatCode="0%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6100"/>
      <name val="Arial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u val="single"/>
      <sz val="12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1"/>
      <color rgb="FFFF0000"/>
      <name val="바탕"/>
      <family val="1"/>
      <charset val="1"/>
    </font>
    <font>
      <sz val="11"/>
      <color rgb="FFFF0000"/>
      <name val="Courier New"/>
      <family val="3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AEEF3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C6D9F1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7C0DE"/>
      </patternFill>
    </fill>
    <fill>
      <patternFill patternType="solid">
        <fgColor rgb="FFFAC090"/>
        <bgColor rgb="FFFFCC99"/>
      </patternFill>
    </fill>
    <fill>
      <patternFill patternType="solid">
        <fgColor rgb="FF4F81BD"/>
        <bgColor rgb="FF4BACC6"/>
      </patternFill>
    </fill>
    <fill>
      <patternFill patternType="solid">
        <fgColor rgb="FFC0504D"/>
        <bgColor rgb="FF9C6500"/>
      </patternFill>
    </fill>
    <fill>
      <patternFill patternType="solid">
        <fgColor rgb="FF9BBB59"/>
        <bgColor rgb="FFC4BD97"/>
      </patternFill>
    </fill>
    <fill>
      <patternFill patternType="solid">
        <fgColor rgb="FF8064A2"/>
        <bgColor rgb="FF7F7F7F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01"/>
      </patternFill>
    </fill>
    <fill>
      <patternFill patternType="solid">
        <fgColor rgb="FFFFC7CE"/>
        <bgColor rgb="FFFCD5B5"/>
      </patternFill>
    </fill>
    <fill>
      <patternFill patternType="solid">
        <fgColor rgb="FFF2F2F2"/>
        <bgColor rgb="FFEBF1DE"/>
      </patternFill>
    </fill>
    <fill>
      <patternFill patternType="solid">
        <fgColor rgb="FFA5A5A5"/>
        <bgColor rgb="FFB3A2C7"/>
      </patternFill>
    </fill>
    <fill>
      <patternFill patternType="solid">
        <fgColor rgb="FFC6EFCE"/>
        <bgColor rgb="FFD7E4BD"/>
      </patternFill>
    </fill>
    <fill>
      <patternFill patternType="solid">
        <fgColor rgb="FFFFCC99"/>
        <bgColor rgb="FFFAC090"/>
      </patternFill>
    </fill>
    <fill>
      <patternFill patternType="solid">
        <fgColor rgb="FFFFEB9C"/>
        <bgColor rgb="FFFCD5B5"/>
      </patternFill>
    </fill>
    <fill>
      <patternFill patternType="solid">
        <fgColor rgb="FFC6D9F1"/>
        <bgColor rgb="FFB7DEE8"/>
      </patternFill>
    </fill>
    <fill>
      <patternFill patternType="solid">
        <fgColor rgb="FFD9D9D9"/>
        <bgColor rgb="FFE6E0EC"/>
      </patternFill>
    </fill>
    <fill>
      <patternFill patternType="solid">
        <fgColor rgb="FFC4BD97"/>
        <bgColor rgb="FFBFBFBF"/>
      </patternFill>
    </fill>
    <fill>
      <patternFill patternType="solid">
        <fgColor rgb="FFFFFFFF"/>
        <bgColor rgb="FFF2F2F2"/>
      </patternFill>
    </fill>
    <fill>
      <patternFill patternType="solid">
        <fgColor rgb="FFE46C0A"/>
        <bgColor rgb="FFFA7D00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C0C0C0"/>
      </patternFill>
    </fill>
    <fill>
      <patternFill patternType="solid">
        <fgColor rgb="FFDAEEF3"/>
        <bgColor rgb="FFDBEEF4"/>
      </patternFill>
    </fill>
    <fill>
      <patternFill patternType="solid">
        <fgColor rgb="FFC0C0C0"/>
        <bgColor rgb="FFBFBFBF"/>
      </patternFill>
    </fill>
  </fills>
  <borders count="90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medium"/>
      <bottom style="thin">
        <color rgb="FFFFFFFF"/>
      </bottom>
      <diagonal/>
    </border>
    <border diagonalUp="false" diagonalDown="false">
      <left/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medium"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thin">
        <color rgb="FFFFFFFF"/>
      </top>
      <bottom/>
      <diagonal/>
    </border>
    <border diagonalUp="false" diagonalDown="false">
      <left style="medium"/>
      <right/>
      <top style="medium">
        <color rgb="FFFFFFFF"/>
      </top>
      <bottom style="medium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medium"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/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/>
      <diagonal/>
    </border>
    <border diagonalUp="false" diagonalDown="false">
      <left style="medium"/>
      <right style="medium"/>
      <top style="thin"/>
      <bottom style="thin">
        <color rgb="FFFFFFFF"/>
      </bottom>
      <diagonal/>
    </border>
    <border diagonalUp="false" diagonalDown="false">
      <left style="medium"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medium"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medium"/>
      <right style="medium"/>
      <top style="thin">
        <color rgb="FFFFFFFF"/>
      </top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/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 style="thin"/>
      <top/>
      <bottom style="thin">
        <color rgb="FFFFFFFF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/>
      <right style="thin">
        <color rgb="FFFFFFFF"/>
      </right>
      <top style="thin"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medium"/>
      <right/>
      <top style="thin">
        <color rgb="FFFFFFFF"/>
      </top>
      <bottom/>
      <diagonal/>
    </border>
    <border diagonalUp="false" diagonalDown="false">
      <left style="medium"/>
      <right style="medium"/>
      <top style="thin">
        <color rgb="FFFFFFFF"/>
      </top>
      <bottom style="medium">
        <color rgb="FFFFFFFF"/>
      </bottom>
      <diagonal/>
    </border>
    <border diagonalUp="false" diagonalDown="false">
      <left style="medium"/>
      <right style="medium"/>
      <top/>
      <bottom style="thin">
        <color rgb="FFFFFFFF"/>
      </bottom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 style="medium"/>
      <right style="thin">
        <color rgb="FFFFFFFF"/>
      </right>
      <top/>
      <bottom style="medium"/>
      <diagonal/>
    </border>
    <border diagonalUp="false" diagonalDown="false">
      <left style="thin">
        <color rgb="FFFFFFFF"/>
      </left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>
        <color rgb="FFFFFFFF"/>
      </top>
      <bottom style="medium"/>
      <diagonal/>
    </border>
    <border diagonalUp="false" diagonalDown="false">
      <left style="thin"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7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1" applyFont="true" applyBorder="true" applyAlignment="true" applyProtection="false">
      <alignment horizontal="general" vertical="bottom" textRotation="0" wrapText="false" indent="0" shrinkToFit="false"/>
    </xf>
    <xf numFmtId="164" fontId="7" fillId="28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9" borderId="0" applyFont="true" applyBorder="false" applyAlignment="true" applyProtection="false">
      <alignment horizontal="general" vertical="bottom" textRotation="0" wrapText="false" indent="0" shrinkToFit="false"/>
    </xf>
    <xf numFmtId="164" fontId="10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0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31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7" borderId="7" applyFont="true" applyBorder="true" applyAlignment="true" applyProtection="false">
      <alignment horizontal="general" vertical="bottom" textRotation="0" wrapText="false" indent="0" shrinkToFit="false"/>
    </xf>
    <xf numFmtId="164" fontId="21" fillId="0" borderId="8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9" borderId="0" applyFont="true" applyBorder="false" applyAlignment="true" applyProtection="false">
      <alignment horizontal="general" vertical="bottom" textRotation="0" wrapText="false" indent="0" shrinkToFit="false"/>
    </xf>
    <xf numFmtId="164" fontId="14" fillId="30" borderId="1" applyFont="true" applyBorder="true" applyAlignment="true" applyProtection="false">
      <alignment horizontal="general" vertical="bottom" textRotation="0" wrapText="false" indent="0" shrinkToFit="false"/>
    </xf>
    <xf numFmtId="164" fontId="20" fillId="27" borderId="7" applyFont="true" applyBorder="true" applyAlignment="true" applyProtection="false">
      <alignment horizontal="general" vertical="bottom" textRotation="0" wrapText="false" indent="0" shrinkToFit="false"/>
    </xf>
    <xf numFmtId="164" fontId="16" fillId="31" borderId="0" applyFont="true" applyBorder="false" applyAlignment="true" applyProtection="false">
      <alignment horizontal="general" vertical="bottom" textRotation="0" wrapText="false" indent="0" shrinkToFit="false"/>
    </xf>
  </cellStyleXfs>
  <cellXfs count="3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4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3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3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3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18" xfId="58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9" xfId="58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8" xfId="5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25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7" xfId="5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29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9" borderId="12" xfId="6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19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33" xfId="5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34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1" xfId="5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8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9" borderId="13" xfId="6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31" xfId="5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30" xfId="5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28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0" borderId="36" xfId="7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31" xfId="58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8" fillId="0" borderId="24" xfId="5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20" fillId="27" borderId="36" xfId="7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31" xfId="5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28" xfId="5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40" xfId="58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3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31" xfId="58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7" xfId="58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7" xfId="5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8" fillId="0" borderId="40" xfId="5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1" xfId="5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0" borderId="28" xfId="58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30" borderId="36" xfId="7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3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0" fillId="27" borderId="36" xfId="7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31" borderId="12" xfId="7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31" xfId="58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2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4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4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4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4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0" xfId="58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31" xfId="58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18" fillId="0" borderId="17" xfId="58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71" fontId="20" fillId="27" borderId="0" xfId="7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4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4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4" fillId="0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48" xfId="58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6" fillId="31" borderId="12" xfId="7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5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5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16" fillId="31" borderId="12" xfId="7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31" xfId="5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32" fillId="27" borderId="36" xfId="7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1" borderId="12" xfId="7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7" borderId="36" xfId="7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40" xfId="5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5" borderId="4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4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4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4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20" fillId="27" borderId="36" xfId="7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5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5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5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6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29" borderId="12" xfId="6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0" fillId="27" borderId="36" xfId="7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5" borderId="6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5" borderId="6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6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6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6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7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7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7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7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5" borderId="7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29" borderId="12" xfId="6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54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6" xfId="5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7" xfId="5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0" borderId="36" xfId="7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8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1" xfId="58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1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9" borderId="12" xfId="6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1" borderId="12" xfId="7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7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4" fillId="0" borderId="3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33" fillId="0" borderId="8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33" fillId="0" borderId="5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8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30" xfId="5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8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30" xfId="58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5" fontId="34" fillId="0" borderId="12" xfId="5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8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48" xfId="58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18" fillId="0" borderId="48" xfId="5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8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6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6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7" borderId="0" xfId="6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88" xfId="6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6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37" fillId="0" borderId="0" xfId="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7" fillId="0" borderId="0" xfId="6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7" fillId="0" borderId="0" xfId="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7" fillId="0" borderId="0" xfId="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6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12" xfId="6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9" borderId="0" xfId="65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9" borderId="0" xfId="6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9" borderId="0" xfId="6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0" borderId="12" xfId="6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9" borderId="89" xfId="6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7" fillId="3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3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3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9" borderId="0" xfId="6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9" borderId="0" xfId="69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76" fontId="9" fillId="29" borderId="0" xfId="69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29" borderId="0" xfId="6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5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20% - Accent2 2" xfId="21" builtinId="53" customBuiltin="true"/>
    <cellStyle name="20% - Accent3 2" xfId="22" builtinId="53" customBuiltin="true"/>
    <cellStyle name="20% - Accent4 2" xfId="23" builtinId="53" customBuiltin="true"/>
    <cellStyle name="20% - Accent5 2" xfId="24" builtinId="53" customBuiltin="true"/>
    <cellStyle name="20% - Accent6 2" xfId="25" builtinId="53" customBuiltin="true"/>
    <cellStyle name="40% - Accent1 2" xfId="26" builtinId="53" customBuiltin="true"/>
    <cellStyle name="40% - Accent2 2" xfId="27" builtinId="53" customBuiltin="true"/>
    <cellStyle name="40% - Accent3 2" xfId="28" builtinId="53" customBuiltin="true"/>
    <cellStyle name="40% - Accent4 2" xfId="29" builtinId="53" customBuiltin="true"/>
    <cellStyle name="40% - Accent5 2" xfId="30" builtinId="53" customBuiltin="true"/>
    <cellStyle name="40% - Accent6 2" xfId="31" builtinId="53" customBuiltin="true"/>
    <cellStyle name="60% - Accent1 2" xfId="32" builtinId="53" customBuiltin="true"/>
    <cellStyle name="60% - Accent2 2" xfId="33" builtinId="53" customBuiltin="true"/>
    <cellStyle name="60% - Accent3 2" xfId="34" builtinId="53" customBuiltin="true"/>
    <cellStyle name="60% - Accent4 2" xfId="35" builtinId="53" customBuiltin="true"/>
    <cellStyle name="60% - Accent5 2" xfId="36" builtinId="53" customBuiltin="true"/>
    <cellStyle name="60% - Accent6 2" xfId="37" builtinId="53" customBuiltin="true"/>
    <cellStyle name="Accent1 2" xfId="38" builtinId="53" customBuiltin="true"/>
    <cellStyle name="Accent2 2" xfId="39" builtinId="53" customBuiltin="true"/>
    <cellStyle name="Accent3 2" xfId="40" builtinId="53" customBuiltin="true"/>
    <cellStyle name="Accent4 2" xfId="41" builtinId="53" customBuiltin="true"/>
    <cellStyle name="Accent5 2" xfId="42" builtinId="53" customBuiltin="true"/>
    <cellStyle name="Accent6 2" xfId="43" builtinId="53" customBuiltin="true"/>
    <cellStyle name="Bad 2" xfId="44" builtinId="53" customBuiltin="true"/>
    <cellStyle name="Calculation 2" xfId="45" builtinId="53" customBuiltin="true"/>
    <cellStyle name="Check Cell 2" xfId="46" builtinId="53" customBuiltin="true"/>
    <cellStyle name="Explanatory Text 2" xfId="47" builtinId="53" customBuiltin="true"/>
    <cellStyle name="Good 2" xfId="48" builtinId="53" customBuiltin="true"/>
    <cellStyle name="Good 3" xfId="49" builtinId="53" customBuiltin="true"/>
    <cellStyle name="Heading 1 2" xfId="50" builtinId="53" customBuiltin="true"/>
    <cellStyle name="Heading 2 2" xfId="51" builtinId="53" customBuiltin="true"/>
    <cellStyle name="Heading 3 2" xfId="52" builtinId="53" customBuiltin="true"/>
    <cellStyle name="Heading 4 2" xfId="53" builtinId="53" customBuiltin="true"/>
    <cellStyle name="Input 2" xfId="54" builtinId="53" customBuiltin="true"/>
    <cellStyle name="Linked Cell 2" xfId="55" builtinId="53" customBuiltin="true"/>
    <cellStyle name="Neutral 2" xfId="56" builtinId="53" customBuiltin="true"/>
    <cellStyle name="Normal 2" xfId="57" builtinId="53" customBuiltin="true"/>
    <cellStyle name="Normal 3" xfId="58" builtinId="53" customBuiltin="true"/>
    <cellStyle name="Normal 3 2" xfId="59" builtinId="53" customBuiltin="true"/>
    <cellStyle name="Normal 4" xfId="60" builtinId="53" customBuiltin="true"/>
    <cellStyle name="Normal 4 2" xfId="61" builtinId="53" customBuiltin="true"/>
    <cellStyle name="Normal 4 3" xfId="62" builtinId="53" customBuiltin="true"/>
    <cellStyle name="Normal 5" xfId="63" builtinId="53" customBuiltin="true"/>
    <cellStyle name="Normal 6" xfId="64" builtinId="53" customBuiltin="true"/>
    <cellStyle name="Normal_Calculator (2)" xfId="65" builtinId="53" customBuiltin="true"/>
    <cellStyle name="Output 2" xfId="66" builtinId="53" customBuiltin="true"/>
    <cellStyle name="Total 2" xfId="67" builtinId="53" customBuiltin="true"/>
    <cellStyle name="Warning Text 2" xfId="68" builtinId="53" customBuiltin="true"/>
    <cellStyle name="Excel Built-in Good" xfId="69" builtinId="53" customBuiltin="true"/>
    <cellStyle name="Excel Built-in Input" xfId="70" builtinId="53" customBuiltin="true"/>
    <cellStyle name="Excel Built-in Output" xfId="71" builtinId="53" customBuiltin="true"/>
    <cellStyle name="Excel Built-in Neutral" xfId="72" builtinId="53" customBuiltin="true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D9D9D9"/>
      <rgbColor rgb="FF0000FF"/>
      <rgbColor rgb="FFFCD5B5"/>
      <rgbColor rgb="FFFFC7CE"/>
      <rgbColor rgb="FFB9CDE5"/>
      <rgbColor rgb="FF9C0006"/>
      <rgbColor rgb="FF006100"/>
      <rgbColor rgb="FF000080"/>
      <rgbColor rgb="FF9C6500"/>
      <rgbColor rgb="FFDCE6F2"/>
      <rgbColor rgb="FFBFBFBF"/>
      <rgbColor rgb="FFC0C0C0"/>
      <rgbColor rgb="FF7F7F7F"/>
      <rgbColor rgb="FF95B3D7"/>
      <rgbColor rgb="FFC0504D"/>
      <rgbColor rgb="FFEBF1DE"/>
      <rgbColor rgb="FFDAEEF3"/>
      <rgbColor rgb="FFF2F2F2"/>
      <rgbColor rgb="FFF79646"/>
      <rgbColor rgb="FFE6B9B8"/>
      <rgbColor rgb="FFC6D9F1"/>
      <rgbColor rgb="FF000080"/>
      <rgbColor rgb="FFF2DCDB"/>
      <rgbColor rgb="FFC3D69B"/>
      <rgbColor rgb="FFD7E4BD"/>
      <rgbColor rgb="FFFDEADA"/>
      <rgbColor rgb="FF800000"/>
      <rgbColor rgb="FFCCC1DA"/>
      <rgbColor rgb="FF0000FF"/>
      <rgbColor rgb="FFB7DEE8"/>
      <rgbColor rgb="FFDBEEF4"/>
      <rgbColor rgb="FFC6EFCE"/>
      <rgbColor rgb="FFFFEB9C"/>
      <rgbColor rgb="FF93CDDD"/>
      <rgbColor rgb="FFD99694"/>
      <rgbColor rgb="FFB3A2C7"/>
      <rgbColor rgb="FFFFCC99"/>
      <rgbColor rgb="FF4F81BD"/>
      <rgbColor rgb="FF4BACC6"/>
      <rgbColor rgb="FF9BBB59"/>
      <rgbColor rgb="FFFAC090"/>
      <rgbColor rgb="FFFF8001"/>
      <rgbColor rgb="FFE46C0A"/>
      <rgbColor rgb="FF8064A2"/>
      <rgbColor rgb="FFA5A5A5"/>
      <rgbColor rgb="FF1F497D"/>
      <rgbColor rgb="FFA7C0DE"/>
      <rgbColor rgb="FF003300"/>
      <rgbColor rgb="FFE6E0EC"/>
      <rgbColor rgb="FFFA7D00"/>
      <rgbColor rgb="FFC4BD97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externalLink" Target="externalLinks/externalLink1.xml"/><Relationship Id="rId36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6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750240</xdr:colOff>
      <xdr:row>41</xdr:row>
      <xdr:rowOff>128520</xdr:rowOff>
    </xdr:from>
    <xdr:to>
      <xdr:col>45</xdr:col>
      <xdr:colOff>28440</xdr:colOff>
      <xdr:row>49</xdr:row>
      <xdr:rowOff>113760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96360" y="8931240"/>
          <a:ext cx="3664800" cy="1558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18</xdr:col>
      <xdr:colOff>45720</xdr:colOff>
      <xdr:row>37</xdr:row>
      <xdr:rowOff>74880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13658760" cy="684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34920</xdr:rowOff>
    </xdr:from>
    <xdr:to>
      <xdr:col>18</xdr:col>
      <xdr:colOff>37800</xdr:colOff>
      <xdr:row>69</xdr:row>
      <xdr:rowOff>6480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0" y="6801480"/>
          <a:ext cx="13650840" cy="582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171360</xdr:rowOff>
    </xdr:from>
    <xdr:to>
      <xdr:col>18</xdr:col>
      <xdr:colOff>47160</xdr:colOff>
      <xdr:row>101</xdr:row>
      <xdr:rowOff>3240</xdr:rowOff>
    </xdr:to>
    <xdr:pic>
      <xdr:nvPicPr>
        <xdr:cNvPr id="3" name="Picture 3" descr=""/>
        <xdr:cNvPicPr/>
      </xdr:nvPicPr>
      <xdr:blipFill>
        <a:blip r:embed="rId3"/>
        <a:stretch/>
      </xdr:blipFill>
      <xdr:spPr>
        <a:xfrm>
          <a:off x="0" y="12607200"/>
          <a:ext cx="13660200" cy="586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181080</xdr:rowOff>
    </xdr:from>
    <xdr:to>
      <xdr:col>18</xdr:col>
      <xdr:colOff>75960</xdr:colOff>
      <xdr:row>134</xdr:row>
      <xdr:rowOff>11520</xdr:rowOff>
    </xdr:to>
    <xdr:pic>
      <xdr:nvPicPr>
        <xdr:cNvPr id="4" name="Picture 4" descr=""/>
        <xdr:cNvPicPr/>
      </xdr:nvPicPr>
      <xdr:blipFill>
        <a:blip r:embed="rId4"/>
        <a:stretch/>
      </xdr:blipFill>
      <xdr:spPr>
        <a:xfrm>
          <a:off x="0" y="18469080"/>
          <a:ext cx="13689000" cy="6048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95400</xdr:rowOff>
    </xdr:from>
    <xdr:to>
      <xdr:col>18</xdr:col>
      <xdr:colOff>409320</xdr:colOff>
      <xdr:row>176</xdr:row>
      <xdr:rowOff>171360</xdr:rowOff>
    </xdr:to>
    <xdr:pic>
      <xdr:nvPicPr>
        <xdr:cNvPr id="5" name="Picture 6" descr=""/>
        <xdr:cNvPicPr/>
      </xdr:nvPicPr>
      <xdr:blipFill>
        <a:blip r:embed="rId5"/>
        <a:stretch/>
      </xdr:blipFill>
      <xdr:spPr>
        <a:xfrm>
          <a:off x="0" y="24601320"/>
          <a:ext cx="14022360" cy="7756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383400</xdr:colOff>
      <xdr:row>38</xdr:row>
      <xdr:rowOff>76320</xdr:rowOff>
    </xdr:from>
    <xdr:to>
      <xdr:col>44</xdr:col>
      <xdr:colOff>292680</xdr:colOff>
      <xdr:row>46</xdr:row>
      <xdr:rowOff>90720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15103800" y="8189640"/>
          <a:ext cx="3169440" cy="1500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18</xdr:col>
      <xdr:colOff>141120</xdr:colOff>
      <xdr:row>32</xdr:row>
      <xdr:rowOff>160920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0" y="0"/>
          <a:ext cx="13754160" cy="601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266400</xdr:colOff>
      <xdr:row>60</xdr:row>
      <xdr:rowOff>3960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0" y="0"/>
          <a:ext cx="10854360" cy="1097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sdong/Desktop/Design%20tools/Inductor%20Design%20Workbook%202-9-15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lock U Core Design Foil"/>
      <sheetName val="E Core Design Foil"/>
      <sheetName val="E Core Design-Magnet Wire"/>
      <sheetName val="Toroid Design with Litz"/>
      <sheetName val="Toroid Design"/>
      <sheetName val="Custom Toroid Design"/>
      <sheetName val="Silicon Steel Cut Core-MW"/>
      <sheetName val="Block Dimensions"/>
      <sheetName val="Block U dimension calculation"/>
      <sheetName val="Powder Core Detail"/>
      <sheetName val="Wire Table"/>
      <sheetName val="Core Costs"/>
      <sheetName val="Surface Area-Litz"/>
      <sheetName val="Surface Area"/>
      <sheetName val="Curve Fit Equations"/>
      <sheetName val="75 CF Constants"/>
      <sheetName val="Kool Mu CF Constants"/>
      <sheetName val="MPP CF"/>
      <sheetName val="HF CF"/>
      <sheetName val="XF CF"/>
      <sheetName val="E Core Detail"/>
      <sheetName val="Cut Core Data"/>
      <sheetName val="Block Foil Wire "/>
      <sheetName val="Block Litz Wire"/>
      <sheetName val="AF CF"/>
      <sheetName val="Wire Resistivity"/>
      <sheetName val="Litz Wire"/>
      <sheetName val="Toroid Core Weight"/>
      <sheetName val="Shape Core Weight"/>
      <sheetName val="E Core Foil Wire 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15" activeCellId="0" sqref="F15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4.4" zeroHeight="false" outlineLevelRow="0" outlineLevelCol="0"/>
  <cols>
    <col collapsed="false" customWidth="true" hidden="false" outlineLevel="0" max="1" min="1" style="0" width="9"/>
    <col collapsed="false" customWidth="true" hidden="false" outlineLevel="0" max="3" min="2" style="0" width="9.11"/>
    <col collapsed="false" customWidth="true" hidden="false" outlineLevel="0" max="4" min="4" style="0" width="12.55"/>
    <col collapsed="false" customWidth="true" hidden="false" outlineLevel="0" max="1025" min="5" style="0" width="9.11"/>
  </cols>
  <sheetData>
    <row r="1" customFormat="false" ht="14.4" hidden="false" customHeight="false" outlineLevel="0" collapsed="false">
      <c r="A1" s="302" t="n">
        <v>75</v>
      </c>
      <c r="B1" s="303"/>
      <c r="C1" s="303"/>
      <c r="D1" s="303"/>
      <c r="E1" s="303"/>
      <c r="F1" s="303"/>
      <c r="G1" s="303"/>
    </row>
    <row r="2" customFormat="false" ht="14.4" hidden="false" customHeight="false" outlineLevel="0" collapsed="false">
      <c r="A2" s="304" t="s">
        <v>1202</v>
      </c>
      <c r="B2" s="304" t="s">
        <v>1203</v>
      </c>
      <c r="C2" s="304" t="s">
        <v>1204</v>
      </c>
      <c r="D2" s="304" t="s">
        <v>1205</v>
      </c>
      <c r="E2" s="304"/>
      <c r="F2" s="304"/>
      <c r="G2" s="303"/>
    </row>
    <row r="3" customFormat="false" ht="14.4" hidden="false" customHeight="false" outlineLevel="0" collapsed="false">
      <c r="A3" s="303"/>
      <c r="B3" s="303"/>
      <c r="C3" s="303"/>
      <c r="D3" s="303"/>
      <c r="E3" s="303"/>
      <c r="F3" s="303"/>
      <c r="G3" s="303"/>
    </row>
    <row r="4" customFormat="false" ht="14.4" hidden="false" customHeight="false" outlineLevel="0" collapsed="false">
      <c r="A4" s="303" t="n">
        <v>26</v>
      </c>
      <c r="B4" s="305" t="n">
        <v>0.01</v>
      </c>
      <c r="C4" s="306" t="n">
        <v>5.05321409868935E-007</v>
      </c>
      <c r="D4" s="306" t="n">
        <v>1.75321971043095</v>
      </c>
      <c r="E4" s="306"/>
      <c r="F4" s="306"/>
      <c r="G4" s="303"/>
    </row>
    <row r="5" customFormat="false" ht="14.4" hidden="false" customHeight="false" outlineLevel="0" collapsed="false">
      <c r="A5" s="303" t="n">
        <v>40</v>
      </c>
      <c r="B5" s="305" t="n">
        <v>0.01</v>
      </c>
      <c r="C5" s="306" t="n">
        <v>1.60794377639531E-006</v>
      </c>
      <c r="D5" s="306" t="n">
        <v>1.67569087833171</v>
      </c>
      <c r="E5" s="306"/>
      <c r="F5" s="306"/>
      <c r="G5" s="303"/>
    </row>
    <row r="6" customFormat="false" ht="14.4" hidden="false" customHeight="false" outlineLevel="0" collapsed="false">
      <c r="A6" s="303" t="n">
        <v>60</v>
      </c>
      <c r="B6" s="305" t="n">
        <v>0.01</v>
      </c>
      <c r="C6" s="306" t="n">
        <v>1.08764736257758E-006</v>
      </c>
      <c r="D6" s="306" t="n">
        <v>1.92241565346817</v>
      </c>
      <c r="E6" s="306"/>
      <c r="F6" s="306"/>
      <c r="G6" s="303"/>
    </row>
    <row r="7" customFormat="false" ht="14.4" hidden="false" customHeight="false" outlineLevel="0" collapsed="false">
      <c r="A7" s="303"/>
      <c r="B7" s="305"/>
      <c r="C7" s="306"/>
      <c r="D7" s="306"/>
      <c r="E7" s="306"/>
      <c r="F7" s="306"/>
      <c r="G7" s="303"/>
    </row>
    <row r="8" customFormat="false" ht="14.4" hidden="false" customHeight="false" outlineLevel="0" collapsed="false">
      <c r="A8" s="303"/>
      <c r="B8" s="305"/>
      <c r="C8" s="306"/>
      <c r="D8" s="306"/>
      <c r="E8" s="306"/>
      <c r="F8" s="306"/>
      <c r="G8" s="303"/>
    </row>
    <row r="9" customFormat="false" ht="14.4" hidden="false" customHeight="false" outlineLevel="0" collapsed="false">
      <c r="A9" s="303"/>
      <c r="B9" s="305"/>
      <c r="C9" s="306"/>
      <c r="D9" s="306"/>
      <c r="E9" s="306"/>
      <c r="F9" s="306"/>
      <c r="G9" s="303"/>
    </row>
    <row r="10" customFormat="false" ht="14.4" hidden="false" customHeight="false" outlineLevel="0" collapsed="false">
      <c r="A10" s="304" t="s">
        <v>1206</v>
      </c>
      <c r="B10" s="304" t="s">
        <v>1203</v>
      </c>
      <c r="C10" s="304" t="s">
        <v>1204</v>
      </c>
      <c r="D10" s="304" t="s">
        <v>1205</v>
      </c>
      <c r="E10" s="304" t="s">
        <v>1207</v>
      </c>
      <c r="F10" s="304" t="s">
        <v>1208</v>
      </c>
      <c r="G10" s="304" t="s">
        <v>1209</v>
      </c>
    </row>
    <row r="11" customFormat="false" ht="14.4" hidden="false" customHeight="false" outlineLevel="0" collapsed="false">
      <c r="A11" s="303"/>
      <c r="B11" s="303"/>
      <c r="C11" s="303"/>
      <c r="D11" s="303"/>
      <c r="E11" s="303"/>
      <c r="F11" s="303"/>
      <c r="G11" s="303"/>
    </row>
    <row r="12" customFormat="false" ht="14.4" hidden="false" customHeight="false" outlineLevel="0" collapsed="false">
      <c r="A12" s="303" t="n">
        <v>26</v>
      </c>
      <c r="B12" s="306" t="n">
        <v>0.0420591693715839</v>
      </c>
      <c r="C12" s="306" t="n">
        <v>0.0323806387154073</v>
      </c>
      <c r="D12" s="306" t="n">
        <v>0.0011920860485185</v>
      </c>
      <c r="E12" s="306" t="n">
        <v>0.169781293487025</v>
      </c>
      <c r="F12" s="306" t="n">
        <v>0.000939945171802842</v>
      </c>
      <c r="G12" s="305" t="n">
        <v>2</v>
      </c>
    </row>
    <row r="13" customFormat="false" ht="14.4" hidden="false" customHeight="false" outlineLevel="0" collapsed="false">
      <c r="A13" s="303" t="n">
        <v>40</v>
      </c>
      <c r="B13" s="306" t="n">
        <v>0.0450076791698764</v>
      </c>
      <c r="C13" s="306" t="n">
        <v>0.0365934908308054</v>
      </c>
      <c r="D13" s="306" t="n">
        <v>0.00122874292152122</v>
      </c>
      <c r="E13" s="306" t="n">
        <v>0.14074360107654</v>
      </c>
      <c r="F13" s="306" t="n">
        <v>0.000981591093226262</v>
      </c>
      <c r="G13" s="305" t="n">
        <v>2</v>
      </c>
    </row>
    <row r="14" customFormat="false" ht="14.4" hidden="false" customHeight="false" outlineLevel="0" collapsed="false">
      <c r="A14" s="303" t="n">
        <v>60</v>
      </c>
      <c r="B14" s="306" t="n">
        <v>0.099999846055039</v>
      </c>
      <c r="C14" s="306" t="n">
        <v>0.0226337393311443</v>
      </c>
      <c r="D14" s="306" t="n">
        <v>0.00121534858622938</v>
      </c>
      <c r="E14" s="306" t="n">
        <v>0.0676939106527029</v>
      </c>
      <c r="F14" s="306" t="n">
        <v>0.000975736219859153</v>
      </c>
      <c r="G14" s="305" t="n">
        <v>2</v>
      </c>
    </row>
    <row r="15" customFormat="false" ht="14.4" hidden="false" customHeight="false" outlineLevel="0" collapsed="false">
      <c r="A15" s="303"/>
      <c r="B15" s="306"/>
      <c r="C15" s="306"/>
      <c r="D15" s="306"/>
      <c r="E15" s="306"/>
      <c r="F15" s="306"/>
      <c r="G15" s="305"/>
    </row>
    <row r="16" customFormat="false" ht="14.4" hidden="false" customHeight="false" outlineLevel="0" collapsed="false">
      <c r="A16" s="303"/>
      <c r="B16" s="306"/>
      <c r="C16" s="306"/>
      <c r="D16" s="306"/>
      <c r="E16" s="306"/>
      <c r="F16" s="306"/>
      <c r="G16" s="305"/>
    </row>
    <row r="17" customFormat="false" ht="14.4" hidden="false" customHeight="false" outlineLevel="0" collapsed="false">
      <c r="A17" s="303"/>
      <c r="B17" s="306"/>
      <c r="C17" s="307"/>
      <c r="D17" s="307"/>
      <c r="E17" s="307"/>
      <c r="F17" s="307"/>
      <c r="G17" s="305"/>
    </row>
    <row r="18" customFormat="false" ht="14.4" hidden="false" customHeight="false" outlineLevel="0" collapsed="false">
      <c r="A18" s="304" t="s">
        <v>1084</v>
      </c>
      <c r="B18" s="304" t="s">
        <v>1203</v>
      </c>
      <c r="C18" s="304" t="s">
        <v>1204</v>
      </c>
      <c r="D18" s="304" t="s">
        <v>1205</v>
      </c>
      <c r="E18" s="303"/>
      <c r="F18" s="303"/>
      <c r="G18" s="303"/>
    </row>
    <row r="19" customFormat="false" ht="14.4" hidden="false" customHeight="false" outlineLevel="0" collapsed="false">
      <c r="A19" s="303"/>
      <c r="B19" s="303"/>
      <c r="C19" s="303"/>
      <c r="D19" s="303"/>
      <c r="E19" s="303"/>
      <c r="F19" s="303"/>
      <c r="G19" s="303"/>
    </row>
    <row r="20" customFormat="false" ht="14.4" hidden="false" customHeight="false" outlineLevel="0" collapsed="false">
      <c r="A20" s="303" t="n">
        <v>26</v>
      </c>
      <c r="B20" s="303" t="n">
        <v>271</v>
      </c>
      <c r="C20" s="303" t="n">
        <v>2.031</v>
      </c>
      <c r="D20" s="303" t="n">
        <v>1.44</v>
      </c>
      <c r="E20" s="303"/>
      <c r="F20" s="303"/>
      <c r="G20" s="303"/>
    </row>
    <row r="21" customFormat="false" ht="14.4" hidden="false" customHeight="false" outlineLevel="0" collapsed="false">
      <c r="A21" s="303" t="n">
        <v>40</v>
      </c>
      <c r="B21" s="303" t="n">
        <v>309</v>
      </c>
      <c r="C21" s="303" t="n">
        <v>2.14</v>
      </c>
      <c r="D21" s="303" t="n">
        <v>1.46</v>
      </c>
      <c r="E21" s="303"/>
      <c r="F21" s="303"/>
      <c r="G21" s="303"/>
    </row>
    <row r="22" customFormat="false" ht="14.4" hidden="false" customHeight="false" outlineLevel="0" collapsed="false">
      <c r="A22" s="303" t="n">
        <v>60</v>
      </c>
      <c r="B22" s="303" t="n">
        <v>251.4</v>
      </c>
      <c r="C22" s="303" t="n">
        <v>2.066</v>
      </c>
      <c r="D22" s="303" t="n">
        <v>1.41</v>
      </c>
      <c r="E22" s="303"/>
      <c r="F22" s="303"/>
      <c r="G22" s="30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4.4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10.11"/>
    <col collapsed="false" customWidth="true" hidden="false" outlineLevel="0" max="3" min="3" style="0" width="8.51"/>
    <col collapsed="false" customWidth="true" hidden="false" outlineLevel="0" max="5" min="4" style="0" width="10.11"/>
    <col collapsed="false" customWidth="true" hidden="false" outlineLevel="0" max="1025" min="6" style="0" width="8.51"/>
  </cols>
  <sheetData>
    <row r="1" customFormat="false" ht="14.4" hidden="false" customHeight="false" outlineLevel="0" collapsed="false">
      <c r="D1" s="308" t="s">
        <v>1210</v>
      </c>
      <c r="E1" s="308" t="s">
        <v>1211</v>
      </c>
      <c r="F1" s="308" t="s">
        <v>1212</v>
      </c>
    </row>
    <row r="2" customFormat="false" ht="14.4" hidden="false" customHeight="false" outlineLevel="0" collapsed="false">
      <c r="B2" s="309" t="s">
        <v>1213</v>
      </c>
      <c r="C2" s="309" t="n">
        <v>14.3542692957842</v>
      </c>
      <c r="D2" s="0" t="n">
        <v>14.3542692957842</v>
      </c>
      <c r="E2" s="0" t="n">
        <v>11.0652083564209</v>
      </c>
      <c r="F2" s="0" t="n">
        <v>8.01335974749413</v>
      </c>
      <c r="G2" s="309" t="n">
        <v>14.3542692957842</v>
      </c>
    </row>
    <row r="3" customFormat="false" ht="14.4" hidden="false" customHeight="false" outlineLevel="0" collapsed="false">
      <c r="B3" s="309" t="s">
        <v>1214</v>
      </c>
      <c r="C3" s="309" t="n">
        <v>34.0579672891868</v>
      </c>
      <c r="D3" s="0" t="n">
        <v>34.0579672891868</v>
      </c>
      <c r="E3" s="0" t="n">
        <v>26.5040354270024</v>
      </c>
      <c r="F3" s="0" t="n">
        <v>19.5198135438737</v>
      </c>
      <c r="G3" s="309" t="n">
        <v>34.0579672891868</v>
      </c>
      <c r="H3" s="309"/>
      <c r="I3" s="309"/>
      <c r="J3" s="309"/>
    </row>
    <row r="4" customFormat="false" ht="14.4" hidden="false" customHeight="false" outlineLevel="0" collapsed="false">
      <c r="B4" s="309" t="s">
        <v>1215</v>
      </c>
      <c r="C4" s="309" t="n">
        <v>39.2337939346873</v>
      </c>
      <c r="D4" s="0" t="n">
        <v>39.2337939346873</v>
      </c>
      <c r="E4" s="0" t="n">
        <v>30.397638641001</v>
      </c>
      <c r="F4" s="0" t="n">
        <v>22.3393775391411</v>
      </c>
      <c r="G4" s="309" t="n">
        <v>39.2337939346873</v>
      </c>
      <c r="H4" s="309"/>
      <c r="I4" s="309"/>
      <c r="J4" s="309"/>
    </row>
    <row r="5" customFormat="false" ht="14.4" hidden="false" customHeight="false" outlineLevel="0" collapsed="false">
      <c r="B5" s="309" t="s">
        <v>1216</v>
      </c>
      <c r="C5" s="309" t="n">
        <v>101.518756581127</v>
      </c>
      <c r="D5" s="0" t="n">
        <v>101.518756581127</v>
      </c>
      <c r="E5" s="0" t="n">
        <v>80.1398782784982</v>
      </c>
      <c r="F5" s="0" t="n">
        <v>59.8219344331087</v>
      </c>
      <c r="G5" s="309" t="n">
        <v>101.518756581127</v>
      </c>
      <c r="H5" s="309"/>
      <c r="I5" s="309"/>
      <c r="J5" s="309"/>
    </row>
    <row r="6" customFormat="false" ht="14.4" hidden="false" customHeight="false" outlineLevel="0" collapsed="false">
      <c r="B6" s="309" t="s">
        <v>1217</v>
      </c>
      <c r="C6" s="309" t="n">
        <v>112.266215146854</v>
      </c>
      <c r="D6" s="0" t="n">
        <v>112.266215146854</v>
      </c>
      <c r="E6" s="0" t="n">
        <v>88.0675885855845</v>
      </c>
      <c r="F6" s="0" t="n">
        <v>65.3198674235205</v>
      </c>
      <c r="G6" s="309" t="n">
        <v>112.266215146854</v>
      </c>
      <c r="H6" s="309"/>
      <c r="I6" s="309"/>
      <c r="J6" s="309"/>
    </row>
    <row r="7" customFormat="false" ht="14.4" hidden="false" customHeight="false" outlineLevel="0" collapsed="false">
      <c r="B7" s="309" t="s">
        <v>1218</v>
      </c>
      <c r="C7" s="309" t="n">
        <v>184.893188740435</v>
      </c>
      <c r="D7" s="0" t="n">
        <v>184.893188740435</v>
      </c>
      <c r="E7" s="0" t="n">
        <v>154.37406608088</v>
      </c>
      <c r="F7" s="0" t="n">
        <v>120.7911674939</v>
      </c>
      <c r="G7" s="309" t="n">
        <v>184.893188740435</v>
      </c>
      <c r="H7" s="309"/>
      <c r="I7" s="309"/>
      <c r="J7" s="309"/>
    </row>
    <row r="8" customFormat="false" ht="14.4" hidden="false" customHeight="false" outlineLevel="0" collapsed="false">
      <c r="B8" s="309" t="s">
        <v>1219</v>
      </c>
      <c r="C8" s="309" t="n">
        <v>287.395812227529</v>
      </c>
      <c r="D8" s="0" t="n">
        <v>287.395812227529</v>
      </c>
      <c r="E8" s="0" t="n">
        <v>251.519691475489</v>
      </c>
      <c r="F8" s="0" t="n">
        <v>185.805301245638</v>
      </c>
      <c r="G8" s="309" t="n">
        <v>287.395812227529</v>
      </c>
      <c r="H8" s="309"/>
      <c r="I8" s="309"/>
      <c r="J8" s="309"/>
    </row>
    <row r="9" customFormat="false" ht="14.4" hidden="false" customHeight="false" outlineLevel="0" collapsed="false">
      <c r="B9" s="309" t="s">
        <v>1220</v>
      </c>
      <c r="C9" s="309" t="n">
        <v>460.54759664414</v>
      </c>
      <c r="D9" s="0" t="n">
        <v>460.54759664414</v>
      </c>
      <c r="E9" s="0" t="n">
        <v>433.52033865741</v>
      </c>
      <c r="F9" s="0" t="n">
        <v>356.498921098744</v>
      </c>
      <c r="G9" s="309" t="n">
        <v>460.54759664414</v>
      </c>
      <c r="H9" s="309"/>
      <c r="I9" s="309"/>
      <c r="J9" s="309"/>
    </row>
    <row r="10" customFormat="false" ht="14.4" hidden="false" customHeight="false" outlineLevel="0" collapsed="false">
      <c r="B10" s="309" t="s">
        <v>1221</v>
      </c>
      <c r="C10" s="0" t="n">
        <v>299.277858935299</v>
      </c>
      <c r="D10" s="0" t="n">
        <v>264.264520943968</v>
      </c>
      <c r="E10" s="0" t="n">
        <v>299.277858935299</v>
      </c>
      <c r="F10" s="0" t="n">
        <v>0</v>
      </c>
      <c r="G10" s="309" t="n">
        <v>264.264520943968</v>
      </c>
      <c r="H10" s="309"/>
      <c r="I10" s="309"/>
      <c r="J10" s="309"/>
    </row>
    <row r="11" customFormat="false" ht="14.4" hidden="false" customHeight="false" outlineLevel="0" collapsed="false">
      <c r="B11" s="309" t="s">
        <v>1222</v>
      </c>
      <c r="C11" s="309" t="n">
        <v>848.414456824519</v>
      </c>
      <c r="D11" s="0" t="n">
        <v>0</v>
      </c>
      <c r="F11" s="0" t="n">
        <v>848.414456824519</v>
      </c>
      <c r="G11" s="309" t="n">
        <v>848.414456824519</v>
      </c>
      <c r="H11" s="309"/>
      <c r="I11" s="309"/>
      <c r="J11" s="309"/>
    </row>
    <row r="12" customFormat="false" ht="14.4" hidden="false" customHeight="false" outlineLevel="0" collapsed="false">
      <c r="B12" s="309" t="s">
        <v>148</v>
      </c>
      <c r="C12" s="309"/>
      <c r="D12" s="0" t="n">
        <v>0</v>
      </c>
      <c r="F12" s="0" t="n">
        <v>0</v>
      </c>
      <c r="G12" s="309" t="n">
        <v>0</v>
      </c>
      <c r="H12" s="309"/>
      <c r="I12" s="309"/>
      <c r="J12" s="30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4.4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10.11"/>
    <col collapsed="false" customWidth="true" hidden="false" outlineLevel="0" max="6" min="4" style="0" width="12.11"/>
    <col collapsed="false" customWidth="true" hidden="false" outlineLevel="0" max="1025" min="7" style="0" width="8.51"/>
  </cols>
  <sheetData>
    <row r="1" customFormat="false" ht="14.4" hidden="false" customHeight="false" outlineLevel="0" collapsed="false">
      <c r="D1" s="0" t="n">
        <v>60</v>
      </c>
      <c r="E1" s="0" t="n">
        <v>40</v>
      </c>
      <c r="F1" s="0" t="n">
        <v>26</v>
      </c>
    </row>
    <row r="2" customFormat="false" ht="14.4" hidden="false" customHeight="false" outlineLevel="0" collapsed="false">
      <c r="C2" s="309" t="s">
        <v>1213</v>
      </c>
      <c r="D2" s="309" t="s">
        <v>1223</v>
      </c>
      <c r="E2" s="309" t="s">
        <v>1224</v>
      </c>
      <c r="F2" s="309" t="s">
        <v>1225</v>
      </c>
    </row>
    <row r="3" customFormat="false" ht="14.4" hidden="false" customHeight="false" outlineLevel="0" collapsed="false">
      <c r="C3" s="309" t="s">
        <v>1214</v>
      </c>
      <c r="D3" s="309" t="s">
        <v>1226</v>
      </c>
      <c r="E3" s="309" t="s">
        <v>1227</v>
      </c>
      <c r="F3" s="309" t="s">
        <v>1228</v>
      </c>
    </row>
    <row r="4" customFormat="false" ht="14.4" hidden="false" customHeight="false" outlineLevel="0" collapsed="false">
      <c r="C4" s="309" t="s">
        <v>1215</v>
      </c>
      <c r="D4" s="309" t="s">
        <v>1229</v>
      </c>
      <c r="E4" s="309" t="s">
        <v>1230</v>
      </c>
      <c r="F4" s="309" t="s">
        <v>1231</v>
      </c>
    </row>
    <row r="5" customFormat="false" ht="14.4" hidden="false" customHeight="false" outlineLevel="0" collapsed="false">
      <c r="C5" s="309" t="s">
        <v>1216</v>
      </c>
      <c r="D5" s="309" t="s">
        <v>1232</v>
      </c>
      <c r="E5" s="309" t="s">
        <v>1233</v>
      </c>
      <c r="F5" s="309" t="s">
        <v>1234</v>
      </c>
    </row>
    <row r="6" customFormat="false" ht="14.4" hidden="false" customHeight="false" outlineLevel="0" collapsed="false">
      <c r="C6" s="309" t="s">
        <v>1217</v>
      </c>
      <c r="D6" s="309" t="s">
        <v>1235</v>
      </c>
      <c r="E6" s="309" t="s">
        <v>1236</v>
      </c>
      <c r="F6" s="309" t="s">
        <v>1237</v>
      </c>
    </row>
    <row r="7" customFormat="false" ht="14.4" hidden="false" customHeight="false" outlineLevel="0" collapsed="false">
      <c r="C7" s="309" t="s">
        <v>1218</v>
      </c>
      <c r="D7" s="309" t="s">
        <v>1238</v>
      </c>
      <c r="E7" s="309" t="s">
        <v>1239</v>
      </c>
      <c r="F7" s="309" t="s">
        <v>1240</v>
      </c>
    </row>
    <row r="8" customFormat="false" ht="14.4" hidden="false" customHeight="false" outlineLevel="0" collapsed="false">
      <c r="C8" s="309" t="s">
        <v>1219</v>
      </c>
      <c r="D8" s="309" t="s">
        <v>1241</v>
      </c>
      <c r="E8" s="309" t="s">
        <v>1242</v>
      </c>
      <c r="F8" s="309" t="s">
        <v>1243</v>
      </c>
    </row>
    <row r="9" customFormat="false" ht="14.4" hidden="false" customHeight="false" outlineLevel="0" collapsed="false">
      <c r="C9" s="309" t="s">
        <v>1220</v>
      </c>
      <c r="D9" s="309" t="s">
        <v>1244</v>
      </c>
      <c r="E9" s="309" t="s">
        <v>1245</v>
      </c>
      <c r="F9" s="309" t="s">
        <v>1246</v>
      </c>
    </row>
    <row r="10" customFormat="false" ht="14.4" hidden="false" customHeight="false" outlineLevel="0" collapsed="false">
      <c r="C10" s="309" t="s">
        <v>1221</v>
      </c>
      <c r="D10" s="309" t="s">
        <v>1247</v>
      </c>
      <c r="E10" s="309" t="s">
        <v>1248</v>
      </c>
      <c r="F10" s="309" t="s">
        <v>1249</v>
      </c>
    </row>
    <row r="11" customFormat="false" ht="14.4" hidden="false" customHeight="false" outlineLevel="0" collapsed="false">
      <c r="C11" s="309" t="s">
        <v>1222</v>
      </c>
      <c r="D11" s="309" t="s">
        <v>1250</v>
      </c>
      <c r="E11" s="309" t="s">
        <v>1251</v>
      </c>
      <c r="F11" s="309" t="s">
        <v>1252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1" activeCellId="0" sqref="A81"/>
    </sheetView>
  </sheetViews>
  <sheetFormatPr defaultRowHeight="14.4" zeroHeight="false" outlineLevelRow="0" outlineLevelCol="0"/>
  <cols>
    <col collapsed="false" customWidth="true" hidden="false" outlineLevel="0" max="1" min="1" style="31" width="18.33"/>
    <col collapsed="false" customWidth="true" hidden="false" outlineLevel="0" max="2" min="2" style="31" width="10.88"/>
    <col collapsed="false" customWidth="true" hidden="false" outlineLevel="0" max="20" min="3" style="0" width="9.11"/>
    <col collapsed="false" customWidth="true" hidden="false" outlineLevel="0" max="21" min="21" style="0" width="21.67"/>
    <col collapsed="false" customWidth="true" hidden="false" outlineLevel="0" max="22" min="22" style="0" width="20.67"/>
    <col collapsed="false" customWidth="true" hidden="false" outlineLevel="0" max="23" min="23" style="22" width="22.44"/>
    <col collapsed="false" customWidth="true" hidden="false" outlineLevel="0" max="24" min="24" style="22" width="24.45"/>
    <col collapsed="false" customWidth="true" hidden="false" outlineLevel="0" max="25" min="25" style="0" width="17.67"/>
    <col collapsed="false" customWidth="true" hidden="false" outlineLevel="0" max="1025" min="26" style="0" width="9.11"/>
  </cols>
  <sheetData>
    <row r="1" s="22" customFormat="true" ht="16.2" hidden="false" customHeight="false" outlineLevel="0" collapsed="false">
      <c r="A1" s="24" t="s">
        <v>12</v>
      </c>
      <c r="B1" s="310" t="s">
        <v>13</v>
      </c>
      <c r="C1" s="26" t="s">
        <v>14</v>
      </c>
      <c r="D1" s="26" t="s">
        <v>15</v>
      </c>
      <c r="E1" s="26" t="s">
        <v>16</v>
      </c>
      <c r="F1" s="26" t="s">
        <v>17</v>
      </c>
      <c r="G1" s="27" t="s">
        <v>18</v>
      </c>
      <c r="H1" s="27" t="s">
        <v>19</v>
      </c>
      <c r="I1" s="27" t="s">
        <v>1175</v>
      </c>
      <c r="J1" s="27" t="s">
        <v>1176</v>
      </c>
      <c r="K1" s="27" t="s">
        <v>1177</v>
      </c>
      <c r="L1" s="27" t="s">
        <v>1178</v>
      </c>
      <c r="M1" s="27" t="s">
        <v>1179</v>
      </c>
      <c r="N1" s="27" t="s">
        <v>1180</v>
      </c>
      <c r="O1" s="27" t="s">
        <v>1181</v>
      </c>
      <c r="P1" s="27" t="s">
        <v>1182</v>
      </c>
      <c r="Q1" s="28" t="s">
        <v>26</v>
      </c>
      <c r="R1" s="28" t="s">
        <v>27</v>
      </c>
      <c r="S1" s="29" t="s">
        <v>28</v>
      </c>
      <c r="T1" s="29" t="s">
        <v>29</v>
      </c>
      <c r="U1" s="24" t="s">
        <v>1253</v>
      </c>
      <c r="V1" s="24" t="s">
        <v>1254</v>
      </c>
      <c r="W1" s="24" t="s">
        <v>1255</v>
      </c>
      <c r="X1" s="24" t="s">
        <v>1256</v>
      </c>
      <c r="Y1" s="24" t="s">
        <v>1257</v>
      </c>
      <c r="Z1" s="22" t="s">
        <v>1258</v>
      </c>
      <c r="AA1" s="22" t="s">
        <v>1259</v>
      </c>
    </row>
    <row r="2" customFormat="false" ht="14.4" hidden="false" customHeight="false" outlineLevel="0" collapsed="false">
      <c r="A2" s="31" t="s">
        <v>150</v>
      </c>
      <c r="B2" s="31" t="s">
        <v>151</v>
      </c>
      <c r="C2" s="31" t="n">
        <v>26</v>
      </c>
      <c r="D2" s="31" t="s">
        <v>33</v>
      </c>
      <c r="E2" s="31" t="n">
        <v>26</v>
      </c>
      <c r="F2" s="31" t="s">
        <v>44</v>
      </c>
      <c r="G2" s="31" t="n">
        <v>4.01</v>
      </c>
      <c r="H2" s="31" t="n">
        <v>40.1</v>
      </c>
      <c r="I2" s="32" t="n">
        <v>19.3</v>
      </c>
      <c r="J2" s="311" t="n">
        <v>8.1</v>
      </c>
      <c r="K2" s="311" t="n">
        <v>4.78</v>
      </c>
      <c r="L2" s="32" t="n">
        <v>5.53</v>
      </c>
      <c r="M2" s="32" t="n">
        <v>13.9</v>
      </c>
      <c r="N2" s="32" t="n">
        <v>4.78</v>
      </c>
      <c r="O2" s="32" t="n">
        <v>2.39</v>
      </c>
      <c r="P2" s="32" t="n">
        <v>4.64</v>
      </c>
      <c r="Q2" s="31" t="n">
        <v>0.228</v>
      </c>
      <c r="R2" s="31" t="n">
        <v>22.8</v>
      </c>
      <c r="S2" s="31" t="n">
        <v>0.914</v>
      </c>
      <c r="T2" s="31" t="n">
        <v>914</v>
      </c>
      <c r="U2" s="31" t="n">
        <f aca="false">2*L2*P2</f>
        <v>51.3184</v>
      </c>
      <c r="V2" s="0" t="n">
        <f aca="false">0.01*U2</f>
        <v>0.513184</v>
      </c>
      <c r="W2" s="22" t="n">
        <v>0.316</v>
      </c>
      <c r="X2" s="22" t="n">
        <v>0.342</v>
      </c>
      <c r="Y2" s="0" t="n">
        <v>9.3</v>
      </c>
      <c r="Z2" s="0" t="n">
        <f aca="false">2*L2</f>
        <v>11.06</v>
      </c>
      <c r="AA2" s="0" t="n">
        <f aca="false">0.5*(Z2-Y2)</f>
        <v>0.88</v>
      </c>
    </row>
    <row r="3" customFormat="false" ht="14.4" hidden="false" customHeight="false" outlineLevel="0" collapsed="false">
      <c r="A3" s="31" t="s">
        <v>152</v>
      </c>
      <c r="B3" s="31" t="s">
        <v>151</v>
      </c>
      <c r="C3" s="31" t="n">
        <v>40</v>
      </c>
      <c r="D3" s="31" t="s">
        <v>33</v>
      </c>
      <c r="E3" s="31" t="n">
        <v>35</v>
      </c>
      <c r="F3" s="31" t="s">
        <v>44</v>
      </c>
      <c r="G3" s="31" t="n">
        <v>4.01</v>
      </c>
      <c r="H3" s="31" t="n">
        <v>40.1</v>
      </c>
      <c r="I3" s="32" t="n">
        <v>19.3</v>
      </c>
      <c r="J3" s="311" t="n">
        <v>8.1</v>
      </c>
      <c r="K3" s="311" t="n">
        <v>4.78</v>
      </c>
      <c r="L3" s="32" t="n">
        <v>5.53</v>
      </c>
      <c r="M3" s="32" t="n">
        <v>13.9</v>
      </c>
      <c r="N3" s="32" t="n">
        <v>4.78</v>
      </c>
      <c r="O3" s="32" t="n">
        <v>2.39</v>
      </c>
      <c r="P3" s="32" t="n">
        <v>4.64</v>
      </c>
      <c r="Q3" s="31" t="n">
        <v>0.228</v>
      </c>
      <c r="R3" s="31" t="n">
        <v>22.8</v>
      </c>
      <c r="S3" s="31" t="n">
        <v>0.914</v>
      </c>
      <c r="T3" s="31" t="n">
        <v>914</v>
      </c>
      <c r="U3" s="31" t="n">
        <f aca="false">2*L3*P3</f>
        <v>51.3184</v>
      </c>
      <c r="V3" s="0" t="n">
        <f aca="false">0.01*U3</f>
        <v>0.513184</v>
      </c>
      <c r="W3" s="22" t="n">
        <v>0.316</v>
      </c>
      <c r="X3" s="22" t="n">
        <v>0.342</v>
      </c>
      <c r="Y3" s="0" t="n">
        <v>9.3</v>
      </c>
      <c r="Z3" s="0" t="n">
        <f aca="false">2*L3</f>
        <v>11.06</v>
      </c>
      <c r="AA3" s="0" t="n">
        <f aca="false">0.5*(Z3-Y3)</f>
        <v>0.88</v>
      </c>
    </row>
    <row r="4" customFormat="false" ht="14.4" hidden="false" customHeight="false" outlineLevel="0" collapsed="false">
      <c r="A4" s="31" t="s">
        <v>153</v>
      </c>
      <c r="B4" s="31" t="s">
        <v>151</v>
      </c>
      <c r="C4" s="31" t="n">
        <v>60</v>
      </c>
      <c r="D4" s="31" t="s">
        <v>33</v>
      </c>
      <c r="E4" s="31" t="n">
        <v>48</v>
      </c>
      <c r="F4" s="31" t="s">
        <v>44</v>
      </c>
      <c r="G4" s="31" t="n">
        <v>4.01</v>
      </c>
      <c r="H4" s="31" t="n">
        <v>40.1</v>
      </c>
      <c r="I4" s="32" t="n">
        <v>19.3</v>
      </c>
      <c r="J4" s="311" t="n">
        <v>8.1</v>
      </c>
      <c r="K4" s="311" t="n">
        <v>4.78</v>
      </c>
      <c r="L4" s="32" t="n">
        <v>5.53</v>
      </c>
      <c r="M4" s="32" t="n">
        <v>13.9</v>
      </c>
      <c r="N4" s="32" t="n">
        <v>4.78</v>
      </c>
      <c r="O4" s="32" t="n">
        <v>2.39</v>
      </c>
      <c r="P4" s="32" t="n">
        <v>4.64</v>
      </c>
      <c r="Q4" s="31" t="n">
        <v>0.228</v>
      </c>
      <c r="R4" s="31" t="n">
        <v>22.8</v>
      </c>
      <c r="S4" s="31" t="n">
        <v>0.914</v>
      </c>
      <c r="T4" s="31" t="n">
        <v>914</v>
      </c>
      <c r="U4" s="31" t="n">
        <f aca="false">2*L4*P4</f>
        <v>51.3184</v>
      </c>
      <c r="V4" s="0" t="n">
        <f aca="false">0.01*U4</f>
        <v>0.513184</v>
      </c>
      <c r="W4" s="22" t="n">
        <v>0.316</v>
      </c>
      <c r="X4" s="22" t="n">
        <v>0.342</v>
      </c>
      <c r="Y4" s="0" t="n">
        <v>9.3</v>
      </c>
      <c r="Z4" s="0" t="n">
        <f aca="false">2*L4</f>
        <v>11.06</v>
      </c>
      <c r="AA4" s="0" t="n">
        <f aca="false">0.5*(Z4-Y4)</f>
        <v>0.88</v>
      </c>
    </row>
    <row r="5" customFormat="false" ht="14.4" hidden="false" customHeight="false" outlineLevel="0" collapsed="false">
      <c r="A5" s="31" t="s">
        <v>154</v>
      </c>
      <c r="B5" s="31" t="s">
        <v>151</v>
      </c>
      <c r="C5" s="31" t="n">
        <v>90</v>
      </c>
      <c r="D5" s="31" t="s">
        <v>33</v>
      </c>
      <c r="E5" s="31" t="n">
        <v>69</v>
      </c>
      <c r="F5" s="31" t="s">
        <v>44</v>
      </c>
      <c r="G5" s="31" t="n">
        <v>4.01</v>
      </c>
      <c r="H5" s="31" t="n">
        <v>40.1</v>
      </c>
      <c r="I5" s="32" t="n">
        <v>19.3</v>
      </c>
      <c r="J5" s="311" t="n">
        <v>8.1</v>
      </c>
      <c r="K5" s="311" t="n">
        <v>4.78</v>
      </c>
      <c r="L5" s="32" t="n">
        <v>5.53</v>
      </c>
      <c r="M5" s="32" t="n">
        <v>13.9</v>
      </c>
      <c r="N5" s="32" t="n">
        <v>4.78</v>
      </c>
      <c r="O5" s="32" t="n">
        <v>2.39</v>
      </c>
      <c r="P5" s="32" t="n">
        <v>4.64</v>
      </c>
      <c r="Q5" s="31" t="n">
        <v>0.228</v>
      </c>
      <c r="R5" s="31" t="n">
        <v>22.8</v>
      </c>
      <c r="S5" s="31" t="n">
        <v>0.914</v>
      </c>
      <c r="T5" s="31" t="n">
        <v>914</v>
      </c>
      <c r="U5" s="31" t="n">
        <f aca="false">2*L5*P5</f>
        <v>51.3184</v>
      </c>
      <c r="V5" s="0" t="n">
        <f aca="false">0.01*U5</f>
        <v>0.513184</v>
      </c>
      <c r="W5" s="22" t="n">
        <v>0.316</v>
      </c>
      <c r="X5" s="22" t="n">
        <v>0.342</v>
      </c>
      <c r="Y5" s="0" t="n">
        <v>9.3</v>
      </c>
      <c r="Z5" s="0" t="n">
        <f aca="false">2*L5</f>
        <v>11.06</v>
      </c>
      <c r="AA5" s="0" t="n">
        <f aca="false">0.5*(Z5-Y5)</f>
        <v>0.88</v>
      </c>
    </row>
    <row r="6" customFormat="false" ht="14.4" hidden="false" customHeight="false" outlineLevel="0" collapsed="false">
      <c r="A6" s="31" t="s">
        <v>155</v>
      </c>
      <c r="B6" s="31" t="s">
        <v>156</v>
      </c>
      <c r="C6" s="31" t="n">
        <v>26</v>
      </c>
      <c r="D6" s="31" t="s">
        <v>33</v>
      </c>
      <c r="E6" s="31" t="n">
        <v>39</v>
      </c>
      <c r="F6" s="31" t="s">
        <v>44</v>
      </c>
      <c r="G6" s="31" t="n">
        <v>4.85</v>
      </c>
      <c r="H6" s="31" t="n">
        <v>48.5</v>
      </c>
      <c r="I6" s="32" t="n">
        <v>25.4</v>
      </c>
      <c r="J6" s="311" t="n">
        <v>9.53</v>
      </c>
      <c r="K6" s="311" t="n">
        <v>6.35</v>
      </c>
      <c r="L6" s="32" t="n">
        <v>6.22</v>
      </c>
      <c r="M6" s="32" t="n">
        <v>18.7</v>
      </c>
      <c r="N6" s="32" t="n">
        <v>6.35</v>
      </c>
      <c r="O6" s="32" t="n">
        <v>3.18</v>
      </c>
      <c r="P6" s="32" t="n">
        <v>6.24</v>
      </c>
      <c r="Q6" s="31" t="n">
        <v>0.385</v>
      </c>
      <c r="R6" s="31" t="n">
        <v>38.5</v>
      </c>
      <c r="S6" s="34" t="n">
        <v>1.87</v>
      </c>
      <c r="T6" s="31" t="n">
        <v>1870</v>
      </c>
      <c r="U6" s="31" t="n">
        <f aca="false">2*L6*P6</f>
        <v>77.6256</v>
      </c>
      <c r="V6" s="0" t="n">
        <f aca="false">0.01*U6</f>
        <v>0.776256</v>
      </c>
      <c r="W6" s="22" t="n">
        <v>0.406</v>
      </c>
      <c r="X6" s="22" t="n">
        <v>0.51</v>
      </c>
      <c r="Y6" s="0" t="n">
        <v>10.57</v>
      </c>
      <c r="Z6" s="0" t="n">
        <f aca="false">2*L6</f>
        <v>12.44</v>
      </c>
      <c r="AA6" s="0" t="n">
        <f aca="false">0.5*(Z6-Y6)</f>
        <v>0.935</v>
      </c>
    </row>
    <row r="7" customFormat="false" ht="14.4" hidden="false" customHeight="false" outlineLevel="0" collapsed="false">
      <c r="A7" s="31" t="s">
        <v>157</v>
      </c>
      <c r="B7" s="31" t="s">
        <v>156</v>
      </c>
      <c r="C7" s="31" t="n">
        <v>40</v>
      </c>
      <c r="D7" s="31" t="s">
        <v>33</v>
      </c>
      <c r="E7" s="31" t="n">
        <v>52</v>
      </c>
      <c r="F7" s="31" t="s">
        <v>44</v>
      </c>
      <c r="G7" s="31" t="n">
        <v>4.85</v>
      </c>
      <c r="H7" s="31" t="n">
        <v>48.5</v>
      </c>
      <c r="I7" s="32" t="n">
        <v>25.4</v>
      </c>
      <c r="J7" s="311" t="n">
        <v>9.53</v>
      </c>
      <c r="K7" s="311" t="n">
        <v>6.35</v>
      </c>
      <c r="L7" s="32" t="n">
        <v>6.22</v>
      </c>
      <c r="M7" s="32" t="n">
        <v>18.7</v>
      </c>
      <c r="N7" s="32" t="n">
        <v>6.35</v>
      </c>
      <c r="O7" s="32" t="n">
        <v>3.18</v>
      </c>
      <c r="P7" s="32" t="n">
        <v>6.24</v>
      </c>
      <c r="Q7" s="31" t="n">
        <v>0.385</v>
      </c>
      <c r="R7" s="31" t="n">
        <v>38.5</v>
      </c>
      <c r="S7" s="34" t="n">
        <v>1.87</v>
      </c>
      <c r="T7" s="31" t="n">
        <v>1870</v>
      </c>
      <c r="U7" s="31" t="n">
        <f aca="false">2*L7*P7</f>
        <v>77.6256</v>
      </c>
      <c r="V7" s="0" t="n">
        <f aca="false">0.01*U7</f>
        <v>0.776256</v>
      </c>
      <c r="W7" s="22" t="n">
        <v>0.406</v>
      </c>
      <c r="X7" s="22" t="n">
        <v>0.51</v>
      </c>
      <c r="Y7" s="0" t="n">
        <v>10.57</v>
      </c>
      <c r="Z7" s="0" t="n">
        <f aca="false">2*L7</f>
        <v>12.44</v>
      </c>
      <c r="AA7" s="0" t="n">
        <f aca="false">0.5*(Z7-Y7)</f>
        <v>0.935</v>
      </c>
    </row>
    <row r="8" customFormat="false" ht="14.4" hidden="false" customHeight="false" outlineLevel="0" collapsed="false">
      <c r="A8" s="31" t="s">
        <v>158</v>
      </c>
      <c r="B8" s="31" t="s">
        <v>156</v>
      </c>
      <c r="C8" s="31" t="n">
        <v>60</v>
      </c>
      <c r="D8" s="31" t="s">
        <v>33</v>
      </c>
      <c r="E8" s="31" t="n">
        <v>70</v>
      </c>
      <c r="F8" s="31" t="s">
        <v>44</v>
      </c>
      <c r="G8" s="31" t="n">
        <v>4.85</v>
      </c>
      <c r="H8" s="31" t="n">
        <v>48.5</v>
      </c>
      <c r="I8" s="32" t="n">
        <v>25.4</v>
      </c>
      <c r="J8" s="311" t="n">
        <v>9.53</v>
      </c>
      <c r="K8" s="311" t="n">
        <v>6.35</v>
      </c>
      <c r="L8" s="32" t="n">
        <v>6.22</v>
      </c>
      <c r="M8" s="32" t="n">
        <v>18.7</v>
      </c>
      <c r="N8" s="32" t="n">
        <v>6.35</v>
      </c>
      <c r="O8" s="32" t="n">
        <v>3.18</v>
      </c>
      <c r="P8" s="32" t="n">
        <v>6.24</v>
      </c>
      <c r="Q8" s="31" t="n">
        <v>0.385</v>
      </c>
      <c r="R8" s="31" t="n">
        <v>38.5</v>
      </c>
      <c r="S8" s="34" t="n">
        <v>1.87</v>
      </c>
      <c r="T8" s="31" t="n">
        <v>1870</v>
      </c>
      <c r="U8" s="31" t="n">
        <f aca="false">2*L8*P8</f>
        <v>77.6256</v>
      </c>
      <c r="V8" s="0" t="n">
        <f aca="false">0.01*U8</f>
        <v>0.776256</v>
      </c>
      <c r="W8" s="22" t="n">
        <v>0.406</v>
      </c>
      <c r="X8" s="22" t="n">
        <v>0.51</v>
      </c>
      <c r="Y8" s="0" t="n">
        <v>10.57</v>
      </c>
      <c r="Z8" s="0" t="n">
        <f aca="false">2*L8</f>
        <v>12.44</v>
      </c>
      <c r="AA8" s="0" t="n">
        <f aca="false">0.5*(Z8-Y8)</f>
        <v>0.935</v>
      </c>
    </row>
    <row r="9" customFormat="false" ht="14.4" hidden="false" customHeight="false" outlineLevel="0" collapsed="false">
      <c r="A9" s="31" t="s">
        <v>159</v>
      </c>
      <c r="B9" s="31" t="s">
        <v>156</v>
      </c>
      <c r="C9" s="31" t="n">
        <v>90</v>
      </c>
      <c r="D9" s="31" t="s">
        <v>33</v>
      </c>
      <c r="E9" s="31" t="n">
        <v>100</v>
      </c>
      <c r="F9" s="31" t="s">
        <v>44</v>
      </c>
      <c r="G9" s="31" t="n">
        <v>4.85</v>
      </c>
      <c r="H9" s="31" t="n">
        <v>48.5</v>
      </c>
      <c r="I9" s="32" t="n">
        <v>25.4</v>
      </c>
      <c r="J9" s="311" t="n">
        <v>9.53</v>
      </c>
      <c r="K9" s="311" t="n">
        <v>6.35</v>
      </c>
      <c r="L9" s="32" t="n">
        <v>6.22</v>
      </c>
      <c r="M9" s="32" t="n">
        <v>18.7</v>
      </c>
      <c r="N9" s="32" t="n">
        <v>6.35</v>
      </c>
      <c r="O9" s="32" t="n">
        <v>3.18</v>
      </c>
      <c r="P9" s="32" t="n">
        <v>6.24</v>
      </c>
      <c r="Q9" s="31" t="n">
        <v>0.385</v>
      </c>
      <c r="R9" s="31" t="n">
        <v>38.5</v>
      </c>
      <c r="S9" s="34" t="n">
        <v>1.87</v>
      </c>
      <c r="T9" s="31" t="n">
        <v>1870</v>
      </c>
      <c r="U9" s="31" t="n">
        <f aca="false">2*L9*P9</f>
        <v>77.6256</v>
      </c>
      <c r="V9" s="0" t="n">
        <f aca="false">0.01*U9</f>
        <v>0.776256</v>
      </c>
      <c r="W9" s="22" t="n">
        <v>0.406</v>
      </c>
      <c r="X9" s="22" t="n">
        <v>0.51</v>
      </c>
      <c r="Y9" s="0" t="n">
        <v>10.57</v>
      </c>
      <c r="Z9" s="0" t="n">
        <f aca="false">2*L9</f>
        <v>12.44</v>
      </c>
      <c r="AA9" s="0" t="n">
        <f aca="false">0.5*(Z9-Y9)</f>
        <v>0.935</v>
      </c>
    </row>
    <row r="10" customFormat="false" ht="14.4" hidden="false" customHeight="false" outlineLevel="0" collapsed="false">
      <c r="A10" s="31" t="s">
        <v>160</v>
      </c>
      <c r="B10" s="31" t="s">
        <v>161</v>
      </c>
      <c r="C10" s="31" t="n">
        <v>26</v>
      </c>
      <c r="D10" s="31" t="s">
        <v>33</v>
      </c>
      <c r="E10" s="31" t="n">
        <v>33</v>
      </c>
      <c r="F10" s="31" t="s">
        <v>44</v>
      </c>
      <c r="G10" s="31" t="n">
        <v>6.56</v>
      </c>
      <c r="H10" s="31" t="n">
        <v>65.6</v>
      </c>
      <c r="I10" s="32" t="n">
        <v>30.1</v>
      </c>
      <c r="J10" s="311" t="n">
        <v>15</v>
      </c>
      <c r="K10" s="311" t="n">
        <v>7.06</v>
      </c>
      <c r="L10" s="32" t="n">
        <v>9.55</v>
      </c>
      <c r="M10" s="32" t="n">
        <v>19.8</v>
      </c>
      <c r="N10" s="32" t="n">
        <v>6.96</v>
      </c>
      <c r="O10" s="32" t="n">
        <v>5.11</v>
      </c>
      <c r="P10" s="32" t="n">
        <v>6.32</v>
      </c>
      <c r="Q10" s="31" t="n">
        <v>0.601</v>
      </c>
      <c r="R10" s="31" t="n">
        <v>60.1</v>
      </c>
      <c r="S10" s="34" t="n">
        <v>3.94</v>
      </c>
      <c r="T10" s="31" t="n">
        <v>3940</v>
      </c>
      <c r="U10" s="31" t="n">
        <f aca="false">2*L10*P10</f>
        <v>120.712</v>
      </c>
      <c r="V10" s="0" t="n">
        <f aca="false">0.01*U10</f>
        <v>1.20712</v>
      </c>
      <c r="W10" s="22" t="n">
        <v>0.833</v>
      </c>
      <c r="X10" s="22" t="n">
        <f aca="false">W10</f>
        <v>0.833</v>
      </c>
      <c r="Y10" s="0" t="n">
        <v>17.27</v>
      </c>
      <c r="Z10" s="0" t="n">
        <f aca="false">2*L10</f>
        <v>19.1</v>
      </c>
      <c r="AA10" s="0" t="n">
        <f aca="false">0.5*(Z10-Y10)</f>
        <v>0.915000000000001</v>
      </c>
    </row>
    <row r="11" customFormat="false" ht="14.4" hidden="false" customHeight="false" outlineLevel="0" collapsed="false">
      <c r="A11" s="31" t="s">
        <v>162</v>
      </c>
      <c r="B11" s="31" t="s">
        <v>161</v>
      </c>
      <c r="C11" s="31" t="n">
        <v>40</v>
      </c>
      <c r="D11" s="31" t="s">
        <v>33</v>
      </c>
      <c r="E11" s="31" t="n">
        <v>46</v>
      </c>
      <c r="F11" s="31" t="s">
        <v>44</v>
      </c>
      <c r="G11" s="31" t="n">
        <v>6.56</v>
      </c>
      <c r="H11" s="31" t="n">
        <v>65.6</v>
      </c>
      <c r="I11" s="32" t="n">
        <v>30.1</v>
      </c>
      <c r="J11" s="311" t="n">
        <v>15</v>
      </c>
      <c r="K11" s="311" t="n">
        <v>7.06</v>
      </c>
      <c r="L11" s="32" t="n">
        <v>9.55</v>
      </c>
      <c r="M11" s="32" t="n">
        <v>19.8</v>
      </c>
      <c r="N11" s="32" t="n">
        <v>6.96</v>
      </c>
      <c r="O11" s="32" t="n">
        <v>5.11</v>
      </c>
      <c r="P11" s="32" t="n">
        <v>6.32</v>
      </c>
      <c r="Q11" s="31" t="n">
        <v>0.601</v>
      </c>
      <c r="R11" s="31" t="n">
        <v>60.1</v>
      </c>
      <c r="S11" s="34" t="n">
        <v>3.94</v>
      </c>
      <c r="T11" s="31" t="n">
        <v>3940</v>
      </c>
      <c r="U11" s="31" t="n">
        <f aca="false">2*L11*P11</f>
        <v>120.712</v>
      </c>
      <c r="V11" s="0" t="n">
        <f aca="false">0.01*U11</f>
        <v>1.20712</v>
      </c>
      <c r="W11" s="22" t="n">
        <v>0.833</v>
      </c>
      <c r="X11" s="22" t="n">
        <f aca="false">W11</f>
        <v>0.833</v>
      </c>
      <c r="Y11" s="0" t="n">
        <v>17.27</v>
      </c>
      <c r="Z11" s="0" t="n">
        <f aca="false">2*L11</f>
        <v>19.1</v>
      </c>
      <c r="AA11" s="0" t="n">
        <f aca="false">0.5*(Z11-Y11)</f>
        <v>0.915000000000001</v>
      </c>
    </row>
    <row r="12" customFormat="false" ht="14.4" hidden="false" customHeight="false" outlineLevel="0" collapsed="false">
      <c r="A12" s="31" t="s">
        <v>163</v>
      </c>
      <c r="B12" s="31" t="s">
        <v>161</v>
      </c>
      <c r="C12" s="31" t="n">
        <v>60</v>
      </c>
      <c r="D12" s="31" t="s">
        <v>33</v>
      </c>
      <c r="E12" s="31" t="n">
        <v>71</v>
      </c>
      <c r="F12" s="31" t="s">
        <v>44</v>
      </c>
      <c r="G12" s="31" t="n">
        <v>6.56</v>
      </c>
      <c r="H12" s="31" t="n">
        <v>65.6</v>
      </c>
      <c r="I12" s="32" t="n">
        <v>30.1</v>
      </c>
      <c r="J12" s="311" t="n">
        <v>15</v>
      </c>
      <c r="K12" s="311" t="n">
        <v>7.06</v>
      </c>
      <c r="L12" s="32" t="n">
        <v>9.55</v>
      </c>
      <c r="M12" s="32" t="n">
        <v>19.8</v>
      </c>
      <c r="N12" s="32" t="n">
        <v>6.96</v>
      </c>
      <c r="O12" s="32" t="n">
        <v>5.11</v>
      </c>
      <c r="P12" s="32" t="n">
        <v>6.32</v>
      </c>
      <c r="Q12" s="31" t="n">
        <v>0.601</v>
      </c>
      <c r="R12" s="31" t="n">
        <v>60.1</v>
      </c>
      <c r="S12" s="34" t="n">
        <v>3.94</v>
      </c>
      <c r="T12" s="31" t="n">
        <v>3940</v>
      </c>
      <c r="U12" s="31" t="n">
        <f aca="false">2*L12*P12</f>
        <v>120.712</v>
      </c>
      <c r="V12" s="0" t="n">
        <f aca="false">0.01*U12</f>
        <v>1.20712</v>
      </c>
      <c r="W12" s="22" t="n">
        <v>0.833</v>
      </c>
      <c r="X12" s="22" t="n">
        <f aca="false">W12</f>
        <v>0.833</v>
      </c>
      <c r="Y12" s="0" t="n">
        <v>17.27</v>
      </c>
      <c r="Z12" s="0" t="n">
        <f aca="false">2*L12</f>
        <v>19.1</v>
      </c>
      <c r="AA12" s="0" t="n">
        <f aca="false">0.5*(Z12-Y12)</f>
        <v>0.915000000000001</v>
      </c>
    </row>
    <row r="13" customFormat="false" ht="14.4" hidden="false" customHeight="false" outlineLevel="0" collapsed="false">
      <c r="A13" s="31" t="s">
        <v>164</v>
      </c>
      <c r="B13" s="31" t="s">
        <v>161</v>
      </c>
      <c r="C13" s="31" t="n">
        <v>90</v>
      </c>
      <c r="D13" s="31" t="s">
        <v>33</v>
      </c>
      <c r="E13" s="31" t="n">
        <v>92</v>
      </c>
      <c r="F13" s="31" t="s">
        <v>44</v>
      </c>
      <c r="G13" s="31" t="n">
        <v>6.56</v>
      </c>
      <c r="H13" s="31" t="n">
        <v>65.6</v>
      </c>
      <c r="I13" s="32" t="n">
        <v>30.1</v>
      </c>
      <c r="J13" s="311" t="n">
        <v>15</v>
      </c>
      <c r="K13" s="311" t="n">
        <v>7.06</v>
      </c>
      <c r="L13" s="32" t="n">
        <v>9.55</v>
      </c>
      <c r="M13" s="32" t="n">
        <v>19.8</v>
      </c>
      <c r="N13" s="32" t="n">
        <v>6.96</v>
      </c>
      <c r="O13" s="32" t="n">
        <v>5.11</v>
      </c>
      <c r="P13" s="32" t="n">
        <v>6.32</v>
      </c>
      <c r="Q13" s="31" t="n">
        <v>0.601</v>
      </c>
      <c r="R13" s="31" t="n">
        <v>60.1</v>
      </c>
      <c r="S13" s="34" t="n">
        <v>3.94</v>
      </c>
      <c r="T13" s="31" t="n">
        <v>3940</v>
      </c>
      <c r="U13" s="31" t="n">
        <f aca="false">2*L13*P13</f>
        <v>120.712</v>
      </c>
      <c r="V13" s="0" t="n">
        <f aca="false">0.01*U13</f>
        <v>1.20712</v>
      </c>
      <c r="W13" s="22" t="n">
        <v>0.833</v>
      </c>
      <c r="X13" s="22" t="n">
        <f aca="false">W13</f>
        <v>0.833</v>
      </c>
      <c r="Y13" s="0" t="n">
        <v>17.27</v>
      </c>
      <c r="Z13" s="0" t="n">
        <f aca="false">2*L13</f>
        <v>19.1</v>
      </c>
      <c r="AA13" s="0" t="n">
        <f aca="false">0.5*(Z13-Y13)</f>
        <v>0.915000000000001</v>
      </c>
    </row>
    <row r="14" customFormat="false" ht="14.4" hidden="false" customHeight="false" outlineLevel="0" collapsed="false">
      <c r="A14" s="31" t="s">
        <v>170</v>
      </c>
      <c r="B14" s="31" t="s">
        <v>171</v>
      </c>
      <c r="C14" s="31" t="n">
        <v>26</v>
      </c>
      <c r="D14" s="31" t="s">
        <v>33</v>
      </c>
      <c r="E14" s="31" t="n">
        <v>56</v>
      </c>
      <c r="F14" s="31" t="s">
        <v>44</v>
      </c>
      <c r="G14" s="31" t="n">
        <v>6.94</v>
      </c>
      <c r="H14" s="31" t="n">
        <v>69.4</v>
      </c>
      <c r="I14" s="32" t="n">
        <v>34.54</v>
      </c>
      <c r="J14" s="32" t="n">
        <v>14.2</v>
      </c>
      <c r="K14" s="32" t="n">
        <v>9.35</v>
      </c>
      <c r="L14" s="32" t="n">
        <v>9.6</v>
      </c>
      <c r="M14" s="32" t="n">
        <v>25.2</v>
      </c>
      <c r="N14" s="32" t="n">
        <v>9.32</v>
      </c>
      <c r="O14" s="32" t="n">
        <v>4.45</v>
      </c>
      <c r="P14" s="32" t="n">
        <v>7.87</v>
      </c>
      <c r="Q14" s="34" t="n">
        <v>0.84</v>
      </c>
      <c r="R14" s="33" t="n">
        <v>84</v>
      </c>
      <c r="S14" s="34" t="n">
        <v>5.83</v>
      </c>
      <c r="T14" s="31" t="n">
        <v>5830</v>
      </c>
      <c r="U14" s="31" t="n">
        <f aca="false">2*L14*P14</f>
        <v>151.104</v>
      </c>
      <c r="V14" s="0" t="n">
        <f aca="false">0.01*U14</f>
        <v>1.51104</v>
      </c>
      <c r="W14" s="22" t="n">
        <v>0.948</v>
      </c>
      <c r="X14" s="22" t="n">
        <v>1.13</v>
      </c>
      <c r="Y14" s="0" t="n">
        <v>16.59</v>
      </c>
      <c r="Z14" s="0" t="n">
        <f aca="false">2*L14</f>
        <v>19.2</v>
      </c>
      <c r="AA14" s="0" t="n">
        <f aca="false">0.5*(Z14-Y14)</f>
        <v>1.305</v>
      </c>
    </row>
    <row r="15" customFormat="false" ht="14.4" hidden="false" customHeight="false" outlineLevel="0" collapsed="false">
      <c r="A15" s="31" t="s">
        <v>172</v>
      </c>
      <c r="B15" s="31" t="s">
        <v>171</v>
      </c>
      <c r="C15" s="31" t="n">
        <v>40</v>
      </c>
      <c r="D15" s="31" t="s">
        <v>33</v>
      </c>
      <c r="E15" s="31" t="n">
        <v>75</v>
      </c>
      <c r="F15" s="31" t="s">
        <v>44</v>
      </c>
      <c r="G15" s="31" t="n">
        <v>6.94</v>
      </c>
      <c r="H15" s="31" t="n">
        <v>69.4</v>
      </c>
      <c r="I15" s="32" t="n">
        <v>34.54</v>
      </c>
      <c r="J15" s="32" t="n">
        <v>14.2</v>
      </c>
      <c r="K15" s="32" t="n">
        <v>9.35</v>
      </c>
      <c r="L15" s="32" t="n">
        <v>9.6</v>
      </c>
      <c r="M15" s="32" t="n">
        <v>25.2</v>
      </c>
      <c r="N15" s="32" t="n">
        <v>9.32</v>
      </c>
      <c r="O15" s="32" t="n">
        <v>4.45</v>
      </c>
      <c r="P15" s="32" t="n">
        <v>7.87</v>
      </c>
      <c r="Q15" s="34" t="n">
        <v>0.84</v>
      </c>
      <c r="R15" s="33" t="n">
        <v>84</v>
      </c>
      <c r="S15" s="34" t="n">
        <v>5.83</v>
      </c>
      <c r="T15" s="31" t="n">
        <v>5830</v>
      </c>
      <c r="U15" s="31" t="n">
        <f aca="false">2*L15*P15</f>
        <v>151.104</v>
      </c>
      <c r="V15" s="0" t="n">
        <f aca="false">0.01*U15</f>
        <v>1.51104</v>
      </c>
      <c r="W15" s="22" t="n">
        <v>0.948</v>
      </c>
      <c r="X15" s="22" t="n">
        <v>1.13</v>
      </c>
      <c r="Y15" s="0" t="n">
        <v>16.59</v>
      </c>
      <c r="Z15" s="0" t="n">
        <f aca="false">2*L15</f>
        <v>19.2</v>
      </c>
      <c r="AA15" s="0" t="n">
        <f aca="false">0.5*(Z15-Y15)</f>
        <v>1.305</v>
      </c>
    </row>
    <row r="16" customFormat="false" ht="14.4" hidden="false" customHeight="false" outlineLevel="0" collapsed="false">
      <c r="A16" s="31" t="s">
        <v>173</v>
      </c>
      <c r="B16" s="31" t="s">
        <v>171</v>
      </c>
      <c r="C16" s="31" t="n">
        <v>60</v>
      </c>
      <c r="D16" s="31" t="s">
        <v>33</v>
      </c>
      <c r="E16" s="31" t="n">
        <v>102</v>
      </c>
      <c r="F16" s="31" t="s">
        <v>44</v>
      </c>
      <c r="G16" s="31" t="n">
        <v>6.94</v>
      </c>
      <c r="H16" s="31" t="n">
        <v>69.4</v>
      </c>
      <c r="I16" s="32" t="n">
        <v>34.54</v>
      </c>
      <c r="J16" s="32" t="n">
        <v>14.2</v>
      </c>
      <c r="K16" s="32" t="n">
        <v>9.35</v>
      </c>
      <c r="L16" s="32" t="n">
        <v>9.6</v>
      </c>
      <c r="M16" s="32" t="n">
        <v>25.2</v>
      </c>
      <c r="N16" s="32" t="n">
        <v>9.32</v>
      </c>
      <c r="O16" s="32" t="n">
        <v>4.45</v>
      </c>
      <c r="P16" s="32" t="n">
        <v>7.87</v>
      </c>
      <c r="Q16" s="34" t="n">
        <v>0.84</v>
      </c>
      <c r="R16" s="33" t="n">
        <v>84</v>
      </c>
      <c r="S16" s="34" t="n">
        <v>5.83</v>
      </c>
      <c r="T16" s="31" t="n">
        <v>5830</v>
      </c>
      <c r="U16" s="31" t="n">
        <f aca="false">2*L16*P16</f>
        <v>151.104</v>
      </c>
      <c r="V16" s="0" t="n">
        <f aca="false">0.01*U16</f>
        <v>1.51104</v>
      </c>
      <c r="W16" s="22" t="n">
        <v>0.948</v>
      </c>
      <c r="X16" s="22" t="n">
        <v>1.13</v>
      </c>
      <c r="Y16" s="0" t="n">
        <v>16.59</v>
      </c>
      <c r="Z16" s="0" t="n">
        <f aca="false">2*L16</f>
        <v>19.2</v>
      </c>
      <c r="AA16" s="0" t="n">
        <f aca="false">0.5*(Z16-Y16)</f>
        <v>1.305</v>
      </c>
    </row>
    <row r="17" customFormat="false" ht="14.4" hidden="false" customHeight="false" outlineLevel="0" collapsed="false">
      <c r="A17" s="31" t="s">
        <v>174</v>
      </c>
      <c r="B17" s="31" t="s">
        <v>171</v>
      </c>
      <c r="C17" s="31" t="n">
        <v>90</v>
      </c>
      <c r="D17" s="31" t="s">
        <v>33</v>
      </c>
      <c r="E17" s="31" t="n">
        <v>146</v>
      </c>
      <c r="F17" s="31" t="s">
        <v>44</v>
      </c>
      <c r="G17" s="31" t="n">
        <v>6.94</v>
      </c>
      <c r="H17" s="31" t="n">
        <v>69.4</v>
      </c>
      <c r="I17" s="32" t="n">
        <v>34.54</v>
      </c>
      <c r="J17" s="32" t="n">
        <v>14.2</v>
      </c>
      <c r="K17" s="32" t="n">
        <v>9.35</v>
      </c>
      <c r="L17" s="32" t="n">
        <v>9.6</v>
      </c>
      <c r="M17" s="32" t="n">
        <v>25.2</v>
      </c>
      <c r="N17" s="32" t="n">
        <v>9.32</v>
      </c>
      <c r="O17" s="32" t="n">
        <v>4.45</v>
      </c>
      <c r="P17" s="32" t="n">
        <v>7.87</v>
      </c>
      <c r="Q17" s="34" t="n">
        <v>0.84</v>
      </c>
      <c r="R17" s="33" t="n">
        <v>84</v>
      </c>
      <c r="S17" s="34" t="n">
        <v>5.83</v>
      </c>
      <c r="T17" s="31" t="n">
        <v>5830</v>
      </c>
      <c r="U17" s="31" t="n">
        <f aca="false">2*L17*P17</f>
        <v>151.104</v>
      </c>
      <c r="V17" s="0" t="n">
        <f aca="false">0.01*U17</f>
        <v>1.51104</v>
      </c>
      <c r="W17" s="22" t="n">
        <v>0.948</v>
      </c>
      <c r="X17" s="22" t="n">
        <v>1.13</v>
      </c>
      <c r="Y17" s="0" t="n">
        <v>16.59</v>
      </c>
      <c r="Z17" s="0" t="n">
        <f aca="false">2*L17</f>
        <v>19.2</v>
      </c>
      <c r="AA17" s="0" t="n">
        <f aca="false">0.5*(Z17-Y17)</f>
        <v>1.305</v>
      </c>
    </row>
    <row r="18" customFormat="false" ht="14.4" hidden="false" customHeight="false" outlineLevel="0" collapsed="false">
      <c r="A18" s="31" t="s">
        <v>175</v>
      </c>
      <c r="B18" s="31" t="s">
        <v>176</v>
      </c>
      <c r="C18" s="31" t="n">
        <v>26</v>
      </c>
      <c r="D18" s="31" t="s">
        <v>33</v>
      </c>
      <c r="E18" s="31" t="n">
        <v>56</v>
      </c>
      <c r="F18" s="31" t="s">
        <v>44</v>
      </c>
      <c r="G18" s="31" t="n">
        <v>9.84</v>
      </c>
      <c r="H18" s="31" t="n">
        <v>98.4</v>
      </c>
      <c r="I18" s="32" t="n">
        <v>42.85</v>
      </c>
      <c r="J18" s="32" t="n">
        <v>21.1</v>
      </c>
      <c r="K18" s="32" t="n">
        <v>10.8</v>
      </c>
      <c r="L18" s="32" t="n">
        <v>14.9</v>
      </c>
      <c r="M18" s="32" t="n">
        <v>30.35</v>
      </c>
      <c r="N18" s="32" t="n">
        <v>11.9</v>
      </c>
      <c r="O18" s="32" t="n">
        <v>5.94</v>
      </c>
      <c r="P18" s="32" t="n">
        <v>9.27</v>
      </c>
      <c r="Q18" s="31" t="n">
        <v>1.28</v>
      </c>
      <c r="R18" s="31" t="n">
        <v>128</v>
      </c>
      <c r="S18" s="31" t="n">
        <v>12.6</v>
      </c>
      <c r="T18" s="31" t="n">
        <v>12600</v>
      </c>
      <c r="U18" s="31" t="n">
        <f aca="false">2*L18*P18</f>
        <v>276.246</v>
      </c>
      <c r="V18" s="0" t="n">
        <f aca="false">0.01*U18</f>
        <v>2.76246</v>
      </c>
      <c r="W18" s="22" t="n">
        <f aca="false">V18*0.7</f>
        <v>1.933722</v>
      </c>
      <c r="X18" s="22" t="n">
        <f aca="false">V18*0.7</f>
        <v>1.933722</v>
      </c>
      <c r="Y18" s="0" t="n">
        <f aca="false">0.85*Z18</f>
        <v>25.33</v>
      </c>
      <c r="Z18" s="0" t="n">
        <f aca="false">2*L18</f>
        <v>29.8</v>
      </c>
      <c r="AA18" s="0" t="n">
        <f aca="false">0.5*(Z18-Y18)</f>
        <v>2.235</v>
      </c>
    </row>
    <row r="19" customFormat="false" ht="14.4" hidden="false" customHeight="false" outlineLevel="0" collapsed="false">
      <c r="A19" s="31" t="s">
        <v>177</v>
      </c>
      <c r="B19" s="31" t="s">
        <v>176</v>
      </c>
      <c r="C19" s="31" t="n">
        <v>40</v>
      </c>
      <c r="D19" s="31" t="s">
        <v>33</v>
      </c>
      <c r="E19" s="31" t="n">
        <v>76</v>
      </c>
      <c r="F19" s="31" t="s">
        <v>44</v>
      </c>
      <c r="G19" s="31" t="n">
        <v>9.84</v>
      </c>
      <c r="H19" s="31" t="n">
        <v>98.4</v>
      </c>
      <c r="I19" s="32" t="n">
        <v>42.85</v>
      </c>
      <c r="J19" s="32" t="n">
        <v>21.1</v>
      </c>
      <c r="K19" s="32" t="n">
        <v>10.8</v>
      </c>
      <c r="L19" s="32" t="n">
        <v>14.9</v>
      </c>
      <c r="M19" s="32" t="n">
        <v>30.35</v>
      </c>
      <c r="N19" s="32" t="n">
        <v>11.9</v>
      </c>
      <c r="O19" s="32" t="n">
        <v>5.94</v>
      </c>
      <c r="P19" s="32" t="n">
        <v>9.27</v>
      </c>
      <c r="Q19" s="31" t="n">
        <v>1.28</v>
      </c>
      <c r="R19" s="31" t="n">
        <v>128</v>
      </c>
      <c r="S19" s="31" t="n">
        <v>12.6</v>
      </c>
      <c r="T19" s="31" t="n">
        <v>12600</v>
      </c>
      <c r="U19" s="31" t="n">
        <f aca="false">2*L19*P19</f>
        <v>276.246</v>
      </c>
      <c r="V19" s="0" t="n">
        <f aca="false">0.01*U19</f>
        <v>2.76246</v>
      </c>
      <c r="W19" s="22" t="n">
        <f aca="false">V19*0.7</f>
        <v>1.933722</v>
      </c>
      <c r="X19" s="22" t="n">
        <f aca="false">V19*0.7</f>
        <v>1.933722</v>
      </c>
      <c r="Y19" s="0" t="n">
        <f aca="false">0.85*Z19</f>
        <v>25.33</v>
      </c>
      <c r="Z19" s="0" t="n">
        <f aca="false">2*L19</f>
        <v>29.8</v>
      </c>
      <c r="AA19" s="0" t="n">
        <f aca="false">0.5*(Z19-Y19)</f>
        <v>2.235</v>
      </c>
    </row>
    <row r="20" customFormat="false" ht="14.4" hidden="false" customHeight="false" outlineLevel="0" collapsed="false">
      <c r="A20" s="31" t="s">
        <v>178</v>
      </c>
      <c r="B20" s="31" t="s">
        <v>176</v>
      </c>
      <c r="C20" s="31" t="n">
        <v>60</v>
      </c>
      <c r="D20" s="31" t="s">
        <v>33</v>
      </c>
      <c r="E20" s="31" t="n">
        <v>105</v>
      </c>
      <c r="F20" s="31" t="s">
        <v>44</v>
      </c>
      <c r="G20" s="31" t="n">
        <v>9.84</v>
      </c>
      <c r="H20" s="31" t="n">
        <v>98.4</v>
      </c>
      <c r="I20" s="32" t="n">
        <v>42.85</v>
      </c>
      <c r="J20" s="32" t="n">
        <v>21.1</v>
      </c>
      <c r="K20" s="32" t="n">
        <v>10.8</v>
      </c>
      <c r="L20" s="32" t="n">
        <v>14.9</v>
      </c>
      <c r="M20" s="32" t="n">
        <v>30.35</v>
      </c>
      <c r="N20" s="32" t="n">
        <v>11.9</v>
      </c>
      <c r="O20" s="32" t="n">
        <v>5.94</v>
      </c>
      <c r="P20" s="32" t="n">
        <v>9.27</v>
      </c>
      <c r="Q20" s="31" t="n">
        <v>1.28</v>
      </c>
      <c r="R20" s="31" t="n">
        <v>128</v>
      </c>
      <c r="S20" s="31" t="n">
        <v>12.6</v>
      </c>
      <c r="T20" s="31" t="n">
        <v>12600</v>
      </c>
      <c r="U20" s="31" t="n">
        <f aca="false">2*L20*P20</f>
        <v>276.246</v>
      </c>
      <c r="V20" s="0" t="n">
        <f aca="false">0.01*U20</f>
        <v>2.76246</v>
      </c>
      <c r="W20" s="22" t="n">
        <f aca="false">V20*0.7</f>
        <v>1.933722</v>
      </c>
      <c r="X20" s="22" t="n">
        <f aca="false">V20*0.7</f>
        <v>1.933722</v>
      </c>
      <c r="Y20" s="0" t="n">
        <f aca="false">0.85*Z20</f>
        <v>25.33</v>
      </c>
      <c r="Z20" s="0" t="n">
        <f aca="false">2*L20</f>
        <v>29.8</v>
      </c>
      <c r="AA20" s="0" t="n">
        <f aca="false">0.5*(Z20-Y20)</f>
        <v>2.235</v>
      </c>
    </row>
    <row r="21" customFormat="false" ht="14.4" hidden="false" customHeight="false" outlineLevel="0" collapsed="false">
      <c r="A21" s="31" t="s">
        <v>179</v>
      </c>
      <c r="B21" s="31" t="s">
        <v>176</v>
      </c>
      <c r="C21" s="31" t="n">
        <v>90</v>
      </c>
      <c r="D21" s="31" t="s">
        <v>33</v>
      </c>
      <c r="E21" s="31" t="n">
        <v>151</v>
      </c>
      <c r="F21" s="31" t="s">
        <v>44</v>
      </c>
      <c r="G21" s="31" t="n">
        <v>9.84</v>
      </c>
      <c r="H21" s="31" t="n">
        <v>98.4</v>
      </c>
      <c r="I21" s="32" t="n">
        <v>42.85</v>
      </c>
      <c r="J21" s="32" t="n">
        <v>21.1</v>
      </c>
      <c r="K21" s="32" t="n">
        <v>10.8</v>
      </c>
      <c r="L21" s="32" t="n">
        <v>14.9</v>
      </c>
      <c r="M21" s="32" t="n">
        <v>30.35</v>
      </c>
      <c r="N21" s="32" t="n">
        <v>11.9</v>
      </c>
      <c r="O21" s="32" t="n">
        <v>5.94</v>
      </c>
      <c r="P21" s="32" t="n">
        <v>9.27</v>
      </c>
      <c r="Q21" s="31" t="n">
        <v>1.28</v>
      </c>
      <c r="R21" s="31" t="n">
        <v>128</v>
      </c>
      <c r="S21" s="31" t="n">
        <v>12.6</v>
      </c>
      <c r="T21" s="31" t="n">
        <v>12600</v>
      </c>
      <c r="U21" s="31" t="n">
        <f aca="false">2*L21*P21</f>
        <v>276.246</v>
      </c>
      <c r="V21" s="0" t="n">
        <f aca="false">0.01*U21</f>
        <v>2.76246</v>
      </c>
      <c r="W21" s="22" t="n">
        <f aca="false">V21*0.7</f>
        <v>1.933722</v>
      </c>
      <c r="X21" s="22" t="n">
        <f aca="false">V21*0.7</f>
        <v>1.933722</v>
      </c>
      <c r="Y21" s="0" t="n">
        <f aca="false">0.85*Z21</f>
        <v>25.33</v>
      </c>
      <c r="Z21" s="0" t="n">
        <f aca="false">2*L21</f>
        <v>29.8</v>
      </c>
      <c r="AA21" s="0" t="n">
        <f aca="false">0.5*(Z21-Y21)</f>
        <v>2.235</v>
      </c>
    </row>
    <row r="22" customFormat="false" ht="14.4" hidden="false" customHeight="false" outlineLevel="0" collapsed="false">
      <c r="A22" s="31" t="s">
        <v>180</v>
      </c>
      <c r="B22" s="31" t="s">
        <v>181</v>
      </c>
      <c r="C22" s="31" t="n">
        <v>26</v>
      </c>
      <c r="D22" s="31" t="s">
        <v>33</v>
      </c>
      <c r="E22" s="31" t="n">
        <v>80</v>
      </c>
      <c r="F22" s="31" t="s">
        <v>44</v>
      </c>
      <c r="G22" s="31" t="n">
        <v>9.84</v>
      </c>
      <c r="H22" s="31" t="n">
        <v>98.4</v>
      </c>
      <c r="I22" s="32" t="n">
        <v>42.85</v>
      </c>
      <c r="J22" s="32" t="n">
        <v>21.1</v>
      </c>
      <c r="K22" s="32" t="n">
        <v>15.4</v>
      </c>
      <c r="L22" s="32" t="n">
        <v>14.9</v>
      </c>
      <c r="M22" s="32" t="n">
        <v>30.35</v>
      </c>
      <c r="N22" s="32" t="n">
        <v>11.9</v>
      </c>
      <c r="O22" s="32" t="n">
        <v>5.94</v>
      </c>
      <c r="P22" s="32" t="n">
        <v>9.27</v>
      </c>
      <c r="Q22" s="31" t="n">
        <v>1.83</v>
      </c>
      <c r="R22" s="31" t="n">
        <v>183</v>
      </c>
      <c r="S22" s="33" t="n">
        <v>18</v>
      </c>
      <c r="T22" s="31" t="n">
        <v>18000</v>
      </c>
      <c r="U22" s="31" t="n">
        <f aca="false">2*L22*P22</f>
        <v>276.246</v>
      </c>
      <c r="V22" s="0" t="n">
        <f aca="false">0.01*U22</f>
        <v>2.76246</v>
      </c>
      <c r="W22" s="22" t="n">
        <v>1.94</v>
      </c>
      <c r="X22" s="22" t="n">
        <v>2.07</v>
      </c>
      <c r="Y22" s="0" t="n">
        <v>25.9</v>
      </c>
      <c r="Z22" s="0" t="n">
        <f aca="false">2*L22</f>
        <v>29.8</v>
      </c>
      <c r="AA22" s="0" t="n">
        <f aca="false">0.5*(Z22-Y22)</f>
        <v>1.95</v>
      </c>
    </row>
    <row r="23" customFormat="false" ht="14.4" hidden="false" customHeight="false" outlineLevel="0" collapsed="false">
      <c r="A23" s="31" t="s">
        <v>182</v>
      </c>
      <c r="B23" s="31" t="s">
        <v>181</v>
      </c>
      <c r="C23" s="31" t="n">
        <v>40</v>
      </c>
      <c r="D23" s="31" t="s">
        <v>33</v>
      </c>
      <c r="E23" s="31" t="n">
        <v>108</v>
      </c>
      <c r="F23" s="31" t="s">
        <v>44</v>
      </c>
      <c r="G23" s="31" t="n">
        <v>9.84</v>
      </c>
      <c r="H23" s="31" t="n">
        <v>98.4</v>
      </c>
      <c r="I23" s="32" t="n">
        <v>42.85</v>
      </c>
      <c r="J23" s="32" t="n">
        <v>21.1</v>
      </c>
      <c r="K23" s="32" t="n">
        <v>15.4</v>
      </c>
      <c r="L23" s="32" t="n">
        <v>14.9</v>
      </c>
      <c r="M23" s="32" t="n">
        <v>30.35</v>
      </c>
      <c r="N23" s="32" t="n">
        <v>11.9</v>
      </c>
      <c r="O23" s="32" t="n">
        <v>5.94</v>
      </c>
      <c r="P23" s="32" t="n">
        <v>9.27</v>
      </c>
      <c r="Q23" s="31" t="n">
        <v>1.83</v>
      </c>
      <c r="R23" s="31" t="n">
        <v>183</v>
      </c>
      <c r="S23" s="33" t="n">
        <v>18</v>
      </c>
      <c r="T23" s="31" t="n">
        <v>18000</v>
      </c>
      <c r="U23" s="31" t="n">
        <f aca="false">2*L23*P23</f>
        <v>276.246</v>
      </c>
      <c r="V23" s="0" t="n">
        <f aca="false">0.01*U23</f>
        <v>2.76246</v>
      </c>
      <c r="W23" s="22" t="n">
        <v>1.94</v>
      </c>
      <c r="X23" s="22" t="n">
        <v>2.07</v>
      </c>
      <c r="Y23" s="0" t="n">
        <v>25.9</v>
      </c>
      <c r="Z23" s="0" t="n">
        <f aca="false">2*L23</f>
        <v>29.8</v>
      </c>
      <c r="AA23" s="0" t="n">
        <f aca="false">0.5*(Z23-Y23)</f>
        <v>1.95</v>
      </c>
    </row>
    <row r="24" customFormat="false" ht="14.4" hidden="false" customHeight="false" outlineLevel="0" collapsed="false">
      <c r="A24" s="31" t="s">
        <v>183</v>
      </c>
      <c r="B24" s="31" t="s">
        <v>181</v>
      </c>
      <c r="C24" s="31" t="n">
        <v>60</v>
      </c>
      <c r="D24" s="31" t="s">
        <v>33</v>
      </c>
      <c r="E24" s="31" t="n">
        <v>150</v>
      </c>
      <c r="F24" s="31" t="s">
        <v>44</v>
      </c>
      <c r="G24" s="31" t="n">
        <v>9.84</v>
      </c>
      <c r="H24" s="31" t="n">
        <v>98.4</v>
      </c>
      <c r="I24" s="32" t="n">
        <v>42.85</v>
      </c>
      <c r="J24" s="32" t="n">
        <v>21.1</v>
      </c>
      <c r="K24" s="32" t="n">
        <v>15.4</v>
      </c>
      <c r="L24" s="32" t="n">
        <v>14.9</v>
      </c>
      <c r="M24" s="32" t="n">
        <v>30.35</v>
      </c>
      <c r="N24" s="32" t="n">
        <v>11.9</v>
      </c>
      <c r="O24" s="32" t="n">
        <v>5.94</v>
      </c>
      <c r="P24" s="32" t="n">
        <v>9.27</v>
      </c>
      <c r="Q24" s="31" t="n">
        <v>1.83</v>
      </c>
      <c r="R24" s="31" t="n">
        <v>183</v>
      </c>
      <c r="S24" s="33" t="n">
        <v>18</v>
      </c>
      <c r="T24" s="31" t="n">
        <v>18000</v>
      </c>
      <c r="U24" s="31" t="n">
        <f aca="false">2*L24*P24</f>
        <v>276.246</v>
      </c>
      <c r="V24" s="0" t="n">
        <f aca="false">0.01*U24</f>
        <v>2.76246</v>
      </c>
      <c r="W24" s="22" t="n">
        <v>1.94</v>
      </c>
      <c r="X24" s="22" t="n">
        <v>2.07</v>
      </c>
      <c r="Y24" s="0" t="n">
        <v>25.9</v>
      </c>
      <c r="Z24" s="0" t="n">
        <f aca="false">2*L24</f>
        <v>29.8</v>
      </c>
      <c r="AA24" s="0" t="n">
        <f aca="false">0.5*(Z24-Y24)</f>
        <v>1.95</v>
      </c>
    </row>
    <row r="25" customFormat="false" ht="14.4" hidden="false" customHeight="false" outlineLevel="0" collapsed="false">
      <c r="A25" s="31" t="s">
        <v>184</v>
      </c>
      <c r="B25" s="31" t="s">
        <v>181</v>
      </c>
      <c r="C25" s="31" t="n">
        <v>90</v>
      </c>
      <c r="D25" s="31" t="s">
        <v>33</v>
      </c>
      <c r="E25" s="31" t="n">
        <v>217</v>
      </c>
      <c r="F25" s="31" t="s">
        <v>44</v>
      </c>
      <c r="G25" s="31" t="n">
        <v>9.84</v>
      </c>
      <c r="H25" s="31" t="n">
        <v>98.4</v>
      </c>
      <c r="I25" s="32" t="n">
        <v>42.85</v>
      </c>
      <c r="J25" s="32" t="n">
        <v>21.1</v>
      </c>
      <c r="K25" s="32" t="n">
        <v>15.4</v>
      </c>
      <c r="L25" s="32" t="n">
        <v>14.9</v>
      </c>
      <c r="M25" s="32" t="n">
        <v>30.35</v>
      </c>
      <c r="N25" s="32" t="n">
        <v>11.9</v>
      </c>
      <c r="O25" s="32" t="n">
        <v>5.94</v>
      </c>
      <c r="P25" s="32" t="n">
        <v>9.27</v>
      </c>
      <c r="Q25" s="31" t="n">
        <v>1.83</v>
      </c>
      <c r="R25" s="31" t="n">
        <v>183</v>
      </c>
      <c r="S25" s="33" t="n">
        <v>18</v>
      </c>
      <c r="T25" s="31" t="n">
        <v>18000</v>
      </c>
      <c r="U25" s="31" t="n">
        <f aca="false">2*L25*P25</f>
        <v>276.246</v>
      </c>
      <c r="V25" s="0" t="n">
        <f aca="false">0.01*U25</f>
        <v>2.76246</v>
      </c>
      <c r="W25" s="22" t="n">
        <v>1.94</v>
      </c>
      <c r="X25" s="22" t="n">
        <v>2.07</v>
      </c>
      <c r="Y25" s="0" t="n">
        <v>25.9</v>
      </c>
      <c r="Z25" s="0" t="n">
        <f aca="false">2*L25</f>
        <v>29.8</v>
      </c>
      <c r="AA25" s="0" t="n">
        <f aca="false">0.5*(Z25-Y25)</f>
        <v>1.95</v>
      </c>
    </row>
    <row r="26" customFormat="false" ht="14.4" hidden="false" customHeight="false" outlineLevel="0" collapsed="false">
      <c r="A26" s="31" t="s">
        <v>185</v>
      </c>
      <c r="B26" s="31" t="s">
        <v>186</v>
      </c>
      <c r="C26" s="31" t="n">
        <v>26</v>
      </c>
      <c r="D26" s="31" t="s">
        <v>33</v>
      </c>
      <c r="E26" s="31" t="n">
        <v>104</v>
      </c>
      <c r="F26" s="31" t="s">
        <v>44</v>
      </c>
      <c r="G26" s="31" t="n">
        <v>9.84</v>
      </c>
      <c r="H26" s="31" t="n">
        <v>98.4</v>
      </c>
      <c r="I26" s="32" t="n">
        <v>42.85</v>
      </c>
      <c r="J26" s="32" t="n">
        <v>21.1</v>
      </c>
      <c r="K26" s="32" t="n">
        <v>20</v>
      </c>
      <c r="L26" s="32" t="n">
        <v>14.9</v>
      </c>
      <c r="M26" s="32" t="n">
        <v>30.35</v>
      </c>
      <c r="N26" s="32" t="n">
        <v>11.9</v>
      </c>
      <c r="O26" s="32" t="n">
        <v>5.94</v>
      </c>
      <c r="P26" s="32" t="n">
        <v>9.27</v>
      </c>
      <c r="Q26" s="31" t="n">
        <v>2.37</v>
      </c>
      <c r="R26" s="31" t="n">
        <v>237</v>
      </c>
      <c r="S26" s="31" t="n">
        <v>23.3</v>
      </c>
      <c r="T26" s="31" t="n">
        <v>23300</v>
      </c>
      <c r="U26" s="31" t="n">
        <f aca="false">2*L26*P26</f>
        <v>276.246</v>
      </c>
      <c r="V26" s="0" t="n">
        <f aca="false">0.01*U26</f>
        <v>2.76246</v>
      </c>
      <c r="W26" s="22" t="n">
        <v>1.94</v>
      </c>
      <c r="X26" s="22" t="n">
        <f aca="false">W26</f>
        <v>1.94</v>
      </c>
      <c r="Y26" s="0" t="n">
        <v>26</v>
      </c>
      <c r="Z26" s="0" t="n">
        <f aca="false">2*L26</f>
        <v>29.8</v>
      </c>
      <c r="AA26" s="0" t="n">
        <f aca="false">0.5*(Z26-Y26)</f>
        <v>1.9</v>
      </c>
    </row>
    <row r="27" customFormat="false" ht="14.4" hidden="false" customHeight="false" outlineLevel="0" collapsed="false">
      <c r="A27" s="31" t="s">
        <v>187</v>
      </c>
      <c r="B27" s="31" t="s">
        <v>186</v>
      </c>
      <c r="C27" s="31" t="n">
        <v>40</v>
      </c>
      <c r="D27" s="31" t="s">
        <v>33</v>
      </c>
      <c r="E27" s="31" t="n">
        <v>140</v>
      </c>
      <c r="F27" s="31" t="s">
        <v>44</v>
      </c>
      <c r="G27" s="31" t="n">
        <v>9.84</v>
      </c>
      <c r="H27" s="31" t="n">
        <v>98.4</v>
      </c>
      <c r="I27" s="32" t="n">
        <v>42.85</v>
      </c>
      <c r="J27" s="32" t="n">
        <v>21.1</v>
      </c>
      <c r="K27" s="32" t="n">
        <v>20</v>
      </c>
      <c r="L27" s="32" t="n">
        <v>14.9</v>
      </c>
      <c r="M27" s="32" t="n">
        <v>30.35</v>
      </c>
      <c r="N27" s="32" t="n">
        <v>11.9</v>
      </c>
      <c r="O27" s="32" t="n">
        <v>5.94</v>
      </c>
      <c r="P27" s="32" t="n">
        <v>9.27</v>
      </c>
      <c r="Q27" s="31" t="n">
        <v>2.37</v>
      </c>
      <c r="R27" s="31" t="n">
        <v>237</v>
      </c>
      <c r="S27" s="31" t="n">
        <v>23.3</v>
      </c>
      <c r="T27" s="31" t="n">
        <v>23300</v>
      </c>
      <c r="U27" s="31" t="n">
        <f aca="false">2*L27*P27</f>
        <v>276.246</v>
      </c>
      <c r="V27" s="0" t="n">
        <f aca="false">0.01*U27</f>
        <v>2.76246</v>
      </c>
      <c r="W27" s="22" t="n">
        <v>1.94</v>
      </c>
      <c r="X27" s="22" t="n">
        <f aca="false">W27</f>
        <v>1.94</v>
      </c>
      <c r="Y27" s="0" t="n">
        <v>26</v>
      </c>
      <c r="Z27" s="0" t="n">
        <f aca="false">2*L27</f>
        <v>29.8</v>
      </c>
      <c r="AA27" s="0" t="n">
        <f aca="false">0.5*(Z27-Y27)</f>
        <v>1.9</v>
      </c>
    </row>
    <row r="28" customFormat="false" ht="14.4" hidden="false" customHeight="false" outlineLevel="0" collapsed="false">
      <c r="A28" s="31" t="s">
        <v>188</v>
      </c>
      <c r="B28" s="31" t="s">
        <v>186</v>
      </c>
      <c r="C28" s="31" t="n">
        <v>60</v>
      </c>
      <c r="D28" s="31" t="s">
        <v>33</v>
      </c>
      <c r="E28" s="31" t="n">
        <v>194</v>
      </c>
      <c r="F28" s="31" t="s">
        <v>44</v>
      </c>
      <c r="G28" s="31" t="n">
        <v>9.84</v>
      </c>
      <c r="H28" s="31" t="n">
        <v>98.4</v>
      </c>
      <c r="I28" s="32" t="n">
        <v>42.85</v>
      </c>
      <c r="J28" s="32" t="n">
        <v>21.1</v>
      </c>
      <c r="K28" s="32" t="n">
        <v>20</v>
      </c>
      <c r="L28" s="32" t="n">
        <v>14.9</v>
      </c>
      <c r="M28" s="32" t="n">
        <v>30.35</v>
      </c>
      <c r="N28" s="32" t="n">
        <v>11.9</v>
      </c>
      <c r="O28" s="32" t="n">
        <v>5.94</v>
      </c>
      <c r="P28" s="32" t="n">
        <v>9.27</v>
      </c>
      <c r="Q28" s="31" t="n">
        <v>2.37</v>
      </c>
      <c r="R28" s="31" t="n">
        <v>237</v>
      </c>
      <c r="S28" s="31" t="n">
        <v>23.3</v>
      </c>
      <c r="T28" s="31" t="n">
        <v>23300</v>
      </c>
      <c r="U28" s="31" t="n">
        <f aca="false">2*L28*P28</f>
        <v>276.246</v>
      </c>
      <c r="V28" s="0" t="n">
        <f aca="false">0.01*U28</f>
        <v>2.76246</v>
      </c>
      <c r="W28" s="22" t="n">
        <v>1.94</v>
      </c>
      <c r="X28" s="22" t="n">
        <f aca="false">W28</f>
        <v>1.94</v>
      </c>
      <c r="Y28" s="0" t="n">
        <v>26</v>
      </c>
      <c r="Z28" s="0" t="n">
        <f aca="false">2*L28</f>
        <v>29.8</v>
      </c>
      <c r="AA28" s="0" t="n">
        <f aca="false">0.5*(Z28-Y28)</f>
        <v>1.9</v>
      </c>
    </row>
    <row r="29" customFormat="false" ht="14.4" hidden="false" customHeight="false" outlineLevel="0" collapsed="false">
      <c r="A29" s="31" t="s">
        <v>189</v>
      </c>
      <c r="B29" s="31" t="s">
        <v>186</v>
      </c>
      <c r="C29" s="31" t="n">
        <v>90</v>
      </c>
      <c r="D29" s="31" t="s">
        <v>33</v>
      </c>
      <c r="E29" s="31" t="n">
        <v>281</v>
      </c>
      <c r="F29" s="31" t="s">
        <v>44</v>
      </c>
      <c r="G29" s="31" t="n">
        <v>9.84</v>
      </c>
      <c r="H29" s="31" t="n">
        <v>98.4</v>
      </c>
      <c r="I29" s="32" t="n">
        <v>42.85</v>
      </c>
      <c r="J29" s="32" t="n">
        <v>21.1</v>
      </c>
      <c r="K29" s="32" t="n">
        <v>20</v>
      </c>
      <c r="L29" s="32" t="n">
        <v>14.9</v>
      </c>
      <c r="M29" s="32" t="n">
        <v>30.35</v>
      </c>
      <c r="N29" s="32" t="n">
        <v>11.9</v>
      </c>
      <c r="O29" s="32" t="n">
        <v>5.94</v>
      </c>
      <c r="P29" s="32" t="n">
        <v>9.27</v>
      </c>
      <c r="Q29" s="31" t="n">
        <v>2.37</v>
      </c>
      <c r="R29" s="31" t="n">
        <v>237</v>
      </c>
      <c r="S29" s="31" t="n">
        <v>23.3</v>
      </c>
      <c r="T29" s="31" t="n">
        <v>23300</v>
      </c>
      <c r="U29" s="31" t="n">
        <f aca="false">2*L29*P29</f>
        <v>276.246</v>
      </c>
      <c r="V29" s="0" t="n">
        <f aca="false">0.01*U29</f>
        <v>2.76246</v>
      </c>
      <c r="W29" s="22" t="n">
        <v>1.94</v>
      </c>
      <c r="X29" s="22" t="n">
        <f aca="false">W29</f>
        <v>1.94</v>
      </c>
      <c r="Y29" s="0" t="n">
        <v>26</v>
      </c>
      <c r="Z29" s="0" t="n">
        <f aca="false">2*L29</f>
        <v>29.8</v>
      </c>
      <c r="AA29" s="0" t="n">
        <f aca="false">0.5*(Z29-Y29)</f>
        <v>1.9</v>
      </c>
    </row>
    <row r="30" customFormat="false" ht="14.4" hidden="false" customHeight="false" outlineLevel="0" collapsed="false">
      <c r="A30" s="31" t="s">
        <v>202</v>
      </c>
      <c r="B30" s="31" t="s">
        <v>203</v>
      </c>
      <c r="C30" s="31" t="n">
        <v>26</v>
      </c>
      <c r="D30" s="31" t="s">
        <v>33</v>
      </c>
      <c r="E30" s="31" t="n">
        <v>88</v>
      </c>
      <c r="F30" s="31" t="s">
        <v>44</v>
      </c>
      <c r="G30" s="31" t="n">
        <v>7.75</v>
      </c>
      <c r="H30" s="31" t="n">
        <v>77.5</v>
      </c>
      <c r="I30" s="32" t="n">
        <v>40.87</v>
      </c>
      <c r="J30" s="32" t="n">
        <v>16.5</v>
      </c>
      <c r="K30" s="32" t="n">
        <v>12.5</v>
      </c>
      <c r="L30" s="32" t="n">
        <v>10.3</v>
      </c>
      <c r="M30" s="32" t="n">
        <v>28.32</v>
      </c>
      <c r="N30" s="32" t="n">
        <v>12.5</v>
      </c>
      <c r="O30" s="32" t="n">
        <v>6.05</v>
      </c>
      <c r="P30" s="32" t="n">
        <v>7.87</v>
      </c>
      <c r="Q30" s="31" t="n">
        <v>1.52</v>
      </c>
      <c r="R30" s="31" t="n">
        <v>152</v>
      </c>
      <c r="S30" s="31" t="n">
        <v>11.8</v>
      </c>
      <c r="T30" s="31" t="n">
        <v>11800</v>
      </c>
      <c r="U30" s="31" t="n">
        <f aca="false">2*L30*P30</f>
        <v>162.122</v>
      </c>
      <c r="V30" s="0" t="n">
        <f aca="false">0.01*U30</f>
        <v>1.62122</v>
      </c>
      <c r="W30" s="22" t="n">
        <v>1.01</v>
      </c>
      <c r="X30" s="22" t="n">
        <v>1.26</v>
      </c>
      <c r="Y30" s="0" t="n">
        <v>18.11</v>
      </c>
      <c r="Z30" s="0" t="n">
        <f aca="false">2*L30</f>
        <v>20.6</v>
      </c>
      <c r="AA30" s="0" t="n">
        <f aca="false">0.5*(Z30-Y30)</f>
        <v>1.245</v>
      </c>
    </row>
    <row r="31" customFormat="false" ht="14.4" hidden="false" customHeight="false" outlineLevel="0" collapsed="false">
      <c r="A31" s="31" t="s">
        <v>204</v>
      </c>
      <c r="B31" s="31" t="s">
        <v>203</v>
      </c>
      <c r="C31" s="31" t="n">
        <v>40</v>
      </c>
      <c r="D31" s="31" t="s">
        <v>33</v>
      </c>
      <c r="E31" s="31" t="n">
        <v>119</v>
      </c>
      <c r="F31" s="31" t="s">
        <v>44</v>
      </c>
      <c r="G31" s="31" t="n">
        <v>7.75</v>
      </c>
      <c r="H31" s="31" t="n">
        <v>77.5</v>
      </c>
      <c r="I31" s="32" t="n">
        <v>40.87</v>
      </c>
      <c r="J31" s="32" t="n">
        <v>16.5</v>
      </c>
      <c r="K31" s="32" t="n">
        <v>12.5</v>
      </c>
      <c r="L31" s="32" t="n">
        <v>10.3</v>
      </c>
      <c r="M31" s="32" t="n">
        <v>28.32</v>
      </c>
      <c r="N31" s="32" t="n">
        <v>12.5</v>
      </c>
      <c r="O31" s="32" t="n">
        <v>6.05</v>
      </c>
      <c r="P31" s="32" t="n">
        <v>7.87</v>
      </c>
      <c r="Q31" s="31" t="n">
        <v>1.52</v>
      </c>
      <c r="R31" s="31" t="n">
        <v>152</v>
      </c>
      <c r="S31" s="31" t="n">
        <v>11.8</v>
      </c>
      <c r="T31" s="31" t="n">
        <v>11800</v>
      </c>
      <c r="U31" s="31" t="n">
        <f aca="false">2*L31*P31</f>
        <v>162.122</v>
      </c>
      <c r="V31" s="0" t="n">
        <f aca="false">0.01*U31</f>
        <v>1.62122</v>
      </c>
      <c r="W31" s="22" t="n">
        <v>1.01</v>
      </c>
      <c r="X31" s="22" t="n">
        <v>1.26</v>
      </c>
      <c r="Y31" s="0" t="n">
        <v>18.11</v>
      </c>
      <c r="Z31" s="0" t="n">
        <f aca="false">2*L31</f>
        <v>20.6</v>
      </c>
      <c r="AA31" s="0" t="n">
        <f aca="false">0.5*(Z31-Y31)</f>
        <v>1.245</v>
      </c>
    </row>
    <row r="32" customFormat="false" ht="14.4" hidden="false" customHeight="false" outlineLevel="0" collapsed="false">
      <c r="A32" s="31" t="s">
        <v>205</v>
      </c>
      <c r="B32" s="31" t="s">
        <v>203</v>
      </c>
      <c r="C32" s="31" t="n">
        <v>60</v>
      </c>
      <c r="D32" s="31" t="s">
        <v>33</v>
      </c>
      <c r="E32" s="31" t="n">
        <v>163</v>
      </c>
      <c r="F32" s="31" t="s">
        <v>44</v>
      </c>
      <c r="G32" s="31" t="n">
        <v>7.75</v>
      </c>
      <c r="H32" s="31" t="n">
        <v>77.5</v>
      </c>
      <c r="I32" s="32" t="n">
        <v>40.87</v>
      </c>
      <c r="J32" s="32" t="n">
        <v>16.5</v>
      </c>
      <c r="K32" s="32" t="n">
        <v>12.5</v>
      </c>
      <c r="L32" s="32" t="n">
        <v>10.3</v>
      </c>
      <c r="M32" s="32" t="n">
        <v>28.32</v>
      </c>
      <c r="N32" s="32" t="n">
        <v>12.5</v>
      </c>
      <c r="O32" s="32" t="n">
        <v>6.05</v>
      </c>
      <c r="P32" s="32" t="n">
        <v>7.87</v>
      </c>
      <c r="Q32" s="31" t="n">
        <v>1.52</v>
      </c>
      <c r="R32" s="31" t="n">
        <v>152</v>
      </c>
      <c r="S32" s="31" t="n">
        <v>11.8</v>
      </c>
      <c r="T32" s="31" t="n">
        <v>11800</v>
      </c>
      <c r="U32" s="31" t="n">
        <f aca="false">2*L32*P32</f>
        <v>162.122</v>
      </c>
      <c r="V32" s="0" t="n">
        <f aca="false">0.01*U32</f>
        <v>1.62122</v>
      </c>
      <c r="W32" s="22" t="n">
        <v>1.01</v>
      </c>
      <c r="X32" s="22" t="n">
        <v>1.26</v>
      </c>
      <c r="Y32" s="0" t="n">
        <v>18.11</v>
      </c>
      <c r="Z32" s="0" t="n">
        <f aca="false">2*L32</f>
        <v>20.6</v>
      </c>
      <c r="AA32" s="0" t="n">
        <f aca="false">0.5*(Z32-Y32)</f>
        <v>1.245</v>
      </c>
    </row>
    <row r="33" customFormat="false" ht="14.4" hidden="false" customHeight="false" outlineLevel="0" collapsed="false">
      <c r="A33" s="31" t="s">
        <v>206</v>
      </c>
      <c r="B33" s="31" t="s">
        <v>203</v>
      </c>
      <c r="C33" s="31" t="n">
        <v>90</v>
      </c>
      <c r="D33" s="31" t="s">
        <v>33</v>
      </c>
      <c r="E33" s="31" t="n">
        <v>234</v>
      </c>
      <c r="F33" s="31" t="s">
        <v>44</v>
      </c>
      <c r="G33" s="31" t="n">
        <v>7.75</v>
      </c>
      <c r="H33" s="31" t="n">
        <v>77.5</v>
      </c>
      <c r="I33" s="32" t="n">
        <v>40.87</v>
      </c>
      <c r="J33" s="32" t="n">
        <v>16.5</v>
      </c>
      <c r="K33" s="32" t="n">
        <v>12.5</v>
      </c>
      <c r="L33" s="32" t="n">
        <v>10.3</v>
      </c>
      <c r="M33" s="32" t="n">
        <v>28.32</v>
      </c>
      <c r="N33" s="32" t="n">
        <v>12.5</v>
      </c>
      <c r="O33" s="32" t="n">
        <v>6.05</v>
      </c>
      <c r="P33" s="32" t="n">
        <v>7.87</v>
      </c>
      <c r="Q33" s="31" t="n">
        <v>1.52</v>
      </c>
      <c r="R33" s="31" t="n">
        <v>152</v>
      </c>
      <c r="S33" s="31" t="n">
        <v>11.8</v>
      </c>
      <c r="T33" s="31" t="n">
        <v>11800</v>
      </c>
      <c r="U33" s="31" t="n">
        <f aca="false">2*L33*P33</f>
        <v>162.122</v>
      </c>
      <c r="V33" s="0" t="n">
        <f aca="false">0.01*U33</f>
        <v>1.62122</v>
      </c>
      <c r="W33" s="22" t="n">
        <v>1.01</v>
      </c>
      <c r="X33" s="22" t="n">
        <v>1.26</v>
      </c>
      <c r="Y33" s="0" t="n">
        <v>18.11</v>
      </c>
      <c r="Z33" s="0" t="n">
        <f aca="false">2*L33</f>
        <v>20.6</v>
      </c>
      <c r="AA33" s="0" t="n">
        <f aca="false">0.5*(Z33-Y33)</f>
        <v>1.245</v>
      </c>
    </row>
    <row r="34" customFormat="false" ht="14.4" hidden="false" customHeight="false" outlineLevel="0" collapsed="false">
      <c r="A34" s="31" t="s">
        <v>361</v>
      </c>
      <c r="B34" s="31" t="s">
        <v>362</v>
      </c>
      <c r="C34" s="31" t="n">
        <v>26</v>
      </c>
      <c r="D34" s="31" t="s">
        <v>33</v>
      </c>
      <c r="E34" s="31" t="n">
        <v>116</v>
      </c>
      <c r="F34" s="31" t="s">
        <v>44</v>
      </c>
      <c r="G34" s="31" t="n">
        <v>12.3</v>
      </c>
      <c r="H34" s="31" t="n">
        <v>123</v>
      </c>
      <c r="I34" s="311" t="n">
        <v>54.86</v>
      </c>
      <c r="J34" s="311" t="n">
        <v>27.56</v>
      </c>
      <c r="K34" s="311" t="n">
        <v>20.6</v>
      </c>
      <c r="L34" s="311" t="n">
        <v>18.5</v>
      </c>
      <c r="M34" s="311" t="n">
        <v>37.49</v>
      </c>
      <c r="N34" s="311" t="n">
        <v>16.8</v>
      </c>
      <c r="O34" s="311" t="n">
        <v>8.38</v>
      </c>
      <c r="P34" s="311" t="n">
        <v>10.2</v>
      </c>
      <c r="Q34" s="32" t="n">
        <v>3.5</v>
      </c>
      <c r="R34" s="31" t="n">
        <v>350</v>
      </c>
      <c r="S34" s="31" t="n">
        <v>43.1</v>
      </c>
      <c r="T34" s="31" t="n">
        <v>43100</v>
      </c>
      <c r="U34" s="31" t="n">
        <f aca="false">2*L34*P34</f>
        <v>377.4</v>
      </c>
      <c r="V34" s="0" t="n">
        <f aca="false">0.01*U34</f>
        <v>3.774</v>
      </c>
      <c r="W34" s="22" t="n">
        <v>3.02</v>
      </c>
      <c r="X34" s="22" t="n">
        <v>3.02</v>
      </c>
      <c r="Y34" s="0" t="n">
        <v>33.4</v>
      </c>
      <c r="Z34" s="0" t="n">
        <f aca="false">2*L34</f>
        <v>37</v>
      </c>
      <c r="AA34" s="0" t="n">
        <f aca="false">0.5*(Z34-Y34)</f>
        <v>1.8</v>
      </c>
    </row>
    <row r="35" customFormat="false" ht="14.4" hidden="false" customHeight="false" outlineLevel="0" collapsed="false">
      <c r="A35" s="31" t="s">
        <v>363</v>
      </c>
      <c r="B35" s="31" t="s">
        <v>362</v>
      </c>
      <c r="C35" s="31" t="n">
        <v>40</v>
      </c>
      <c r="D35" s="31" t="s">
        <v>33</v>
      </c>
      <c r="E35" s="31" t="n">
        <v>157</v>
      </c>
      <c r="F35" s="31" t="s">
        <v>44</v>
      </c>
      <c r="G35" s="31" t="n">
        <v>12.3</v>
      </c>
      <c r="H35" s="31" t="n">
        <v>123</v>
      </c>
      <c r="I35" s="311" t="n">
        <v>54.86</v>
      </c>
      <c r="J35" s="311" t="n">
        <v>27.56</v>
      </c>
      <c r="K35" s="311" t="n">
        <v>20.6</v>
      </c>
      <c r="L35" s="311" t="n">
        <v>18.5</v>
      </c>
      <c r="M35" s="311" t="n">
        <v>37.49</v>
      </c>
      <c r="N35" s="311" t="n">
        <v>16.8</v>
      </c>
      <c r="O35" s="311" t="n">
        <v>8.38</v>
      </c>
      <c r="P35" s="311" t="n">
        <v>10.2</v>
      </c>
      <c r="Q35" s="32" t="n">
        <v>3.5</v>
      </c>
      <c r="R35" s="31" t="n">
        <v>350</v>
      </c>
      <c r="S35" s="31" t="n">
        <v>43.1</v>
      </c>
      <c r="T35" s="31" t="n">
        <v>43100</v>
      </c>
      <c r="U35" s="31" t="n">
        <f aca="false">2*L35*P35</f>
        <v>377.4</v>
      </c>
      <c r="V35" s="0" t="n">
        <f aca="false">0.01*U35</f>
        <v>3.774</v>
      </c>
      <c r="W35" s="22" t="n">
        <v>3.02</v>
      </c>
      <c r="X35" s="22" t="n">
        <v>3.02</v>
      </c>
      <c r="Y35" s="0" t="n">
        <v>33.4</v>
      </c>
      <c r="Z35" s="0" t="n">
        <f aca="false">2*L35</f>
        <v>37</v>
      </c>
      <c r="AA35" s="0" t="n">
        <f aca="false">0.5*(Z35-Y35)</f>
        <v>1.8</v>
      </c>
    </row>
    <row r="36" customFormat="false" ht="14.4" hidden="false" customHeight="false" outlineLevel="0" collapsed="false">
      <c r="A36" s="31" t="s">
        <v>364</v>
      </c>
      <c r="B36" s="31" t="s">
        <v>362</v>
      </c>
      <c r="C36" s="31" t="n">
        <v>60</v>
      </c>
      <c r="D36" s="31" t="s">
        <v>33</v>
      </c>
      <c r="E36" s="31" t="n">
        <v>219</v>
      </c>
      <c r="F36" s="31" t="s">
        <v>44</v>
      </c>
      <c r="G36" s="31" t="n">
        <v>12.3</v>
      </c>
      <c r="H36" s="31" t="n">
        <v>123</v>
      </c>
      <c r="I36" s="311" t="n">
        <v>54.86</v>
      </c>
      <c r="J36" s="311" t="n">
        <v>27.56</v>
      </c>
      <c r="K36" s="311" t="n">
        <v>20.6</v>
      </c>
      <c r="L36" s="311" t="n">
        <v>18.5</v>
      </c>
      <c r="M36" s="311" t="n">
        <v>37.49</v>
      </c>
      <c r="N36" s="311" t="n">
        <v>16.8</v>
      </c>
      <c r="O36" s="311" t="n">
        <v>8.38</v>
      </c>
      <c r="P36" s="311" t="n">
        <v>10.2</v>
      </c>
      <c r="Q36" s="32" t="n">
        <v>3.5</v>
      </c>
      <c r="R36" s="31" t="n">
        <v>350</v>
      </c>
      <c r="S36" s="31" t="n">
        <v>43.1</v>
      </c>
      <c r="T36" s="31" t="n">
        <v>43100</v>
      </c>
      <c r="U36" s="31" t="n">
        <f aca="false">2*L36*P36</f>
        <v>377.4</v>
      </c>
      <c r="V36" s="0" t="n">
        <f aca="false">0.01*U36</f>
        <v>3.774</v>
      </c>
      <c r="W36" s="22" t="n">
        <v>3.02</v>
      </c>
      <c r="X36" s="22" t="n">
        <v>3.02</v>
      </c>
      <c r="Y36" s="0" t="n">
        <v>33.4</v>
      </c>
      <c r="Z36" s="0" t="n">
        <f aca="false">2*L36</f>
        <v>37</v>
      </c>
      <c r="AA36" s="0" t="n">
        <f aca="false">0.5*(Z36-Y36)</f>
        <v>1.8</v>
      </c>
    </row>
    <row r="37" customFormat="false" ht="14.4" hidden="false" customHeight="false" outlineLevel="0" collapsed="false">
      <c r="A37" s="31" t="s">
        <v>365</v>
      </c>
      <c r="B37" s="31" t="s">
        <v>362</v>
      </c>
      <c r="C37" s="31" t="n">
        <v>90</v>
      </c>
      <c r="D37" s="31" t="s">
        <v>33</v>
      </c>
      <c r="E37" s="31" t="n">
        <v>322</v>
      </c>
      <c r="F37" s="31" t="s">
        <v>44</v>
      </c>
      <c r="G37" s="31" t="n">
        <v>12.3</v>
      </c>
      <c r="H37" s="31" t="n">
        <v>123</v>
      </c>
      <c r="I37" s="311" t="n">
        <v>54.86</v>
      </c>
      <c r="J37" s="311" t="n">
        <v>27.56</v>
      </c>
      <c r="K37" s="311" t="n">
        <v>20.6</v>
      </c>
      <c r="L37" s="311" t="n">
        <v>18.5</v>
      </c>
      <c r="M37" s="311" t="n">
        <v>37.49</v>
      </c>
      <c r="N37" s="311" t="n">
        <v>16.8</v>
      </c>
      <c r="O37" s="311" t="n">
        <v>8.38</v>
      </c>
      <c r="P37" s="311" t="n">
        <v>10.2</v>
      </c>
      <c r="Q37" s="32" t="n">
        <v>3.5</v>
      </c>
      <c r="R37" s="31" t="n">
        <v>350</v>
      </c>
      <c r="S37" s="31" t="n">
        <v>43.1</v>
      </c>
      <c r="T37" s="31" t="n">
        <v>43100</v>
      </c>
      <c r="U37" s="31" t="n">
        <f aca="false">2*L37*P37</f>
        <v>377.4</v>
      </c>
      <c r="V37" s="0" t="n">
        <f aca="false">0.01*U37</f>
        <v>3.774</v>
      </c>
      <c r="W37" s="22" t="n">
        <v>3.02</v>
      </c>
      <c r="X37" s="22" t="n">
        <v>3.02</v>
      </c>
      <c r="Y37" s="0" t="n">
        <v>33.4</v>
      </c>
      <c r="Z37" s="0" t="n">
        <f aca="false">2*L37</f>
        <v>37</v>
      </c>
      <c r="AA37" s="0" t="n">
        <f aca="false">0.5*(Z37-Y37)</f>
        <v>1.8</v>
      </c>
    </row>
    <row r="38" customFormat="false" ht="14.4" hidden="false" customHeight="false" outlineLevel="0" collapsed="false">
      <c r="A38" s="31" t="s">
        <v>382</v>
      </c>
      <c r="B38" s="31" t="s">
        <v>383</v>
      </c>
      <c r="C38" s="31" t="n">
        <v>26</v>
      </c>
      <c r="D38" s="31" t="s">
        <v>33</v>
      </c>
      <c r="E38" s="31" t="n">
        <v>138</v>
      </c>
      <c r="F38" s="31" t="s">
        <v>44</v>
      </c>
      <c r="G38" s="31" t="n">
        <v>12.3</v>
      </c>
      <c r="H38" s="31" t="n">
        <v>123</v>
      </c>
      <c r="I38" s="311" t="n">
        <v>54.86</v>
      </c>
      <c r="J38" s="311" t="n">
        <v>27.56</v>
      </c>
      <c r="K38" s="311" t="n">
        <v>24.6</v>
      </c>
      <c r="L38" s="311" t="n">
        <v>18.5</v>
      </c>
      <c r="M38" s="311" t="n">
        <v>37.49</v>
      </c>
      <c r="N38" s="311" t="n">
        <v>16.8</v>
      </c>
      <c r="O38" s="311" t="n">
        <v>8.38</v>
      </c>
      <c r="P38" s="311" t="n">
        <v>10.2</v>
      </c>
      <c r="Q38" s="31" t="n">
        <v>4.17</v>
      </c>
      <c r="R38" s="31" t="n">
        <v>417</v>
      </c>
      <c r="S38" s="31" t="n">
        <v>51.3</v>
      </c>
      <c r="T38" s="31" t="n">
        <v>51300</v>
      </c>
      <c r="U38" s="31" t="n">
        <f aca="false">2*L38*P38</f>
        <v>377.4</v>
      </c>
      <c r="V38" s="0" t="n">
        <f aca="false">0.01*U38</f>
        <v>3.774</v>
      </c>
      <c r="W38" s="22" t="n">
        <v>2.89</v>
      </c>
      <c r="X38" s="22" t="n">
        <f aca="false">W38</f>
        <v>2.89</v>
      </c>
      <c r="Y38" s="0" t="n">
        <v>33.4</v>
      </c>
      <c r="Z38" s="0" t="n">
        <f aca="false">2*L38</f>
        <v>37</v>
      </c>
      <c r="AA38" s="0" t="n">
        <f aca="false">0.5*(Z38-Y38)</f>
        <v>1.8</v>
      </c>
    </row>
    <row r="39" customFormat="false" ht="14.4" hidden="false" customHeight="false" outlineLevel="0" collapsed="false">
      <c r="A39" s="31" t="s">
        <v>384</v>
      </c>
      <c r="B39" s="31" t="s">
        <v>383</v>
      </c>
      <c r="C39" s="31" t="n">
        <v>40</v>
      </c>
      <c r="D39" s="31" t="s">
        <v>33</v>
      </c>
      <c r="E39" s="31" t="n">
        <v>187</v>
      </c>
      <c r="F39" s="31" t="s">
        <v>44</v>
      </c>
      <c r="G39" s="31" t="n">
        <v>12.3</v>
      </c>
      <c r="H39" s="31" t="n">
        <v>123</v>
      </c>
      <c r="I39" s="311" t="n">
        <v>54.86</v>
      </c>
      <c r="J39" s="311" t="n">
        <v>27.56</v>
      </c>
      <c r="K39" s="311" t="n">
        <v>24.6</v>
      </c>
      <c r="L39" s="311" t="n">
        <v>18.5</v>
      </c>
      <c r="M39" s="311" t="n">
        <v>37.49</v>
      </c>
      <c r="N39" s="311" t="n">
        <v>16.8</v>
      </c>
      <c r="O39" s="311" t="n">
        <v>8.38</v>
      </c>
      <c r="P39" s="311" t="n">
        <v>10.2</v>
      </c>
      <c r="Q39" s="31" t="n">
        <v>4.17</v>
      </c>
      <c r="R39" s="31" t="n">
        <v>417</v>
      </c>
      <c r="S39" s="31" t="n">
        <v>51.3</v>
      </c>
      <c r="T39" s="31" t="n">
        <v>51300</v>
      </c>
      <c r="U39" s="31" t="n">
        <f aca="false">2*L39*P39</f>
        <v>377.4</v>
      </c>
      <c r="V39" s="0" t="n">
        <f aca="false">0.01*U39</f>
        <v>3.774</v>
      </c>
      <c r="W39" s="22" t="n">
        <v>2.89</v>
      </c>
      <c r="X39" s="22" t="n">
        <f aca="false">W39</f>
        <v>2.89</v>
      </c>
      <c r="Y39" s="0" t="n">
        <v>33.4</v>
      </c>
      <c r="Z39" s="0" t="n">
        <f aca="false">2*L39</f>
        <v>37</v>
      </c>
      <c r="AA39" s="0" t="n">
        <f aca="false">0.5*(Z39-Y39)</f>
        <v>1.8</v>
      </c>
    </row>
    <row r="40" customFormat="false" ht="14.4" hidden="false" customHeight="false" outlineLevel="0" collapsed="false">
      <c r="A40" s="31" t="s">
        <v>385</v>
      </c>
      <c r="B40" s="31" t="s">
        <v>383</v>
      </c>
      <c r="C40" s="31" t="n">
        <v>60</v>
      </c>
      <c r="D40" s="31" t="s">
        <v>33</v>
      </c>
      <c r="E40" s="31" t="n">
        <v>261</v>
      </c>
      <c r="F40" s="31" t="s">
        <v>44</v>
      </c>
      <c r="G40" s="31" t="n">
        <v>12.3</v>
      </c>
      <c r="H40" s="31" t="n">
        <v>123</v>
      </c>
      <c r="I40" s="311" t="n">
        <v>54.86</v>
      </c>
      <c r="J40" s="311" t="n">
        <v>27.56</v>
      </c>
      <c r="K40" s="311" t="n">
        <v>24.6</v>
      </c>
      <c r="L40" s="311" t="n">
        <v>18.5</v>
      </c>
      <c r="M40" s="311" t="n">
        <v>37.49</v>
      </c>
      <c r="N40" s="311" t="n">
        <v>16.8</v>
      </c>
      <c r="O40" s="311" t="n">
        <v>8.38</v>
      </c>
      <c r="P40" s="311" t="n">
        <v>10.2</v>
      </c>
      <c r="Q40" s="31" t="n">
        <v>4.17</v>
      </c>
      <c r="R40" s="31" t="n">
        <v>417</v>
      </c>
      <c r="S40" s="31" t="n">
        <v>51.3</v>
      </c>
      <c r="T40" s="31" t="n">
        <v>51300</v>
      </c>
      <c r="U40" s="31" t="n">
        <f aca="false">2*L40*P40</f>
        <v>377.4</v>
      </c>
      <c r="V40" s="0" t="n">
        <f aca="false">0.01*U40</f>
        <v>3.774</v>
      </c>
      <c r="W40" s="22" t="n">
        <v>2.89</v>
      </c>
      <c r="X40" s="22" t="n">
        <f aca="false">W40</f>
        <v>2.89</v>
      </c>
      <c r="Y40" s="0" t="n">
        <v>33.4</v>
      </c>
      <c r="Z40" s="0" t="n">
        <f aca="false">2*L40</f>
        <v>37</v>
      </c>
      <c r="AA40" s="0" t="n">
        <f aca="false">0.5*(Z40-Y40)</f>
        <v>1.8</v>
      </c>
    </row>
    <row r="41" customFormat="false" ht="14.4" hidden="false" customHeight="false" outlineLevel="0" collapsed="false">
      <c r="A41" s="31" t="s">
        <v>386</v>
      </c>
      <c r="B41" s="31" t="s">
        <v>383</v>
      </c>
      <c r="C41" s="31" t="n">
        <v>90</v>
      </c>
      <c r="D41" s="31" t="s">
        <v>33</v>
      </c>
      <c r="E41" s="31" t="n">
        <v>338</v>
      </c>
      <c r="F41" s="31" t="s">
        <v>44</v>
      </c>
      <c r="G41" s="31" t="n">
        <v>12.3</v>
      </c>
      <c r="H41" s="31" t="n">
        <v>123</v>
      </c>
      <c r="I41" s="311" t="n">
        <v>54.86</v>
      </c>
      <c r="J41" s="311" t="n">
        <v>27.56</v>
      </c>
      <c r="K41" s="311" t="n">
        <v>24.6</v>
      </c>
      <c r="L41" s="311" t="n">
        <v>18.5</v>
      </c>
      <c r="M41" s="311" t="n">
        <v>37.49</v>
      </c>
      <c r="N41" s="311" t="n">
        <v>16.8</v>
      </c>
      <c r="O41" s="311" t="n">
        <v>8.38</v>
      </c>
      <c r="P41" s="311" t="n">
        <v>10.2</v>
      </c>
      <c r="Q41" s="31" t="n">
        <v>4.17</v>
      </c>
      <c r="R41" s="31" t="n">
        <v>417</v>
      </c>
      <c r="S41" s="31" t="n">
        <v>51.3</v>
      </c>
      <c r="T41" s="31" t="n">
        <v>51300</v>
      </c>
      <c r="U41" s="31" t="n">
        <f aca="false">2*L41*P41</f>
        <v>377.4</v>
      </c>
      <c r="V41" s="0" t="n">
        <f aca="false">0.01*U41</f>
        <v>3.774</v>
      </c>
      <c r="W41" s="22" t="n">
        <v>2.89</v>
      </c>
      <c r="X41" s="22" t="n">
        <f aca="false">W41</f>
        <v>2.89</v>
      </c>
      <c r="Y41" s="0" t="n">
        <v>33.4</v>
      </c>
      <c r="Z41" s="0" t="n">
        <f aca="false">2*L41</f>
        <v>37</v>
      </c>
      <c r="AA41" s="0" t="n">
        <f aca="false">0.5*(Z41-Y41)</f>
        <v>1.8</v>
      </c>
    </row>
    <row r="42" customFormat="false" ht="14.4" hidden="false" customHeight="false" outlineLevel="0" collapsed="false">
      <c r="A42" s="31" t="s">
        <v>621</v>
      </c>
      <c r="B42" s="31" t="s">
        <v>622</v>
      </c>
      <c r="C42" s="31" t="n">
        <v>26</v>
      </c>
      <c r="D42" s="31" t="s">
        <v>33</v>
      </c>
      <c r="E42" s="31" t="n">
        <v>162</v>
      </c>
      <c r="F42" s="31" t="s">
        <v>44</v>
      </c>
      <c r="G42" s="31" t="n">
        <v>14.7</v>
      </c>
      <c r="H42" s="31" t="n">
        <v>147</v>
      </c>
      <c r="I42" s="32" t="n">
        <v>65.15</v>
      </c>
      <c r="J42" s="311" t="n">
        <v>32.51</v>
      </c>
      <c r="K42" s="311" t="n">
        <v>27</v>
      </c>
      <c r="L42" s="311" t="n">
        <v>22.1</v>
      </c>
      <c r="M42" s="311" t="n">
        <v>44.19</v>
      </c>
      <c r="N42" s="311" t="n">
        <v>19.7</v>
      </c>
      <c r="O42" s="311" t="n">
        <v>10</v>
      </c>
      <c r="P42" s="311" t="n">
        <v>12</v>
      </c>
      <c r="Q42" s="32" t="n">
        <v>5.4</v>
      </c>
      <c r="R42" s="31" t="n">
        <v>540</v>
      </c>
      <c r="S42" s="31" t="n">
        <v>79.4</v>
      </c>
      <c r="T42" s="31" t="n">
        <v>79400</v>
      </c>
      <c r="U42" s="31" t="n">
        <f aca="false">2*L42*P42</f>
        <v>530.4</v>
      </c>
      <c r="V42" s="0" t="n">
        <f aca="false">0.01*U42</f>
        <v>5.304</v>
      </c>
      <c r="W42" s="22" t="n">
        <f aca="false">X42</f>
        <v>4.54</v>
      </c>
      <c r="X42" s="22" t="n">
        <v>4.54</v>
      </c>
      <c r="Y42" s="0" t="n">
        <v>39.5</v>
      </c>
      <c r="Z42" s="0" t="n">
        <f aca="false">2*L42</f>
        <v>44.2</v>
      </c>
      <c r="AA42" s="0" t="n">
        <f aca="false">0.5*(Z42-Y42)</f>
        <v>2.35</v>
      </c>
    </row>
    <row r="43" customFormat="false" ht="14.4" hidden="false" customHeight="false" outlineLevel="0" collapsed="false">
      <c r="A43" s="31" t="s">
        <v>623</v>
      </c>
      <c r="B43" s="31" t="s">
        <v>622</v>
      </c>
      <c r="C43" s="31" t="n">
        <v>40</v>
      </c>
      <c r="D43" s="31" t="s">
        <v>33</v>
      </c>
      <c r="E43" s="31" t="n">
        <v>230</v>
      </c>
      <c r="F43" s="31" t="s">
        <v>44</v>
      </c>
      <c r="G43" s="31" t="n">
        <v>14.7</v>
      </c>
      <c r="H43" s="31" t="n">
        <v>147</v>
      </c>
      <c r="I43" s="32" t="n">
        <v>65.15</v>
      </c>
      <c r="J43" s="311" t="n">
        <v>32.51</v>
      </c>
      <c r="K43" s="311" t="n">
        <v>27</v>
      </c>
      <c r="L43" s="311" t="n">
        <v>22.1</v>
      </c>
      <c r="M43" s="311" t="n">
        <v>44.19</v>
      </c>
      <c r="N43" s="311" t="n">
        <v>19.7</v>
      </c>
      <c r="O43" s="311" t="n">
        <v>10</v>
      </c>
      <c r="P43" s="311" t="n">
        <v>12</v>
      </c>
      <c r="Q43" s="32" t="n">
        <v>5.4</v>
      </c>
      <c r="R43" s="31" t="n">
        <v>540</v>
      </c>
      <c r="S43" s="31" t="n">
        <v>79.4</v>
      </c>
      <c r="T43" s="31" t="n">
        <v>79400</v>
      </c>
      <c r="U43" s="31" t="n">
        <f aca="false">2*L43*P43</f>
        <v>530.4</v>
      </c>
      <c r="V43" s="0" t="n">
        <f aca="false">0.01*U43</f>
        <v>5.304</v>
      </c>
      <c r="W43" s="22" t="n">
        <f aca="false">X43</f>
        <v>4.54</v>
      </c>
      <c r="X43" s="22" t="n">
        <v>4.54</v>
      </c>
      <c r="Y43" s="0" t="n">
        <v>39.5</v>
      </c>
      <c r="Z43" s="0" t="n">
        <f aca="false">2*L43</f>
        <v>44.2</v>
      </c>
      <c r="AA43" s="0" t="n">
        <f aca="false">0.5*(Z43-Y43)</f>
        <v>2.35</v>
      </c>
    </row>
    <row r="44" customFormat="false" ht="14.4" hidden="false" customHeight="false" outlineLevel="0" collapsed="false">
      <c r="A44" s="31" t="s">
        <v>624</v>
      </c>
      <c r="B44" s="31" t="s">
        <v>622</v>
      </c>
      <c r="C44" s="31" t="n">
        <v>60</v>
      </c>
      <c r="D44" s="31" t="s">
        <v>33</v>
      </c>
      <c r="E44" s="31" t="n">
        <v>300</v>
      </c>
      <c r="F44" s="31" t="s">
        <v>44</v>
      </c>
      <c r="G44" s="31" t="n">
        <v>14.7</v>
      </c>
      <c r="H44" s="31" t="n">
        <v>147</v>
      </c>
      <c r="I44" s="32" t="n">
        <v>65.15</v>
      </c>
      <c r="J44" s="311" t="n">
        <v>32.51</v>
      </c>
      <c r="K44" s="311" t="n">
        <v>27</v>
      </c>
      <c r="L44" s="311" t="n">
        <v>22.1</v>
      </c>
      <c r="M44" s="311" t="n">
        <v>44.19</v>
      </c>
      <c r="N44" s="311" t="n">
        <v>19.7</v>
      </c>
      <c r="O44" s="311" t="n">
        <v>10</v>
      </c>
      <c r="P44" s="311" t="n">
        <v>12</v>
      </c>
      <c r="Q44" s="32" t="n">
        <v>5.4</v>
      </c>
      <c r="R44" s="31" t="n">
        <v>540</v>
      </c>
      <c r="S44" s="31" t="n">
        <v>79.4</v>
      </c>
      <c r="T44" s="31" t="n">
        <v>79400</v>
      </c>
      <c r="U44" s="31" t="n">
        <f aca="false">2*L44*P44</f>
        <v>530.4</v>
      </c>
      <c r="V44" s="0" t="n">
        <f aca="false">0.01*U44</f>
        <v>5.304</v>
      </c>
      <c r="W44" s="22" t="n">
        <f aca="false">X44</f>
        <v>4.54</v>
      </c>
      <c r="X44" s="22" t="n">
        <v>4.54</v>
      </c>
      <c r="Y44" s="0" t="n">
        <v>39.5</v>
      </c>
      <c r="Z44" s="0" t="n">
        <f aca="false">2*L44</f>
        <v>44.2</v>
      </c>
      <c r="AA44" s="0" t="n">
        <f aca="false">0.5*(Z44-Y44)</f>
        <v>2.35</v>
      </c>
    </row>
    <row r="45" customFormat="false" ht="14.4" hidden="false" customHeight="false" outlineLevel="0" collapsed="false">
      <c r="A45" s="31" t="s">
        <v>629</v>
      </c>
      <c r="B45" s="31" t="s">
        <v>630</v>
      </c>
      <c r="C45" s="31" t="n">
        <v>26</v>
      </c>
      <c r="D45" s="31" t="s">
        <v>33</v>
      </c>
      <c r="E45" s="31" t="n">
        <v>130</v>
      </c>
      <c r="F45" s="31" t="s">
        <v>44</v>
      </c>
      <c r="G45" s="31" t="n">
        <v>13.7</v>
      </c>
      <c r="H45" s="31" t="n">
        <v>137</v>
      </c>
      <c r="I45" s="32" t="n">
        <v>72.39</v>
      </c>
      <c r="J45" s="32" t="n">
        <v>27.94</v>
      </c>
      <c r="K45" s="32" t="n">
        <v>19.1</v>
      </c>
      <c r="L45" s="32" t="n">
        <v>17.7</v>
      </c>
      <c r="M45" s="32" t="n">
        <v>52.62</v>
      </c>
      <c r="N45" s="32" t="n">
        <v>19.1</v>
      </c>
      <c r="O45" s="32" t="n">
        <v>9.53</v>
      </c>
      <c r="P45" s="32" t="n">
        <v>16.8</v>
      </c>
      <c r="Q45" s="31" t="n">
        <v>3.68</v>
      </c>
      <c r="R45" s="31" t="n">
        <v>368</v>
      </c>
      <c r="S45" s="31" t="n">
        <v>50.4</v>
      </c>
      <c r="T45" s="31" t="n">
        <v>50400</v>
      </c>
      <c r="U45" s="31" t="n">
        <f aca="false">2*L45*P45</f>
        <v>594.72</v>
      </c>
      <c r="V45" s="0" t="n">
        <f aca="false">0.01*U45</f>
        <v>5.9472</v>
      </c>
      <c r="W45" s="22" t="n">
        <f aca="false">X45</f>
        <v>4.08</v>
      </c>
      <c r="X45" s="22" t="n">
        <v>4.08</v>
      </c>
      <c r="Y45" s="0" t="n">
        <v>30.4</v>
      </c>
      <c r="Z45" s="0" t="n">
        <f aca="false">2*L45</f>
        <v>35.4</v>
      </c>
      <c r="AA45" s="0" t="n">
        <f aca="false">0.5*(Z45-Y45)</f>
        <v>2.5</v>
      </c>
    </row>
    <row r="46" customFormat="false" ht="14.4" hidden="false" customHeight="false" outlineLevel="0" collapsed="false">
      <c r="A46" s="31" t="s">
        <v>631</v>
      </c>
      <c r="B46" s="31" t="s">
        <v>630</v>
      </c>
      <c r="C46" s="31" t="n">
        <v>40</v>
      </c>
      <c r="D46" s="31" t="s">
        <v>33</v>
      </c>
      <c r="E46" s="31" t="n">
        <v>173</v>
      </c>
      <c r="F46" s="31" t="s">
        <v>44</v>
      </c>
      <c r="G46" s="31" t="n">
        <v>13.7</v>
      </c>
      <c r="H46" s="31" t="n">
        <v>137</v>
      </c>
      <c r="I46" s="32" t="n">
        <v>72.39</v>
      </c>
      <c r="J46" s="32" t="n">
        <v>27.94</v>
      </c>
      <c r="K46" s="32" t="n">
        <v>19.1</v>
      </c>
      <c r="L46" s="32" t="n">
        <v>17.7</v>
      </c>
      <c r="M46" s="32" t="n">
        <v>52.62</v>
      </c>
      <c r="N46" s="32" t="n">
        <v>19.1</v>
      </c>
      <c r="O46" s="32" t="n">
        <v>9.53</v>
      </c>
      <c r="P46" s="32" t="n">
        <v>16.8</v>
      </c>
      <c r="Q46" s="31" t="n">
        <v>3.68</v>
      </c>
      <c r="R46" s="31" t="n">
        <v>368</v>
      </c>
      <c r="S46" s="31" t="n">
        <v>50.4</v>
      </c>
      <c r="T46" s="31" t="n">
        <v>50400</v>
      </c>
      <c r="U46" s="31" t="n">
        <f aca="false">2*L46*P46</f>
        <v>594.72</v>
      </c>
      <c r="V46" s="0" t="n">
        <f aca="false">0.01*U46</f>
        <v>5.9472</v>
      </c>
      <c r="W46" s="22" t="n">
        <f aca="false">X46</f>
        <v>4.08</v>
      </c>
      <c r="X46" s="22" t="n">
        <v>4.08</v>
      </c>
      <c r="Y46" s="0" t="n">
        <v>30.4</v>
      </c>
      <c r="Z46" s="0" t="n">
        <f aca="false">2*L46</f>
        <v>35.4</v>
      </c>
      <c r="AA46" s="0" t="n">
        <f aca="false">0.5*(Z46-Y46)</f>
        <v>2.5</v>
      </c>
    </row>
    <row r="47" customFormat="false" ht="14.4" hidden="false" customHeight="false" outlineLevel="0" collapsed="false">
      <c r="A47" s="31" t="s">
        <v>632</v>
      </c>
      <c r="B47" s="31" t="s">
        <v>630</v>
      </c>
      <c r="C47" s="31" t="n">
        <v>60</v>
      </c>
      <c r="D47" s="31" t="s">
        <v>33</v>
      </c>
      <c r="E47" s="31" t="n">
        <v>235</v>
      </c>
      <c r="F47" s="31" t="s">
        <v>44</v>
      </c>
      <c r="G47" s="31" t="n">
        <v>13.7</v>
      </c>
      <c r="H47" s="31" t="n">
        <v>137</v>
      </c>
      <c r="I47" s="32" t="n">
        <v>72.39</v>
      </c>
      <c r="J47" s="32" t="n">
        <v>27.94</v>
      </c>
      <c r="K47" s="32" t="n">
        <v>19.1</v>
      </c>
      <c r="L47" s="32" t="n">
        <v>17.7</v>
      </c>
      <c r="M47" s="32" t="n">
        <v>52.62</v>
      </c>
      <c r="N47" s="32" t="n">
        <v>19.1</v>
      </c>
      <c r="O47" s="32" t="n">
        <v>9.53</v>
      </c>
      <c r="P47" s="32" t="n">
        <v>16.8</v>
      </c>
      <c r="Q47" s="31" t="n">
        <v>3.68</v>
      </c>
      <c r="R47" s="31" t="n">
        <v>368</v>
      </c>
      <c r="S47" s="31" t="n">
        <v>50.4</v>
      </c>
      <c r="T47" s="31" t="n">
        <v>50400</v>
      </c>
      <c r="U47" s="31" t="n">
        <f aca="false">2*L47*P47</f>
        <v>594.72</v>
      </c>
      <c r="V47" s="0" t="n">
        <f aca="false">0.01*U47</f>
        <v>5.9472</v>
      </c>
      <c r="W47" s="22" t="n">
        <f aca="false">X47</f>
        <v>4.08</v>
      </c>
      <c r="X47" s="22" t="n">
        <v>4.08</v>
      </c>
      <c r="Y47" s="0" t="n">
        <v>30.4</v>
      </c>
      <c r="Z47" s="0" t="n">
        <f aca="false">2*L47</f>
        <v>35.4</v>
      </c>
      <c r="AA47" s="0" t="n">
        <f aca="false">0.5*(Z47-Y47)</f>
        <v>2.5</v>
      </c>
    </row>
    <row r="48" customFormat="false" ht="14.4" hidden="false" customHeight="false" outlineLevel="0" collapsed="false">
      <c r="A48" s="31" t="s">
        <v>792</v>
      </c>
      <c r="B48" s="31" t="s">
        <v>791</v>
      </c>
      <c r="C48" s="31" t="n">
        <v>26</v>
      </c>
      <c r="D48" s="31" t="s">
        <v>33</v>
      </c>
      <c r="E48" s="31" t="n">
        <v>103</v>
      </c>
      <c r="F48" s="31" t="s">
        <v>44</v>
      </c>
      <c r="G48" s="31" t="n">
        <v>18.5</v>
      </c>
      <c r="H48" s="31" t="n">
        <v>185</v>
      </c>
      <c r="I48" s="32" t="n">
        <v>80.01</v>
      </c>
      <c r="J48" s="32" t="n">
        <v>38.1</v>
      </c>
      <c r="K48" s="32" t="n">
        <v>19.8</v>
      </c>
      <c r="L48" s="32" t="n">
        <v>28.01</v>
      </c>
      <c r="M48" s="32" t="n">
        <v>59.28</v>
      </c>
      <c r="N48" s="32" t="n">
        <v>19.8</v>
      </c>
      <c r="O48" s="32" t="n">
        <v>9.91</v>
      </c>
      <c r="P48" s="32" t="n">
        <v>19.8</v>
      </c>
      <c r="Q48" s="31" t="n">
        <v>3.89</v>
      </c>
      <c r="R48" s="31" t="n">
        <v>389</v>
      </c>
      <c r="S48" s="33" t="n">
        <v>72</v>
      </c>
      <c r="T48" s="31" t="n">
        <v>72000</v>
      </c>
      <c r="U48" s="31" t="n">
        <f aca="false">2*L48*P48</f>
        <v>1109.196</v>
      </c>
      <c r="V48" s="0" t="n">
        <f aca="false">0.01*U48</f>
        <v>11.09196</v>
      </c>
      <c r="W48" s="22" t="n">
        <f aca="false">X48</f>
        <v>8.06</v>
      </c>
      <c r="X48" s="22" t="n">
        <v>8.06</v>
      </c>
      <c r="Y48" s="0" t="n">
        <v>51</v>
      </c>
      <c r="Z48" s="0" t="n">
        <f aca="false">2*L48</f>
        <v>56.02</v>
      </c>
      <c r="AA48" s="0" t="n">
        <f aca="false">0.5*(Z48-Y48)</f>
        <v>2.51</v>
      </c>
    </row>
    <row r="49" customFormat="false" ht="14.4" hidden="false" customHeight="false" outlineLevel="0" collapsed="false">
      <c r="A49" s="31" t="s">
        <v>793</v>
      </c>
      <c r="B49" s="31" t="s">
        <v>791</v>
      </c>
      <c r="C49" s="31" t="n">
        <v>40</v>
      </c>
      <c r="D49" s="31" t="s">
        <v>33</v>
      </c>
      <c r="E49" s="31" t="n">
        <v>145</v>
      </c>
      <c r="F49" s="31" t="s">
        <v>44</v>
      </c>
      <c r="G49" s="31" t="n">
        <v>18.5</v>
      </c>
      <c r="H49" s="31" t="n">
        <v>185</v>
      </c>
      <c r="I49" s="32" t="n">
        <v>80.01</v>
      </c>
      <c r="J49" s="32" t="n">
        <v>38.1</v>
      </c>
      <c r="K49" s="32" t="n">
        <v>19.8</v>
      </c>
      <c r="L49" s="32" t="n">
        <v>28.01</v>
      </c>
      <c r="M49" s="32" t="n">
        <v>59.28</v>
      </c>
      <c r="N49" s="32" t="n">
        <v>19.8</v>
      </c>
      <c r="O49" s="32" t="n">
        <v>9.91</v>
      </c>
      <c r="P49" s="32" t="n">
        <v>19.8</v>
      </c>
      <c r="Q49" s="31" t="n">
        <v>3.89</v>
      </c>
      <c r="R49" s="31" t="n">
        <v>389</v>
      </c>
      <c r="S49" s="33" t="n">
        <v>72</v>
      </c>
      <c r="T49" s="31" t="n">
        <v>72000</v>
      </c>
      <c r="U49" s="31" t="n">
        <f aca="false">2*L49*P49</f>
        <v>1109.196</v>
      </c>
      <c r="V49" s="0" t="n">
        <f aca="false">0.01*U49</f>
        <v>11.09196</v>
      </c>
      <c r="W49" s="22" t="n">
        <f aca="false">X49</f>
        <v>8.06</v>
      </c>
      <c r="X49" s="22" t="n">
        <v>8.06</v>
      </c>
      <c r="Y49" s="0" t="n">
        <v>51</v>
      </c>
      <c r="Z49" s="0" t="n">
        <f aca="false">2*L49</f>
        <v>56.02</v>
      </c>
      <c r="AA49" s="0" t="n">
        <f aca="false">0.5*(Z49-Y49)</f>
        <v>2.51</v>
      </c>
    </row>
    <row r="50" customFormat="false" ht="14.4" hidden="false" customHeight="false" outlineLevel="0" collapsed="false">
      <c r="A50" s="31" t="s">
        <v>794</v>
      </c>
      <c r="B50" s="31" t="s">
        <v>791</v>
      </c>
      <c r="C50" s="31" t="n">
        <v>60</v>
      </c>
      <c r="D50" s="31" t="s">
        <v>33</v>
      </c>
      <c r="E50" s="31" t="n">
        <v>190</v>
      </c>
      <c r="F50" s="31" t="s">
        <v>44</v>
      </c>
      <c r="G50" s="31" t="n">
        <v>18.5</v>
      </c>
      <c r="H50" s="31" t="n">
        <v>185</v>
      </c>
      <c r="I50" s="32" t="n">
        <v>80.01</v>
      </c>
      <c r="J50" s="32" t="n">
        <v>38.1</v>
      </c>
      <c r="K50" s="32" t="n">
        <v>19.8</v>
      </c>
      <c r="L50" s="32" t="n">
        <v>28.01</v>
      </c>
      <c r="M50" s="32" t="n">
        <v>59.28</v>
      </c>
      <c r="N50" s="32" t="n">
        <v>19.8</v>
      </c>
      <c r="O50" s="32" t="n">
        <v>9.91</v>
      </c>
      <c r="P50" s="32" t="n">
        <v>19.8</v>
      </c>
      <c r="Q50" s="31" t="n">
        <v>3.89</v>
      </c>
      <c r="R50" s="31" t="n">
        <v>389</v>
      </c>
      <c r="S50" s="33" t="n">
        <v>72</v>
      </c>
      <c r="T50" s="31" t="n">
        <v>72000</v>
      </c>
      <c r="U50" s="31" t="n">
        <f aca="false">2*L50*P50</f>
        <v>1109.196</v>
      </c>
      <c r="V50" s="0" t="n">
        <f aca="false">0.01*U50</f>
        <v>11.09196</v>
      </c>
      <c r="W50" s="22" t="n">
        <f aca="false">X50</f>
        <v>8.06</v>
      </c>
      <c r="X50" s="22" t="n">
        <v>8.06</v>
      </c>
      <c r="Y50" s="0" t="n">
        <v>51</v>
      </c>
      <c r="Z50" s="0" t="n">
        <f aca="false">2*L50</f>
        <v>56.02</v>
      </c>
      <c r="AA50" s="0" t="n">
        <f aca="false">0.5*(Z50-Y50)</f>
        <v>2.51</v>
      </c>
    </row>
    <row r="51" s="46" customFormat="true" ht="14.4" hidden="false" customHeight="false" outlineLevel="0" collapsed="false">
      <c r="A51" s="31" t="s">
        <v>798</v>
      </c>
      <c r="B51" s="31" t="s">
        <v>799</v>
      </c>
      <c r="C51" s="31" t="n">
        <v>26</v>
      </c>
      <c r="D51" s="31" t="s">
        <v>33</v>
      </c>
      <c r="E51" s="31" t="n">
        <v>91</v>
      </c>
      <c r="F51" s="31" t="s">
        <v>44</v>
      </c>
      <c r="G51" s="31" t="n">
        <v>20.8</v>
      </c>
      <c r="H51" s="31" t="n">
        <v>208</v>
      </c>
      <c r="I51" s="32" t="n">
        <v>80.01</v>
      </c>
      <c r="J51" s="32" t="n">
        <v>44.58</v>
      </c>
      <c r="K51" s="32" t="n">
        <v>19.8</v>
      </c>
      <c r="L51" s="32" t="n">
        <v>34.36</v>
      </c>
      <c r="M51" s="32" t="n">
        <v>59.28</v>
      </c>
      <c r="N51" s="32" t="n">
        <v>19.8</v>
      </c>
      <c r="O51" s="32" t="n">
        <v>9.91</v>
      </c>
      <c r="P51" s="32" t="n">
        <v>19.8</v>
      </c>
      <c r="Q51" s="31" t="n">
        <v>3.89</v>
      </c>
      <c r="R51" s="31" t="n">
        <v>389</v>
      </c>
      <c r="S51" s="31" t="n">
        <v>80.9</v>
      </c>
      <c r="T51" s="31" t="n">
        <v>80900</v>
      </c>
      <c r="U51" s="31" t="n">
        <f aca="false">2*L51*P51</f>
        <v>1360.656</v>
      </c>
      <c r="V51" s="0" t="n">
        <f aca="false">0.01*U51</f>
        <v>13.60656</v>
      </c>
      <c r="W51" s="38" t="n">
        <f aca="false">V51*0.7</f>
        <v>9.524592</v>
      </c>
      <c r="X51" s="38" t="n">
        <f aca="false">W51</f>
        <v>9.524592</v>
      </c>
      <c r="Y51" s="46" t="n">
        <f aca="false">0.85*Z51</f>
        <v>58.412</v>
      </c>
      <c r="Z51" s="0" t="n">
        <f aca="false">2*L51</f>
        <v>68.72</v>
      </c>
      <c r="AA51" s="0" t="n">
        <f aca="false">0.5*(Z51-Y51)</f>
        <v>5.154</v>
      </c>
    </row>
    <row r="52" customFormat="false" ht="14.4" hidden="false" customHeight="false" outlineLevel="0" collapsed="false">
      <c r="A52" s="31" t="s">
        <v>145</v>
      </c>
      <c r="B52" s="31" t="s">
        <v>144</v>
      </c>
      <c r="C52" s="31" t="n">
        <v>26</v>
      </c>
      <c r="D52" s="31" t="s">
        <v>33</v>
      </c>
      <c r="E52" s="31" t="n">
        <v>254</v>
      </c>
      <c r="F52" s="31" t="s">
        <v>44</v>
      </c>
      <c r="G52" s="31" t="n">
        <v>21.9</v>
      </c>
      <c r="H52" s="31" t="n">
        <v>219</v>
      </c>
      <c r="I52" s="32" t="n">
        <v>130.3</v>
      </c>
      <c r="J52" s="32" t="n">
        <v>32.51</v>
      </c>
      <c r="K52" s="32" t="n">
        <v>53.85</v>
      </c>
      <c r="L52" s="32" t="n">
        <v>22.1</v>
      </c>
      <c r="M52" s="32" t="n">
        <v>108.4</v>
      </c>
      <c r="N52" s="32" t="n">
        <v>20</v>
      </c>
      <c r="O52" s="32" t="n">
        <v>10</v>
      </c>
      <c r="P52" s="32" t="n">
        <v>44.22</v>
      </c>
      <c r="Q52" s="31" t="n">
        <v>10.8</v>
      </c>
      <c r="R52" s="31" t="n">
        <v>1080</v>
      </c>
      <c r="S52" s="31" t="n">
        <v>237</v>
      </c>
      <c r="T52" s="31" t="n">
        <v>237000</v>
      </c>
      <c r="U52" s="31" t="n">
        <f aca="false">2*L52*P52</f>
        <v>1954.524</v>
      </c>
      <c r="V52" s="0" t="n">
        <f aca="false">0.01*U52</f>
        <v>19.54524</v>
      </c>
      <c r="W52" s="38" t="n">
        <f aca="false">V52*0.7</f>
        <v>13.681668</v>
      </c>
      <c r="X52" s="38" t="n">
        <f aca="false">W52</f>
        <v>13.681668</v>
      </c>
      <c r="Y52" s="46" t="n">
        <f aca="false">0.85*Z52</f>
        <v>37.57</v>
      </c>
      <c r="Z52" s="0" t="n">
        <f aca="false">2*L52</f>
        <v>44.2</v>
      </c>
      <c r="AA52" s="0" t="n">
        <f aca="false">0.5*(Z52-Y52)</f>
        <v>3.315</v>
      </c>
    </row>
    <row r="53" customFormat="false" ht="14.4" hidden="false" customHeight="false" outlineLevel="0" collapsed="false">
      <c r="A53" s="31" t="s">
        <v>149</v>
      </c>
      <c r="B53" s="31" t="s">
        <v>148</v>
      </c>
      <c r="C53" s="31" t="n">
        <v>26</v>
      </c>
      <c r="D53" s="31" t="s">
        <v>33</v>
      </c>
      <c r="E53" s="31" t="n">
        <v>180</v>
      </c>
      <c r="F53" s="31" t="s">
        <v>44</v>
      </c>
      <c r="G53" s="31" t="n">
        <v>27.3</v>
      </c>
      <c r="H53" s="31" t="n">
        <v>273</v>
      </c>
      <c r="I53" s="32" t="n">
        <v>160</v>
      </c>
      <c r="J53" s="32" t="n">
        <v>38.1</v>
      </c>
      <c r="K53" s="32" t="n">
        <v>39.62</v>
      </c>
      <c r="L53" s="32" t="n">
        <v>28.14</v>
      </c>
      <c r="M53" s="32" t="n">
        <v>138.2</v>
      </c>
      <c r="N53" s="32" t="n">
        <v>19.8</v>
      </c>
      <c r="O53" s="32" t="n">
        <v>9.91</v>
      </c>
      <c r="P53" s="32" t="n">
        <v>59.28</v>
      </c>
      <c r="Q53" s="31" t="n">
        <v>7.78</v>
      </c>
      <c r="R53" s="31" t="n">
        <v>778</v>
      </c>
      <c r="S53" s="31" t="n">
        <v>212</v>
      </c>
      <c r="T53" s="31" t="n">
        <v>212000</v>
      </c>
      <c r="U53" s="31" t="n">
        <f aca="false">2*L53*P53</f>
        <v>3336.2784</v>
      </c>
      <c r="V53" s="0" t="n">
        <f aca="false">0.01*U53</f>
        <v>33.362784</v>
      </c>
      <c r="W53" s="38" t="n">
        <f aca="false">V53*0.7</f>
        <v>23.3539488</v>
      </c>
      <c r="X53" s="38" t="n">
        <f aca="false">W53</f>
        <v>23.3539488</v>
      </c>
      <c r="Y53" s="46" t="n">
        <f aca="false">0.85*Z53</f>
        <v>47.838</v>
      </c>
      <c r="Z53" s="0" t="n">
        <f aca="false">2*L53</f>
        <v>56.28</v>
      </c>
      <c r="AA53" s="0" t="n">
        <f aca="false">0.5*(Z53-Y53)</f>
        <v>4.221</v>
      </c>
    </row>
    <row r="54" s="22" customFormat="true" ht="14.4" hidden="false" customHeight="false" outlineLevel="0" collapsed="false">
      <c r="A54" s="22" t="s">
        <v>1228</v>
      </c>
      <c r="B54" s="47" t="s">
        <v>181</v>
      </c>
      <c r="C54" s="22" t="n">
        <v>26</v>
      </c>
      <c r="D54" s="22" t="s">
        <v>211</v>
      </c>
      <c r="E54" s="22" t="n">
        <v>80</v>
      </c>
      <c r="F54" s="22" t="s">
        <v>44</v>
      </c>
      <c r="G54" s="31" t="n">
        <v>9.84</v>
      </c>
      <c r="H54" s="31" t="n">
        <v>98.4</v>
      </c>
      <c r="I54" s="32" t="n">
        <v>42.85</v>
      </c>
      <c r="J54" s="32" t="n">
        <v>21.1</v>
      </c>
      <c r="K54" s="32" t="n">
        <v>15.4</v>
      </c>
      <c r="L54" s="32" t="n">
        <v>14.9</v>
      </c>
      <c r="M54" s="32" t="n">
        <v>30.35</v>
      </c>
      <c r="N54" s="32" t="n">
        <v>11.9</v>
      </c>
      <c r="O54" s="32" t="n">
        <v>5.94</v>
      </c>
      <c r="P54" s="32" t="n">
        <v>9.27</v>
      </c>
      <c r="Q54" s="31" t="n">
        <v>1.83</v>
      </c>
      <c r="R54" s="31" t="n">
        <v>183</v>
      </c>
      <c r="S54" s="33" t="n">
        <v>18</v>
      </c>
      <c r="T54" s="31" t="n">
        <v>18000</v>
      </c>
      <c r="U54" s="31" t="n">
        <f aca="false">2*L54*P54</f>
        <v>276.246</v>
      </c>
      <c r="V54" s="0" t="n">
        <f aca="false">0.01*U54</f>
        <v>2.76246</v>
      </c>
      <c r="W54" s="22" t="n">
        <v>1.94</v>
      </c>
      <c r="X54" s="22" t="n">
        <v>2.07</v>
      </c>
      <c r="Y54" s="0" t="n">
        <v>25.9</v>
      </c>
      <c r="Z54" s="0" t="n">
        <f aca="false">2*L54</f>
        <v>29.8</v>
      </c>
      <c r="AA54" s="0" t="n">
        <f aca="false">0.5*(Z54-Y54)</f>
        <v>1.95</v>
      </c>
    </row>
    <row r="55" customFormat="false" ht="14.4" hidden="false" customHeight="false" outlineLevel="0" collapsed="false">
      <c r="A55" s="31" t="s">
        <v>1227</v>
      </c>
      <c r="B55" s="31" t="n">
        <v>4020</v>
      </c>
      <c r="C55" s="31" t="n">
        <v>40</v>
      </c>
      <c r="D55" s="31" t="s">
        <v>211</v>
      </c>
      <c r="E55" s="31" t="n">
        <v>108</v>
      </c>
      <c r="F55" s="31" t="s">
        <v>44</v>
      </c>
      <c r="G55" s="31" t="n">
        <v>9.84</v>
      </c>
      <c r="H55" s="31" t="n">
        <v>98.4</v>
      </c>
      <c r="I55" s="32" t="n">
        <v>42.85</v>
      </c>
      <c r="J55" s="32" t="n">
        <v>21.1</v>
      </c>
      <c r="K55" s="32" t="n">
        <v>15.4</v>
      </c>
      <c r="L55" s="32" t="n">
        <v>14.9</v>
      </c>
      <c r="M55" s="32" t="n">
        <v>30.35</v>
      </c>
      <c r="N55" s="32" t="n">
        <v>11.9</v>
      </c>
      <c r="O55" s="32" t="n">
        <v>5.94</v>
      </c>
      <c r="P55" s="32" t="n">
        <v>9.27</v>
      </c>
      <c r="Q55" s="31" t="n">
        <v>1.83</v>
      </c>
      <c r="R55" s="31" t="n">
        <v>183</v>
      </c>
      <c r="S55" s="33" t="n">
        <v>18</v>
      </c>
      <c r="T55" s="31" t="n">
        <v>18000</v>
      </c>
      <c r="U55" s="31" t="n">
        <f aca="false">2*L55*P55</f>
        <v>276.246</v>
      </c>
      <c r="V55" s="0" t="n">
        <f aca="false">0.01*U55</f>
        <v>2.76246</v>
      </c>
      <c r="W55" s="22" t="n">
        <v>1.94</v>
      </c>
      <c r="X55" s="22" t="n">
        <v>2.07</v>
      </c>
      <c r="Y55" s="0" t="n">
        <v>25.9</v>
      </c>
      <c r="Z55" s="0" t="n">
        <f aca="false">2*L55</f>
        <v>29.8</v>
      </c>
      <c r="AA55" s="0" t="n">
        <f aca="false">0.5*(Z55-Y55)</f>
        <v>1.95</v>
      </c>
    </row>
    <row r="56" customFormat="false" ht="14.4" hidden="false" customHeight="false" outlineLevel="0" collapsed="false">
      <c r="A56" s="31" t="s">
        <v>1226</v>
      </c>
      <c r="B56" s="31" t="n">
        <v>4020</v>
      </c>
      <c r="C56" s="31" t="n">
        <v>60</v>
      </c>
      <c r="D56" s="31" t="s">
        <v>211</v>
      </c>
      <c r="E56" s="31" t="n">
        <v>150</v>
      </c>
      <c r="F56" s="31" t="s">
        <v>44</v>
      </c>
      <c r="G56" s="31" t="n">
        <v>9.84</v>
      </c>
      <c r="H56" s="31" t="n">
        <v>98.4</v>
      </c>
      <c r="I56" s="32" t="n">
        <v>42.85</v>
      </c>
      <c r="J56" s="32" t="n">
        <v>21.1</v>
      </c>
      <c r="K56" s="32" t="n">
        <v>15.4</v>
      </c>
      <c r="L56" s="32" t="n">
        <v>14.9</v>
      </c>
      <c r="M56" s="32" t="n">
        <v>30.35</v>
      </c>
      <c r="N56" s="32" t="n">
        <v>11.9</v>
      </c>
      <c r="O56" s="32" t="n">
        <v>5.94</v>
      </c>
      <c r="P56" s="32" t="n">
        <v>9.27</v>
      </c>
      <c r="Q56" s="31" t="n">
        <v>1.83</v>
      </c>
      <c r="R56" s="31" t="n">
        <v>183</v>
      </c>
      <c r="S56" s="33" t="n">
        <v>18</v>
      </c>
      <c r="T56" s="31" t="n">
        <v>18000</v>
      </c>
      <c r="U56" s="31" t="n">
        <f aca="false">2*L56*P56</f>
        <v>276.246</v>
      </c>
      <c r="V56" s="0" t="n">
        <f aca="false">0.01*U56</f>
        <v>2.76246</v>
      </c>
      <c r="W56" s="22" t="n">
        <v>1.94</v>
      </c>
      <c r="X56" s="22" t="n">
        <v>2.07</v>
      </c>
      <c r="Y56" s="0" t="n">
        <v>25.9</v>
      </c>
      <c r="Z56" s="0" t="n">
        <f aca="false">2*L56</f>
        <v>29.8</v>
      </c>
      <c r="AA56" s="0" t="n">
        <f aca="false">0.5*(Z56-Y56)</f>
        <v>1.95</v>
      </c>
    </row>
    <row r="57" customFormat="false" ht="14.4" hidden="false" customHeight="false" outlineLevel="0" collapsed="false">
      <c r="A57" s="31" t="s">
        <v>1231</v>
      </c>
      <c r="B57" s="31" t="n">
        <v>4022</v>
      </c>
      <c r="C57" s="31" t="n">
        <v>26</v>
      </c>
      <c r="D57" s="31" t="s">
        <v>211</v>
      </c>
      <c r="E57" s="31" t="n">
        <v>104</v>
      </c>
      <c r="F57" s="31" t="s">
        <v>44</v>
      </c>
      <c r="G57" s="31" t="n">
        <v>9.84</v>
      </c>
      <c r="H57" s="31" t="n">
        <v>98.4</v>
      </c>
      <c r="I57" s="32" t="n">
        <v>42.85</v>
      </c>
      <c r="J57" s="32" t="n">
        <v>21.1</v>
      </c>
      <c r="K57" s="32" t="n">
        <v>20</v>
      </c>
      <c r="L57" s="32" t="n">
        <v>14.9</v>
      </c>
      <c r="M57" s="32" t="n">
        <v>30.35</v>
      </c>
      <c r="N57" s="32" t="n">
        <v>11.9</v>
      </c>
      <c r="O57" s="32" t="n">
        <v>5.94</v>
      </c>
      <c r="P57" s="32" t="n">
        <v>9.27</v>
      </c>
      <c r="Q57" s="31" t="n">
        <v>2.37</v>
      </c>
      <c r="R57" s="31" t="n">
        <v>237</v>
      </c>
      <c r="S57" s="31" t="n">
        <v>23.3</v>
      </c>
      <c r="T57" s="31" t="n">
        <v>23300</v>
      </c>
      <c r="U57" s="31" t="n">
        <f aca="false">2*L57*P57</f>
        <v>276.246</v>
      </c>
      <c r="V57" s="0" t="n">
        <f aca="false">0.01*U57</f>
        <v>2.76246</v>
      </c>
      <c r="W57" s="22" t="n">
        <v>1.94</v>
      </c>
      <c r="X57" s="22" t="n">
        <f aca="false">W57</f>
        <v>1.94</v>
      </c>
      <c r="Y57" s="0" t="n">
        <v>26</v>
      </c>
      <c r="Z57" s="0" t="n">
        <f aca="false">2*L57</f>
        <v>29.8</v>
      </c>
      <c r="AA57" s="0" t="n">
        <f aca="false">0.5*(Z57-Y57)</f>
        <v>1.9</v>
      </c>
    </row>
    <row r="58" customFormat="false" ht="14.4" hidden="false" customHeight="false" outlineLevel="0" collapsed="false">
      <c r="A58" s="31" t="s">
        <v>1230</v>
      </c>
      <c r="B58" s="31" t="n">
        <v>4022</v>
      </c>
      <c r="C58" s="31" t="n">
        <v>40</v>
      </c>
      <c r="D58" s="31" t="s">
        <v>211</v>
      </c>
      <c r="E58" s="31" t="n">
        <v>140</v>
      </c>
      <c r="F58" s="31" t="s">
        <v>44</v>
      </c>
      <c r="G58" s="31" t="n">
        <v>9.84</v>
      </c>
      <c r="H58" s="31" t="n">
        <v>98.4</v>
      </c>
      <c r="I58" s="32" t="n">
        <v>42.85</v>
      </c>
      <c r="J58" s="32" t="n">
        <v>21.1</v>
      </c>
      <c r="K58" s="32" t="n">
        <v>20</v>
      </c>
      <c r="L58" s="32" t="n">
        <v>14.9</v>
      </c>
      <c r="M58" s="32" t="n">
        <v>30.35</v>
      </c>
      <c r="N58" s="32" t="n">
        <v>11.9</v>
      </c>
      <c r="O58" s="32" t="n">
        <v>5.94</v>
      </c>
      <c r="P58" s="32" t="n">
        <v>9.27</v>
      </c>
      <c r="Q58" s="31" t="n">
        <v>2.37</v>
      </c>
      <c r="R58" s="31" t="n">
        <v>237</v>
      </c>
      <c r="S58" s="31" t="n">
        <v>23.3</v>
      </c>
      <c r="T58" s="31" t="n">
        <v>23300</v>
      </c>
      <c r="U58" s="31" t="n">
        <f aca="false">2*L58*P58</f>
        <v>276.246</v>
      </c>
      <c r="V58" s="0" t="n">
        <f aca="false">0.01*U58</f>
        <v>2.76246</v>
      </c>
      <c r="W58" s="22" t="n">
        <v>1.94</v>
      </c>
      <c r="X58" s="22" t="n">
        <f aca="false">W58</f>
        <v>1.94</v>
      </c>
      <c r="Y58" s="0" t="n">
        <v>26</v>
      </c>
      <c r="Z58" s="0" t="n">
        <f aca="false">2*L58</f>
        <v>29.8</v>
      </c>
      <c r="AA58" s="0" t="n">
        <f aca="false">0.5*(Z58-Y58)</f>
        <v>1.9</v>
      </c>
    </row>
    <row r="59" customFormat="false" ht="14.4" hidden="false" customHeight="false" outlineLevel="0" collapsed="false">
      <c r="A59" s="31" t="s">
        <v>1229</v>
      </c>
      <c r="B59" s="31" t="n">
        <v>4022</v>
      </c>
      <c r="C59" s="31" t="n">
        <v>60</v>
      </c>
      <c r="D59" s="31" t="s">
        <v>211</v>
      </c>
      <c r="E59" s="31" t="n">
        <v>194</v>
      </c>
      <c r="F59" s="31" t="s">
        <v>44</v>
      </c>
      <c r="G59" s="31" t="n">
        <v>9.84</v>
      </c>
      <c r="H59" s="31" t="n">
        <v>98.4</v>
      </c>
      <c r="I59" s="32" t="n">
        <v>42.85</v>
      </c>
      <c r="J59" s="32" t="n">
        <v>21.1</v>
      </c>
      <c r="K59" s="32" t="n">
        <v>20</v>
      </c>
      <c r="L59" s="32" t="n">
        <v>14.9</v>
      </c>
      <c r="M59" s="32" t="n">
        <v>30.35</v>
      </c>
      <c r="N59" s="32" t="n">
        <v>11.9</v>
      </c>
      <c r="O59" s="32" t="n">
        <v>5.94</v>
      </c>
      <c r="P59" s="32" t="n">
        <v>9.27</v>
      </c>
      <c r="Q59" s="31" t="n">
        <v>2.37</v>
      </c>
      <c r="R59" s="31" t="n">
        <v>237</v>
      </c>
      <c r="S59" s="31" t="n">
        <v>23.3</v>
      </c>
      <c r="T59" s="31" t="n">
        <v>23300</v>
      </c>
      <c r="U59" s="31" t="n">
        <f aca="false">2*L59*P59</f>
        <v>276.246</v>
      </c>
      <c r="V59" s="0" t="n">
        <f aca="false">0.01*U59</f>
        <v>2.76246</v>
      </c>
      <c r="W59" s="22" t="n">
        <v>1.94</v>
      </c>
      <c r="X59" s="22" t="n">
        <f aca="false">W59</f>
        <v>1.94</v>
      </c>
      <c r="Y59" s="0" t="n">
        <v>26</v>
      </c>
      <c r="Z59" s="0" t="n">
        <f aca="false">2*L59</f>
        <v>29.8</v>
      </c>
      <c r="AA59" s="0" t="n">
        <f aca="false">0.5*(Z59-Y59)</f>
        <v>1.9</v>
      </c>
    </row>
    <row r="60" customFormat="false" ht="14.4" hidden="false" customHeight="false" outlineLevel="0" collapsed="false">
      <c r="A60" s="31" t="s">
        <v>1225</v>
      </c>
      <c r="B60" s="31" t="n">
        <v>4317</v>
      </c>
      <c r="C60" s="31" t="n">
        <v>26</v>
      </c>
      <c r="D60" s="31" t="s">
        <v>211</v>
      </c>
      <c r="E60" s="31" t="n">
        <v>88</v>
      </c>
      <c r="F60" s="31" t="s">
        <v>44</v>
      </c>
      <c r="G60" s="31" t="n">
        <v>7.75</v>
      </c>
      <c r="H60" s="31" t="n">
        <v>77.5</v>
      </c>
      <c r="I60" s="32" t="n">
        <v>40.87</v>
      </c>
      <c r="J60" s="32" t="n">
        <v>16.5</v>
      </c>
      <c r="K60" s="32" t="n">
        <v>12.5</v>
      </c>
      <c r="L60" s="32" t="n">
        <v>10.3</v>
      </c>
      <c r="M60" s="32" t="n">
        <v>28.32</v>
      </c>
      <c r="N60" s="32" t="n">
        <v>12.5</v>
      </c>
      <c r="O60" s="32" t="n">
        <v>6.05</v>
      </c>
      <c r="P60" s="32" t="n">
        <v>7.87</v>
      </c>
      <c r="Q60" s="31" t="n">
        <v>1.52</v>
      </c>
      <c r="R60" s="31" t="n">
        <v>152</v>
      </c>
      <c r="S60" s="31" t="n">
        <v>11.8</v>
      </c>
      <c r="T60" s="31" t="n">
        <v>11800</v>
      </c>
      <c r="U60" s="31" t="n">
        <f aca="false">2*L60*P60</f>
        <v>162.122</v>
      </c>
      <c r="V60" s="0" t="n">
        <f aca="false">0.01*U60</f>
        <v>1.62122</v>
      </c>
      <c r="W60" s="22" t="n">
        <v>1.01</v>
      </c>
      <c r="X60" s="22" t="n">
        <v>1.26</v>
      </c>
      <c r="Y60" s="0" t="n">
        <v>18.11</v>
      </c>
      <c r="Z60" s="0" t="n">
        <f aca="false">2*L60</f>
        <v>20.6</v>
      </c>
      <c r="AA60" s="0" t="n">
        <f aca="false">0.5*(Z60-Y60)</f>
        <v>1.245</v>
      </c>
    </row>
    <row r="61" customFormat="false" ht="14.4" hidden="false" customHeight="false" outlineLevel="0" collapsed="false">
      <c r="A61" s="31" t="s">
        <v>1224</v>
      </c>
      <c r="B61" s="31" t="n">
        <v>4317</v>
      </c>
      <c r="C61" s="31" t="n">
        <v>40</v>
      </c>
      <c r="D61" s="31" t="s">
        <v>211</v>
      </c>
      <c r="E61" s="31" t="n">
        <v>119</v>
      </c>
      <c r="F61" s="31" t="s">
        <v>44</v>
      </c>
      <c r="G61" s="31" t="n">
        <v>7.75</v>
      </c>
      <c r="H61" s="31" t="n">
        <v>77.5</v>
      </c>
      <c r="I61" s="32" t="n">
        <v>40.87</v>
      </c>
      <c r="J61" s="32" t="n">
        <v>16.5</v>
      </c>
      <c r="K61" s="32" t="n">
        <v>12.5</v>
      </c>
      <c r="L61" s="32" t="n">
        <v>10.3</v>
      </c>
      <c r="M61" s="32" t="n">
        <v>28.32</v>
      </c>
      <c r="N61" s="32" t="n">
        <v>12.5</v>
      </c>
      <c r="O61" s="32" t="n">
        <v>6.05</v>
      </c>
      <c r="P61" s="32" t="n">
        <v>7.87</v>
      </c>
      <c r="Q61" s="31" t="n">
        <v>1.52</v>
      </c>
      <c r="R61" s="31" t="n">
        <v>152</v>
      </c>
      <c r="S61" s="31" t="n">
        <v>11.8</v>
      </c>
      <c r="T61" s="31" t="n">
        <v>11800</v>
      </c>
      <c r="U61" s="31" t="n">
        <f aca="false">2*L61*P61</f>
        <v>162.122</v>
      </c>
      <c r="V61" s="0" t="n">
        <f aca="false">0.01*U61</f>
        <v>1.62122</v>
      </c>
      <c r="W61" s="22" t="n">
        <v>1.01</v>
      </c>
      <c r="X61" s="22" t="n">
        <v>1.26</v>
      </c>
      <c r="Y61" s="0" t="n">
        <v>18.11</v>
      </c>
      <c r="Z61" s="0" t="n">
        <f aca="false">2*L61</f>
        <v>20.6</v>
      </c>
      <c r="AA61" s="0" t="n">
        <f aca="false">0.5*(Z61-Y61)</f>
        <v>1.245</v>
      </c>
    </row>
    <row r="62" customFormat="false" ht="14.4" hidden="false" customHeight="false" outlineLevel="0" collapsed="false">
      <c r="A62" s="31" t="s">
        <v>1223</v>
      </c>
      <c r="B62" s="31" t="n">
        <v>4317</v>
      </c>
      <c r="C62" s="31" t="n">
        <v>60</v>
      </c>
      <c r="D62" s="31" t="s">
        <v>211</v>
      </c>
      <c r="E62" s="31" t="n">
        <v>163</v>
      </c>
      <c r="F62" s="31" t="s">
        <v>44</v>
      </c>
      <c r="G62" s="31" t="n">
        <v>7.75</v>
      </c>
      <c r="H62" s="31" t="n">
        <v>77.5</v>
      </c>
      <c r="I62" s="32" t="n">
        <v>40.87</v>
      </c>
      <c r="J62" s="32" t="n">
        <v>16.5</v>
      </c>
      <c r="K62" s="32" t="n">
        <v>12.5</v>
      </c>
      <c r="L62" s="32" t="n">
        <v>10.3</v>
      </c>
      <c r="M62" s="32" t="n">
        <v>28.32</v>
      </c>
      <c r="N62" s="32" t="n">
        <v>12.5</v>
      </c>
      <c r="O62" s="32" t="n">
        <v>6.05</v>
      </c>
      <c r="P62" s="32" t="n">
        <v>7.87</v>
      </c>
      <c r="Q62" s="31" t="n">
        <v>1.52</v>
      </c>
      <c r="R62" s="31" t="n">
        <v>152</v>
      </c>
      <c r="S62" s="31" t="n">
        <v>11.8</v>
      </c>
      <c r="T62" s="31" t="n">
        <v>11800</v>
      </c>
      <c r="U62" s="31" t="n">
        <f aca="false">2*L62*P62</f>
        <v>162.122</v>
      </c>
      <c r="V62" s="0" t="n">
        <f aca="false">0.01*U62</f>
        <v>1.62122</v>
      </c>
      <c r="W62" s="22" t="n">
        <v>1.01</v>
      </c>
      <c r="X62" s="22" t="n">
        <v>1.26</v>
      </c>
      <c r="Y62" s="0" t="n">
        <v>18.11</v>
      </c>
      <c r="Z62" s="0" t="n">
        <f aca="false">2*L62</f>
        <v>20.6</v>
      </c>
      <c r="AA62" s="0" t="n">
        <f aca="false">0.5*(Z62-Y62)</f>
        <v>1.245</v>
      </c>
    </row>
    <row r="63" customFormat="false" ht="14.4" hidden="false" customHeight="false" outlineLevel="0" collapsed="false">
      <c r="A63" s="31" t="s">
        <v>1234</v>
      </c>
      <c r="B63" s="31" t="n">
        <v>5528</v>
      </c>
      <c r="C63" s="31" t="n">
        <v>26</v>
      </c>
      <c r="D63" s="31" t="s">
        <v>211</v>
      </c>
      <c r="E63" s="31" t="n">
        <v>116</v>
      </c>
      <c r="F63" s="31" t="s">
        <v>44</v>
      </c>
      <c r="G63" s="31" t="n">
        <v>12.3</v>
      </c>
      <c r="H63" s="31" t="n">
        <v>123</v>
      </c>
      <c r="I63" s="311" t="n">
        <v>54.86</v>
      </c>
      <c r="J63" s="311" t="n">
        <v>27.56</v>
      </c>
      <c r="K63" s="311" t="n">
        <v>20.6</v>
      </c>
      <c r="L63" s="311" t="n">
        <v>18.5</v>
      </c>
      <c r="M63" s="311" t="n">
        <v>37.49</v>
      </c>
      <c r="N63" s="311" t="n">
        <v>16.8</v>
      </c>
      <c r="O63" s="311" t="n">
        <v>8.38</v>
      </c>
      <c r="P63" s="311" t="n">
        <v>10.2</v>
      </c>
      <c r="Q63" s="32" t="n">
        <v>3.5</v>
      </c>
      <c r="R63" s="31" t="n">
        <v>350</v>
      </c>
      <c r="S63" s="31" t="n">
        <v>43.1</v>
      </c>
      <c r="T63" s="31" t="n">
        <v>43100</v>
      </c>
      <c r="U63" s="31" t="n">
        <f aca="false">2*L63*P63</f>
        <v>377.4</v>
      </c>
      <c r="V63" s="0" t="n">
        <f aca="false">0.01*U63</f>
        <v>3.774</v>
      </c>
      <c r="W63" s="22" t="n">
        <v>3.02</v>
      </c>
      <c r="X63" s="22" t="n">
        <v>3.02</v>
      </c>
      <c r="Y63" s="0" t="n">
        <v>33.4</v>
      </c>
      <c r="Z63" s="0" t="n">
        <f aca="false">2*L63</f>
        <v>37</v>
      </c>
      <c r="AA63" s="0" t="n">
        <f aca="false">0.5*(Z63-Y63)</f>
        <v>1.8</v>
      </c>
    </row>
    <row r="64" customFormat="false" ht="14.4" hidden="false" customHeight="false" outlineLevel="0" collapsed="false">
      <c r="A64" s="31" t="s">
        <v>1233</v>
      </c>
      <c r="B64" s="31" t="n">
        <v>5528</v>
      </c>
      <c r="C64" s="31" t="n">
        <v>40</v>
      </c>
      <c r="D64" s="31" t="s">
        <v>211</v>
      </c>
      <c r="E64" s="31" t="n">
        <v>157</v>
      </c>
      <c r="F64" s="31" t="s">
        <v>44</v>
      </c>
      <c r="G64" s="31" t="n">
        <v>12.3</v>
      </c>
      <c r="H64" s="31" t="n">
        <v>123</v>
      </c>
      <c r="I64" s="311" t="n">
        <v>54.86</v>
      </c>
      <c r="J64" s="311" t="n">
        <v>27.56</v>
      </c>
      <c r="K64" s="311" t="n">
        <v>20.6</v>
      </c>
      <c r="L64" s="311" t="n">
        <v>18.5</v>
      </c>
      <c r="M64" s="311" t="n">
        <v>37.49</v>
      </c>
      <c r="N64" s="311" t="n">
        <v>16.8</v>
      </c>
      <c r="O64" s="311" t="n">
        <v>8.38</v>
      </c>
      <c r="P64" s="311" t="n">
        <v>10.2</v>
      </c>
      <c r="Q64" s="32" t="n">
        <v>3.5</v>
      </c>
      <c r="R64" s="31" t="n">
        <v>350</v>
      </c>
      <c r="S64" s="31" t="n">
        <v>43.1</v>
      </c>
      <c r="T64" s="31" t="n">
        <v>43100</v>
      </c>
      <c r="U64" s="31" t="n">
        <f aca="false">2*L64*P64</f>
        <v>377.4</v>
      </c>
      <c r="V64" s="0" t="n">
        <f aca="false">0.01*U64</f>
        <v>3.774</v>
      </c>
      <c r="W64" s="22" t="n">
        <v>3.02</v>
      </c>
      <c r="X64" s="22" t="n">
        <v>3.02</v>
      </c>
      <c r="Y64" s="0" t="n">
        <v>33.4</v>
      </c>
      <c r="Z64" s="0" t="n">
        <f aca="false">2*L64</f>
        <v>37</v>
      </c>
      <c r="AA64" s="0" t="n">
        <f aca="false">0.5*(Z64-Y64)</f>
        <v>1.8</v>
      </c>
    </row>
    <row r="65" customFormat="false" ht="14.4" hidden="false" customHeight="false" outlineLevel="0" collapsed="false">
      <c r="A65" s="31" t="s">
        <v>1232</v>
      </c>
      <c r="B65" s="31" t="n">
        <v>5528</v>
      </c>
      <c r="C65" s="31" t="n">
        <v>60</v>
      </c>
      <c r="D65" s="31" t="s">
        <v>211</v>
      </c>
      <c r="E65" s="31" t="n">
        <v>219</v>
      </c>
      <c r="F65" s="31" t="s">
        <v>44</v>
      </c>
      <c r="G65" s="31" t="n">
        <v>12.3</v>
      </c>
      <c r="H65" s="31" t="n">
        <v>123</v>
      </c>
      <c r="I65" s="311" t="n">
        <v>54.86</v>
      </c>
      <c r="J65" s="311" t="n">
        <v>27.56</v>
      </c>
      <c r="K65" s="311" t="n">
        <v>20.6</v>
      </c>
      <c r="L65" s="311" t="n">
        <v>18.5</v>
      </c>
      <c r="M65" s="311" t="n">
        <v>37.49</v>
      </c>
      <c r="N65" s="311" t="n">
        <v>16.8</v>
      </c>
      <c r="O65" s="311" t="n">
        <v>8.38</v>
      </c>
      <c r="P65" s="311" t="n">
        <v>10.2</v>
      </c>
      <c r="Q65" s="32" t="n">
        <v>3.5</v>
      </c>
      <c r="R65" s="31" t="n">
        <v>350</v>
      </c>
      <c r="S65" s="31" t="n">
        <v>43.1</v>
      </c>
      <c r="T65" s="31" t="n">
        <v>43100</v>
      </c>
      <c r="U65" s="31" t="n">
        <f aca="false">2*L65*P65</f>
        <v>377.4</v>
      </c>
      <c r="V65" s="0" t="n">
        <f aca="false">0.01*U65</f>
        <v>3.774</v>
      </c>
      <c r="W65" s="22" t="n">
        <v>3.02</v>
      </c>
      <c r="X65" s="22" t="n">
        <v>3.02</v>
      </c>
      <c r="Y65" s="0" t="n">
        <v>33.4</v>
      </c>
      <c r="Z65" s="0" t="n">
        <f aca="false">2*L65</f>
        <v>37</v>
      </c>
      <c r="AA65" s="0" t="n">
        <f aca="false">0.5*(Z65-Y65)</f>
        <v>1.8</v>
      </c>
    </row>
    <row r="66" customFormat="false" ht="14.4" hidden="false" customHeight="false" outlineLevel="0" collapsed="false">
      <c r="A66" s="31" t="s">
        <v>1237</v>
      </c>
      <c r="B66" s="31" t="n">
        <v>5530</v>
      </c>
      <c r="C66" s="31" t="n">
        <v>26</v>
      </c>
      <c r="D66" s="31" t="s">
        <v>211</v>
      </c>
      <c r="E66" s="31" t="n">
        <v>138</v>
      </c>
      <c r="F66" s="31" t="s">
        <v>44</v>
      </c>
      <c r="G66" s="31" t="n">
        <v>12.3</v>
      </c>
      <c r="H66" s="31" t="n">
        <v>123</v>
      </c>
      <c r="I66" s="311" t="n">
        <v>54.86</v>
      </c>
      <c r="J66" s="311" t="n">
        <v>27.56</v>
      </c>
      <c r="K66" s="311" t="n">
        <v>24.6</v>
      </c>
      <c r="L66" s="311" t="n">
        <v>18.5</v>
      </c>
      <c r="M66" s="311" t="n">
        <v>37.49</v>
      </c>
      <c r="N66" s="311" t="n">
        <v>16.8</v>
      </c>
      <c r="O66" s="311" t="n">
        <v>8.38</v>
      </c>
      <c r="P66" s="311" t="n">
        <v>10.2</v>
      </c>
      <c r="Q66" s="31" t="n">
        <v>4.17</v>
      </c>
      <c r="R66" s="31" t="n">
        <v>417</v>
      </c>
      <c r="S66" s="31" t="n">
        <v>51.3</v>
      </c>
      <c r="T66" s="31" t="n">
        <v>51300</v>
      </c>
      <c r="U66" s="31" t="n">
        <f aca="false">2*L66*P66</f>
        <v>377.4</v>
      </c>
      <c r="V66" s="0" t="n">
        <f aca="false">0.01*U66</f>
        <v>3.774</v>
      </c>
      <c r="W66" s="22" t="n">
        <v>2.89</v>
      </c>
      <c r="X66" s="22" t="n">
        <f aca="false">W66</f>
        <v>2.89</v>
      </c>
      <c r="Y66" s="0" t="n">
        <v>33.4</v>
      </c>
      <c r="Z66" s="0" t="n">
        <f aca="false">2*L66</f>
        <v>37</v>
      </c>
      <c r="AA66" s="0" t="n">
        <f aca="false">0.5*(Z66-Y66)</f>
        <v>1.8</v>
      </c>
    </row>
    <row r="67" customFormat="false" ht="14.4" hidden="false" customHeight="false" outlineLevel="0" collapsed="false">
      <c r="A67" s="31" t="s">
        <v>1236</v>
      </c>
      <c r="B67" s="31" t="n">
        <v>5530</v>
      </c>
      <c r="C67" s="31" t="n">
        <v>40</v>
      </c>
      <c r="D67" s="31" t="s">
        <v>211</v>
      </c>
      <c r="E67" s="31" t="n">
        <v>187</v>
      </c>
      <c r="F67" s="31" t="s">
        <v>44</v>
      </c>
      <c r="G67" s="31" t="n">
        <v>12.3</v>
      </c>
      <c r="H67" s="31" t="n">
        <v>123</v>
      </c>
      <c r="I67" s="311" t="n">
        <v>54.86</v>
      </c>
      <c r="J67" s="311" t="n">
        <v>27.56</v>
      </c>
      <c r="K67" s="311" t="n">
        <v>24.6</v>
      </c>
      <c r="L67" s="311" t="n">
        <v>18.5</v>
      </c>
      <c r="M67" s="311" t="n">
        <v>37.49</v>
      </c>
      <c r="N67" s="311" t="n">
        <v>16.8</v>
      </c>
      <c r="O67" s="311" t="n">
        <v>8.38</v>
      </c>
      <c r="P67" s="311" t="n">
        <v>10.2</v>
      </c>
      <c r="Q67" s="31" t="n">
        <v>4.17</v>
      </c>
      <c r="R67" s="31" t="n">
        <v>417</v>
      </c>
      <c r="S67" s="31" t="n">
        <v>51.3</v>
      </c>
      <c r="T67" s="31" t="n">
        <v>51300</v>
      </c>
      <c r="U67" s="31" t="n">
        <f aca="false">2*L67*P67</f>
        <v>377.4</v>
      </c>
      <c r="V67" s="0" t="n">
        <f aca="false">0.01*U67</f>
        <v>3.774</v>
      </c>
      <c r="W67" s="22" t="n">
        <v>2.89</v>
      </c>
      <c r="X67" s="22" t="n">
        <f aca="false">W67</f>
        <v>2.89</v>
      </c>
      <c r="Y67" s="0" t="n">
        <v>33.4</v>
      </c>
      <c r="Z67" s="0" t="n">
        <f aca="false">2*L67</f>
        <v>37</v>
      </c>
      <c r="AA67" s="0" t="n">
        <f aca="false">0.5*(Z67-Y67)</f>
        <v>1.8</v>
      </c>
    </row>
    <row r="68" customFormat="false" ht="14.4" hidden="false" customHeight="false" outlineLevel="0" collapsed="false">
      <c r="A68" s="31" t="s">
        <v>1235</v>
      </c>
      <c r="B68" s="31" t="n">
        <v>5530</v>
      </c>
      <c r="C68" s="31" t="n">
        <v>60</v>
      </c>
      <c r="D68" s="31" t="s">
        <v>211</v>
      </c>
      <c r="E68" s="31" t="n">
        <v>261</v>
      </c>
      <c r="F68" s="31" t="s">
        <v>44</v>
      </c>
      <c r="G68" s="31" t="n">
        <v>12.3</v>
      </c>
      <c r="H68" s="31" t="n">
        <v>123</v>
      </c>
      <c r="I68" s="311" t="n">
        <v>54.86</v>
      </c>
      <c r="J68" s="311" t="n">
        <v>27.56</v>
      </c>
      <c r="K68" s="311" t="n">
        <v>24.6</v>
      </c>
      <c r="L68" s="311" t="n">
        <v>18.5</v>
      </c>
      <c r="M68" s="311" t="n">
        <v>37.49</v>
      </c>
      <c r="N68" s="311" t="n">
        <v>16.8</v>
      </c>
      <c r="O68" s="311" t="n">
        <v>8.38</v>
      </c>
      <c r="P68" s="311" t="n">
        <v>10.2</v>
      </c>
      <c r="Q68" s="31" t="n">
        <v>4.17</v>
      </c>
      <c r="R68" s="31" t="n">
        <v>417</v>
      </c>
      <c r="S68" s="31" t="n">
        <v>51.3</v>
      </c>
      <c r="T68" s="31" t="n">
        <v>51300</v>
      </c>
      <c r="U68" s="31" t="n">
        <f aca="false">2*L68*P68</f>
        <v>377.4</v>
      </c>
      <c r="V68" s="0" t="n">
        <f aca="false">0.01*U68</f>
        <v>3.774</v>
      </c>
      <c r="W68" s="22" t="n">
        <v>2.89</v>
      </c>
      <c r="X68" s="22" t="n">
        <f aca="false">W68</f>
        <v>2.89</v>
      </c>
      <c r="Y68" s="0" t="n">
        <v>33.4</v>
      </c>
      <c r="Z68" s="0" t="n">
        <f aca="false">2*L68</f>
        <v>37</v>
      </c>
      <c r="AA68" s="0" t="n">
        <f aca="false">0.5*(Z68-Y68)</f>
        <v>1.8</v>
      </c>
    </row>
    <row r="69" customFormat="false" ht="14.4" hidden="false" customHeight="false" outlineLevel="0" collapsed="false">
      <c r="A69" s="31" t="s">
        <v>1243</v>
      </c>
      <c r="B69" s="31" t="n">
        <v>6527</v>
      </c>
      <c r="C69" s="31" t="n">
        <v>26</v>
      </c>
      <c r="D69" s="31" t="s">
        <v>211</v>
      </c>
      <c r="E69" s="31" t="n">
        <v>162</v>
      </c>
      <c r="F69" s="31" t="s">
        <v>44</v>
      </c>
      <c r="G69" s="31" t="n">
        <v>14.7</v>
      </c>
      <c r="H69" s="31" t="n">
        <v>147</v>
      </c>
      <c r="I69" s="32" t="n">
        <v>65.15</v>
      </c>
      <c r="J69" s="311" t="n">
        <v>32.51</v>
      </c>
      <c r="K69" s="311" t="n">
        <v>27</v>
      </c>
      <c r="L69" s="311" t="n">
        <v>22.1</v>
      </c>
      <c r="M69" s="311" t="n">
        <v>44.19</v>
      </c>
      <c r="N69" s="311" t="n">
        <v>19.7</v>
      </c>
      <c r="O69" s="311" t="n">
        <v>10</v>
      </c>
      <c r="P69" s="311" t="n">
        <v>12</v>
      </c>
      <c r="Q69" s="32" t="n">
        <v>5.4</v>
      </c>
      <c r="R69" s="31" t="n">
        <v>540</v>
      </c>
      <c r="S69" s="31" t="n">
        <v>79.4</v>
      </c>
      <c r="T69" s="31" t="n">
        <v>79400</v>
      </c>
      <c r="U69" s="31" t="n">
        <f aca="false">2*L69*P69</f>
        <v>530.4</v>
      </c>
      <c r="V69" s="0" t="n">
        <f aca="false">0.01*U69</f>
        <v>5.304</v>
      </c>
      <c r="W69" s="22" t="n">
        <f aca="false">X69</f>
        <v>4.54</v>
      </c>
      <c r="X69" s="22" t="n">
        <v>4.54</v>
      </c>
      <c r="Y69" s="0" t="n">
        <v>39.5</v>
      </c>
      <c r="Z69" s="0" t="n">
        <f aca="false">2*L69</f>
        <v>44.2</v>
      </c>
      <c r="AA69" s="0" t="n">
        <f aca="false">0.5*(Z69-Y69)</f>
        <v>2.35</v>
      </c>
    </row>
    <row r="70" customFormat="false" ht="14.4" hidden="false" customHeight="false" outlineLevel="0" collapsed="false">
      <c r="A70" s="31" t="s">
        <v>1242</v>
      </c>
      <c r="B70" s="31" t="n">
        <v>6527</v>
      </c>
      <c r="C70" s="31" t="n">
        <v>40</v>
      </c>
      <c r="D70" s="31" t="s">
        <v>211</v>
      </c>
      <c r="E70" s="31" t="n">
        <v>230</v>
      </c>
      <c r="F70" s="31" t="s">
        <v>44</v>
      </c>
      <c r="G70" s="31" t="n">
        <v>14.7</v>
      </c>
      <c r="H70" s="31" t="n">
        <v>147</v>
      </c>
      <c r="I70" s="32" t="n">
        <v>65.15</v>
      </c>
      <c r="J70" s="311" t="n">
        <v>32.51</v>
      </c>
      <c r="K70" s="311" t="n">
        <v>27</v>
      </c>
      <c r="L70" s="311" t="n">
        <v>22.1</v>
      </c>
      <c r="M70" s="311" t="n">
        <v>44.19</v>
      </c>
      <c r="N70" s="311" t="n">
        <v>19.7</v>
      </c>
      <c r="O70" s="311" t="n">
        <v>10</v>
      </c>
      <c r="P70" s="311" t="n">
        <v>12</v>
      </c>
      <c r="Q70" s="32" t="n">
        <v>5.4</v>
      </c>
      <c r="R70" s="31" t="n">
        <v>540</v>
      </c>
      <c r="S70" s="31" t="n">
        <v>79.4</v>
      </c>
      <c r="T70" s="31" t="n">
        <v>79400</v>
      </c>
      <c r="U70" s="31" t="n">
        <f aca="false">2*L70*P70</f>
        <v>530.4</v>
      </c>
      <c r="V70" s="0" t="n">
        <f aca="false">0.01*U70</f>
        <v>5.304</v>
      </c>
      <c r="W70" s="22" t="n">
        <f aca="false">X70</f>
        <v>4.54</v>
      </c>
      <c r="X70" s="22" t="n">
        <v>4.54</v>
      </c>
      <c r="Y70" s="0" t="n">
        <v>39.5</v>
      </c>
      <c r="Z70" s="0" t="n">
        <f aca="false">2*L70</f>
        <v>44.2</v>
      </c>
      <c r="AA70" s="0" t="n">
        <f aca="false">0.5*(Z70-Y70)</f>
        <v>2.35</v>
      </c>
    </row>
    <row r="71" customFormat="false" ht="14.4" hidden="false" customHeight="false" outlineLevel="0" collapsed="false">
      <c r="A71" s="31" t="s">
        <v>1241</v>
      </c>
      <c r="B71" s="31" t="n">
        <v>6527</v>
      </c>
      <c r="C71" s="31" t="n">
        <v>60</v>
      </c>
      <c r="D71" s="31" t="s">
        <v>211</v>
      </c>
      <c r="E71" s="31" t="n">
        <v>300</v>
      </c>
      <c r="F71" s="31" t="s">
        <v>44</v>
      </c>
      <c r="G71" s="31" t="n">
        <v>14.7</v>
      </c>
      <c r="H71" s="31" t="n">
        <v>147</v>
      </c>
      <c r="I71" s="32" t="n">
        <v>65.15</v>
      </c>
      <c r="J71" s="311" t="n">
        <v>32.51</v>
      </c>
      <c r="K71" s="311" t="n">
        <v>27</v>
      </c>
      <c r="L71" s="311" t="n">
        <v>22.1</v>
      </c>
      <c r="M71" s="311" t="n">
        <v>44.19</v>
      </c>
      <c r="N71" s="311" t="n">
        <v>19.7</v>
      </c>
      <c r="O71" s="311" t="n">
        <v>10</v>
      </c>
      <c r="P71" s="311" t="n">
        <v>12</v>
      </c>
      <c r="Q71" s="32" t="n">
        <v>5.4</v>
      </c>
      <c r="R71" s="31" t="n">
        <v>540</v>
      </c>
      <c r="S71" s="31" t="n">
        <v>79.4</v>
      </c>
      <c r="T71" s="31" t="n">
        <v>79400</v>
      </c>
      <c r="U71" s="31" t="n">
        <f aca="false">2*L71*P71</f>
        <v>530.4</v>
      </c>
      <c r="V71" s="0" t="n">
        <f aca="false">0.01*U71</f>
        <v>5.304</v>
      </c>
      <c r="W71" s="22" t="n">
        <f aca="false">X71</f>
        <v>4.54</v>
      </c>
      <c r="X71" s="22" t="n">
        <v>4.54</v>
      </c>
      <c r="Y71" s="0" t="n">
        <v>39.5</v>
      </c>
      <c r="Z71" s="0" t="n">
        <f aca="false">2*L71</f>
        <v>44.2</v>
      </c>
      <c r="AA71" s="0" t="n">
        <f aca="false">0.5*(Z71-Y71)</f>
        <v>2.35</v>
      </c>
    </row>
    <row r="72" customFormat="false" ht="14.4" hidden="false" customHeight="false" outlineLevel="0" collapsed="false">
      <c r="A72" s="31" t="s">
        <v>1240</v>
      </c>
      <c r="B72" s="31" t="n">
        <v>7228</v>
      </c>
      <c r="C72" s="31" t="n">
        <v>26</v>
      </c>
      <c r="D72" s="31" t="s">
        <v>211</v>
      </c>
      <c r="E72" s="31" t="n">
        <v>130</v>
      </c>
      <c r="F72" s="31" t="s">
        <v>44</v>
      </c>
      <c r="G72" s="31" t="n">
        <v>13.7</v>
      </c>
      <c r="H72" s="31" t="n">
        <v>137</v>
      </c>
      <c r="I72" s="32" t="n">
        <v>72.39</v>
      </c>
      <c r="J72" s="32" t="n">
        <v>27.94</v>
      </c>
      <c r="K72" s="32" t="n">
        <v>19.1</v>
      </c>
      <c r="L72" s="32" t="n">
        <v>17.7</v>
      </c>
      <c r="M72" s="32" t="n">
        <v>52.62</v>
      </c>
      <c r="N72" s="32" t="n">
        <v>19.1</v>
      </c>
      <c r="O72" s="32" t="n">
        <v>9.53</v>
      </c>
      <c r="P72" s="32" t="n">
        <v>16.8</v>
      </c>
      <c r="Q72" s="31" t="n">
        <v>3.68</v>
      </c>
      <c r="R72" s="31" t="n">
        <v>368</v>
      </c>
      <c r="S72" s="31" t="n">
        <v>50.4</v>
      </c>
      <c r="T72" s="31" t="n">
        <v>50400</v>
      </c>
      <c r="U72" s="31" t="n">
        <f aca="false">2*L72*P72</f>
        <v>594.72</v>
      </c>
      <c r="V72" s="0" t="n">
        <f aca="false">0.01*U72</f>
        <v>5.9472</v>
      </c>
      <c r="W72" s="22" t="n">
        <f aca="false">X72</f>
        <v>4.08</v>
      </c>
      <c r="X72" s="22" t="n">
        <v>4.08</v>
      </c>
      <c r="Y72" s="0" t="n">
        <v>30.4</v>
      </c>
      <c r="Z72" s="0" t="n">
        <f aca="false">2*L72</f>
        <v>35.4</v>
      </c>
      <c r="AA72" s="0" t="n">
        <f aca="false">0.5*(Z72-Y72)</f>
        <v>2.5</v>
      </c>
    </row>
    <row r="73" customFormat="false" ht="14.4" hidden="false" customHeight="false" outlineLevel="0" collapsed="false">
      <c r="A73" s="31" t="s">
        <v>1239</v>
      </c>
      <c r="B73" s="31" t="n">
        <v>7228</v>
      </c>
      <c r="C73" s="31" t="n">
        <v>40</v>
      </c>
      <c r="D73" s="31" t="s">
        <v>211</v>
      </c>
      <c r="E73" s="31" t="n">
        <v>173</v>
      </c>
      <c r="F73" s="31" t="s">
        <v>44</v>
      </c>
      <c r="G73" s="31" t="n">
        <v>13.7</v>
      </c>
      <c r="H73" s="31" t="n">
        <v>137</v>
      </c>
      <c r="I73" s="32" t="n">
        <v>72.39</v>
      </c>
      <c r="J73" s="32" t="n">
        <v>27.94</v>
      </c>
      <c r="K73" s="32" t="n">
        <v>19.1</v>
      </c>
      <c r="L73" s="32" t="n">
        <v>17.7</v>
      </c>
      <c r="M73" s="32" t="n">
        <v>52.62</v>
      </c>
      <c r="N73" s="32" t="n">
        <v>19.1</v>
      </c>
      <c r="O73" s="32" t="n">
        <v>9.53</v>
      </c>
      <c r="P73" s="32" t="n">
        <v>16.8</v>
      </c>
      <c r="Q73" s="31" t="n">
        <v>3.68</v>
      </c>
      <c r="R73" s="31" t="n">
        <v>368</v>
      </c>
      <c r="S73" s="31" t="n">
        <v>50.4</v>
      </c>
      <c r="T73" s="31" t="n">
        <v>50400</v>
      </c>
      <c r="U73" s="31" t="n">
        <f aca="false">2*L73*P73</f>
        <v>594.72</v>
      </c>
      <c r="V73" s="0" t="n">
        <f aca="false">0.01*U73</f>
        <v>5.9472</v>
      </c>
      <c r="W73" s="22" t="n">
        <f aca="false">X73</f>
        <v>4.08</v>
      </c>
      <c r="X73" s="22" t="n">
        <v>4.08</v>
      </c>
      <c r="Y73" s="0" t="n">
        <v>30.4</v>
      </c>
      <c r="Z73" s="0" t="n">
        <f aca="false">2*L73</f>
        <v>35.4</v>
      </c>
      <c r="AA73" s="0" t="n">
        <f aca="false">0.5*(Z73-Y73)</f>
        <v>2.5</v>
      </c>
    </row>
    <row r="74" customFormat="false" ht="14.4" hidden="false" customHeight="false" outlineLevel="0" collapsed="false">
      <c r="A74" s="31" t="s">
        <v>1238</v>
      </c>
      <c r="B74" s="31" t="n">
        <v>7228</v>
      </c>
      <c r="C74" s="31" t="n">
        <v>60</v>
      </c>
      <c r="D74" s="31" t="s">
        <v>211</v>
      </c>
      <c r="E74" s="31" t="n">
        <v>235</v>
      </c>
      <c r="F74" s="31" t="s">
        <v>44</v>
      </c>
      <c r="G74" s="31" t="n">
        <v>13.7</v>
      </c>
      <c r="H74" s="31" t="n">
        <v>137</v>
      </c>
      <c r="I74" s="32" t="n">
        <v>72.39</v>
      </c>
      <c r="J74" s="32" t="n">
        <v>27.94</v>
      </c>
      <c r="K74" s="32" t="n">
        <v>19.1</v>
      </c>
      <c r="L74" s="32" t="n">
        <v>17.7</v>
      </c>
      <c r="M74" s="32" t="n">
        <v>52.62</v>
      </c>
      <c r="N74" s="32" t="n">
        <v>19.1</v>
      </c>
      <c r="O74" s="32" t="n">
        <v>9.53</v>
      </c>
      <c r="P74" s="32" t="n">
        <v>16.8</v>
      </c>
      <c r="Q74" s="31" t="n">
        <v>3.68</v>
      </c>
      <c r="R74" s="31" t="n">
        <v>368</v>
      </c>
      <c r="S74" s="31" t="n">
        <v>50.4</v>
      </c>
      <c r="T74" s="31" t="n">
        <v>50400</v>
      </c>
      <c r="U74" s="31" t="n">
        <f aca="false">2*L74*P74</f>
        <v>594.72</v>
      </c>
      <c r="V74" s="0" t="n">
        <f aca="false">0.01*U74</f>
        <v>5.9472</v>
      </c>
      <c r="W74" s="22" t="n">
        <f aca="false">X74</f>
        <v>4.08</v>
      </c>
      <c r="X74" s="22" t="n">
        <v>4.08</v>
      </c>
      <c r="Y74" s="0" t="n">
        <v>30.4</v>
      </c>
      <c r="Z74" s="0" t="n">
        <f aca="false">2*L74</f>
        <v>35.4</v>
      </c>
      <c r="AA74" s="0" t="n">
        <f aca="false">0.5*(Z74-Y74)</f>
        <v>2.5</v>
      </c>
    </row>
    <row r="75" customFormat="false" ht="14.4" hidden="false" customHeight="false" outlineLevel="0" collapsed="false">
      <c r="A75" s="31" t="s">
        <v>1246</v>
      </c>
      <c r="B75" s="31" t="n">
        <v>8020</v>
      </c>
      <c r="C75" s="31" t="n">
        <v>26</v>
      </c>
      <c r="D75" s="31" t="s">
        <v>211</v>
      </c>
      <c r="E75" s="31" t="n">
        <v>103</v>
      </c>
      <c r="F75" s="31" t="s">
        <v>44</v>
      </c>
      <c r="G75" s="31" t="n">
        <v>18.5</v>
      </c>
      <c r="H75" s="31" t="n">
        <v>185</v>
      </c>
      <c r="I75" s="32" t="n">
        <v>80.01</v>
      </c>
      <c r="J75" s="32" t="n">
        <v>38.1</v>
      </c>
      <c r="K75" s="32" t="n">
        <v>19.8</v>
      </c>
      <c r="L75" s="32" t="n">
        <v>28.01</v>
      </c>
      <c r="M75" s="32" t="n">
        <v>59.28</v>
      </c>
      <c r="N75" s="32" t="n">
        <v>19.8</v>
      </c>
      <c r="O75" s="32" t="n">
        <v>9.91</v>
      </c>
      <c r="P75" s="32" t="n">
        <v>19.8</v>
      </c>
      <c r="Q75" s="31" t="n">
        <v>3.89</v>
      </c>
      <c r="R75" s="31" t="n">
        <v>389</v>
      </c>
      <c r="S75" s="33" t="n">
        <v>72</v>
      </c>
      <c r="T75" s="31" t="n">
        <v>72000</v>
      </c>
      <c r="U75" s="31" t="n">
        <f aca="false">2*L75*P75</f>
        <v>1109.196</v>
      </c>
      <c r="V75" s="0" t="n">
        <f aca="false">0.01*U75</f>
        <v>11.09196</v>
      </c>
      <c r="W75" s="22" t="n">
        <f aca="false">X75</f>
        <v>8.06</v>
      </c>
      <c r="X75" s="22" t="n">
        <v>8.06</v>
      </c>
      <c r="Y75" s="0" t="n">
        <v>51</v>
      </c>
      <c r="Z75" s="0" t="n">
        <f aca="false">2*L75</f>
        <v>56.02</v>
      </c>
      <c r="AA75" s="0" t="n">
        <f aca="false">0.5*(Z75-Y75)</f>
        <v>2.51</v>
      </c>
    </row>
    <row r="76" customFormat="false" ht="14.4" hidden="false" customHeight="false" outlineLevel="0" collapsed="false">
      <c r="A76" s="31" t="s">
        <v>1245</v>
      </c>
      <c r="B76" s="31" t="n">
        <v>8020</v>
      </c>
      <c r="C76" s="31" t="n">
        <v>40</v>
      </c>
      <c r="D76" s="31" t="s">
        <v>211</v>
      </c>
      <c r="E76" s="31" t="n">
        <v>145</v>
      </c>
      <c r="F76" s="31" t="s">
        <v>44</v>
      </c>
      <c r="G76" s="31" t="n">
        <v>18.5</v>
      </c>
      <c r="H76" s="31" t="n">
        <v>185</v>
      </c>
      <c r="I76" s="32" t="n">
        <v>80.01</v>
      </c>
      <c r="J76" s="32" t="n">
        <v>38.1</v>
      </c>
      <c r="K76" s="32" t="n">
        <v>19.8</v>
      </c>
      <c r="L76" s="32" t="n">
        <v>28.01</v>
      </c>
      <c r="M76" s="32" t="n">
        <v>59.28</v>
      </c>
      <c r="N76" s="32" t="n">
        <v>19.8</v>
      </c>
      <c r="O76" s="32" t="n">
        <v>9.91</v>
      </c>
      <c r="P76" s="32" t="n">
        <v>19.8</v>
      </c>
      <c r="Q76" s="31" t="n">
        <v>3.89</v>
      </c>
      <c r="R76" s="31" t="n">
        <v>389</v>
      </c>
      <c r="S76" s="33" t="n">
        <v>72</v>
      </c>
      <c r="T76" s="31" t="n">
        <v>72000</v>
      </c>
      <c r="U76" s="31" t="n">
        <f aca="false">2*L76*P76</f>
        <v>1109.196</v>
      </c>
      <c r="V76" s="0" t="n">
        <f aca="false">0.01*U76</f>
        <v>11.09196</v>
      </c>
      <c r="W76" s="22" t="n">
        <f aca="false">X76</f>
        <v>8.06</v>
      </c>
      <c r="X76" s="22" t="n">
        <v>8.06</v>
      </c>
      <c r="Y76" s="0" t="n">
        <v>51</v>
      </c>
      <c r="Z76" s="0" t="n">
        <f aca="false">2*L76</f>
        <v>56.02</v>
      </c>
      <c r="AA76" s="0" t="n">
        <f aca="false">0.5*(Z76-Y76)</f>
        <v>2.51</v>
      </c>
    </row>
    <row r="77" customFormat="false" ht="14.4" hidden="false" customHeight="false" outlineLevel="0" collapsed="false">
      <c r="A77" s="31" t="s">
        <v>1244</v>
      </c>
      <c r="B77" s="31" t="n">
        <v>8020</v>
      </c>
      <c r="C77" s="31" t="n">
        <v>60</v>
      </c>
      <c r="D77" s="31" t="s">
        <v>211</v>
      </c>
      <c r="E77" s="31" t="n">
        <v>190</v>
      </c>
      <c r="F77" s="31" t="s">
        <v>44</v>
      </c>
      <c r="G77" s="31" t="n">
        <v>18.5</v>
      </c>
      <c r="H77" s="31" t="n">
        <v>185</v>
      </c>
      <c r="I77" s="32" t="n">
        <v>80.01</v>
      </c>
      <c r="J77" s="32" t="n">
        <v>38.1</v>
      </c>
      <c r="K77" s="32" t="n">
        <v>19.8</v>
      </c>
      <c r="L77" s="32" t="n">
        <v>28.01</v>
      </c>
      <c r="M77" s="32" t="n">
        <v>59.28</v>
      </c>
      <c r="N77" s="32" t="n">
        <v>19.8</v>
      </c>
      <c r="O77" s="32" t="n">
        <v>9.91</v>
      </c>
      <c r="P77" s="32" t="n">
        <v>19.8</v>
      </c>
      <c r="Q77" s="31" t="n">
        <v>3.89</v>
      </c>
      <c r="R77" s="31" t="n">
        <v>389</v>
      </c>
      <c r="S77" s="33" t="n">
        <v>72</v>
      </c>
      <c r="T77" s="31" t="n">
        <v>72000</v>
      </c>
      <c r="U77" s="31" t="n">
        <f aca="false">2*L77*P77</f>
        <v>1109.196</v>
      </c>
      <c r="V77" s="0" t="n">
        <f aca="false">0.01*U77</f>
        <v>11.09196</v>
      </c>
      <c r="W77" s="22" t="n">
        <f aca="false">X77</f>
        <v>8.06</v>
      </c>
      <c r="X77" s="22" t="n">
        <v>8.06</v>
      </c>
      <c r="Y77" s="0" t="n">
        <v>51</v>
      </c>
      <c r="Z77" s="0" t="n">
        <f aca="false">2*L77</f>
        <v>56.02</v>
      </c>
      <c r="AA77" s="0" t="n">
        <f aca="false">0.5*(Z77-Y77)</f>
        <v>2.51</v>
      </c>
    </row>
    <row r="78" customFormat="false" ht="14.4" hidden="false" customHeight="false" outlineLevel="0" collapsed="false">
      <c r="A78" s="31" t="s">
        <v>1252</v>
      </c>
      <c r="B78" s="31" t="n">
        <v>8044</v>
      </c>
      <c r="C78" s="31" t="n">
        <v>26</v>
      </c>
      <c r="D78" s="31" t="s">
        <v>211</v>
      </c>
      <c r="E78" s="31" t="n">
        <v>91</v>
      </c>
      <c r="F78" s="31" t="s">
        <v>44</v>
      </c>
      <c r="G78" s="31" t="n">
        <v>20.8</v>
      </c>
      <c r="H78" s="31" t="n">
        <v>208</v>
      </c>
      <c r="I78" s="32" t="n">
        <v>80.01</v>
      </c>
      <c r="J78" s="32" t="n">
        <v>44.58</v>
      </c>
      <c r="K78" s="32" t="n">
        <v>19.8</v>
      </c>
      <c r="L78" s="32" t="n">
        <v>34.36</v>
      </c>
      <c r="M78" s="32" t="n">
        <v>59.28</v>
      </c>
      <c r="N78" s="32" t="n">
        <v>19.8</v>
      </c>
      <c r="O78" s="32" t="n">
        <v>9.91</v>
      </c>
      <c r="P78" s="32" t="n">
        <v>19.8</v>
      </c>
      <c r="Q78" s="31" t="n">
        <v>3.89</v>
      </c>
      <c r="R78" s="31" t="n">
        <v>389</v>
      </c>
      <c r="S78" s="31" t="n">
        <v>80.9</v>
      </c>
      <c r="T78" s="31" t="n">
        <v>80900</v>
      </c>
      <c r="U78" s="31" t="n">
        <f aca="false">2*L78*P78</f>
        <v>1360.656</v>
      </c>
      <c r="V78" s="0" t="n">
        <f aca="false">0.01*U78</f>
        <v>13.60656</v>
      </c>
      <c r="W78" s="38" t="n">
        <f aca="false">V78*0.7</f>
        <v>9.524592</v>
      </c>
      <c r="X78" s="38" t="n">
        <f aca="false">W78</f>
        <v>9.524592</v>
      </c>
      <c r="Y78" s="0" t="n">
        <f aca="false">0.85*Z78</f>
        <v>58.412</v>
      </c>
      <c r="Z78" s="0" t="n">
        <f aca="false">2*L78</f>
        <v>68.72</v>
      </c>
      <c r="AA78" s="0" t="n">
        <f aca="false">0.5*(Z78-Y78)</f>
        <v>5.154</v>
      </c>
    </row>
    <row r="79" customFormat="false" ht="14.4" hidden="false" customHeight="false" outlineLevel="0" collapsed="false">
      <c r="A79" s="31" t="s">
        <v>1260</v>
      </c>
      <c r="B79" s="31" t="s">
        <v>1261</v>
      </c>
      <c r="C79" s="31" t="n">
        <v>60</v>
      </c>
      <c r="D79" s="31" t="s">
        <v>33</v>
      </c>
      <c r="E79" s="31" t="n">
        <v>445</v>
      </c>
      <c r="F79" s="31" t="s">
        <v>44</v>
      </c>
      <c r="G79" s="31" t="n">
        <v>21.5</v>
      </c>
      <c r="H79" s="31" t="n">
        <v>215</v>
      </c>
      <c r="I79" s="32" t="n">
        <v>114.3</v>
      </c>
      <c r="J79" s="32" t="n">
        <v>46.18</v>
      </c>
      <c r="K79" s="32" t="n">
        <v>34.93</v>
      </c>
      <c r="L79" s="32" t="n">
        <v>28.6</v>
      </c>
      <c r="M79" s="32" t="n">
        <v>79.5</v>
      </c>
      <c r="N79" s="32" t="n">
        <v>35.1</v>
      </c>
      <c r="O79" s="32" t="n">
        <v>17.2</v>
      </c>
      <c r="P79" s="32" t="n">
        <v>22.1</v>
      </c>
      <c r="Q79" s="31" t="n">
        <v>12.2</v>
      </c>
      <c r="R79" s="31" t="n">
        <v>1220</v>
      </c>
      <c r="S79" s="31" t="n">
        <v>262</v>
      </c>
      <c r="T79" s="31" t="n">
        <v>262000</v>
      </c>
      <c r="U79" s="31" t="n">
        <f aca="false">2*L79*P79</f>
        <v>1264.12</v>
      </c>
      <c r="V79" s="0" t="n">
        <f aca="false">0.01*U79</f>
        <v>12.6412</v>
      </c>
      <c r="W79" s="22" t="n">
        <f aca="false">V79*0.7</f>
        <v>8.84884</v>
      </c>
      <c r="X79" s="22" t="n">
        <f aca="false">V79*0.7</f>
        <v>8.84884</v>
      </c>
      <c r="Y79" s="0" t="n">
        <v>53.09</v>
      </c>
      <c r="Z79" s="0" t="n">
        <f aca="false">2*L79</f>
        <v>57.2</v>
      </c>
      <c r="AA79" s="0" t="n">
        <v>1.65</v>
      </c>
    </row>
    <row r="80" customFormat="false" ht="14.4" hidden="false" customHeight="false" outlineLevel="0" collapsed="false">
      <c r="A80" s="31" t="s">
        <v>1262</v>
      </c>
      <c r="B80" s="31" t="s">
        <v>1261</v>
      </c>
      <c r="C80" s="31" t="n">
        <v>26</v>
      </c>
      <c r="D80" s="31" t="s">
        <v>33</v>
      </c>
      <c r="E80" s="31" t="n">
        <v>235</v>
      </c>
      <c r="F80" s="31" t="s">
        <v>44</v>
      </c>
      <c r="G80" s="31" t="n">
        <v>21.5</v>
      </c>
      <c r="H80" s="31" t="n">
        <v>215</v>
      </c>
      <c r="I80" s="32" t="n">
        <v>114.3</v>
      </c>
      <c r="J80" s="32" t="n">
        <v>46.18</v>
      </c>
      <c r="K80" s="32" t="n">
        <v>34.93</v>
      </c>
      <c r="L80" s="32" t="n">
        <v>28.6</v>
      </c>
      <c r="M80" s="32" t="n">
        <v>79.5</v>
      </c>
      <c r="N80" s="32" t="n">
        <v>35.1</v>
      </c>
      <c r="O80" s="32" t="n">
        <v>17.2</v>
      </c>
      <c r="P80" s="32" t="n">
        <v>22.1</v>
      </c>
      <c r="Q80" s="31" t="n">
        <v>12.2</v>
      </c>
      <c r="R80" s="31" t="n">
        <v>1220</v>
      </c>
      <c r="S80" s="31" t="n">
        <v>262</v>
      </c>
      <c r="T80" s="31" t="n">
        <v>262000</v>
      </c>
      <c r="U80" s="31" t="n">
        <f aca="false">2*L80*P80</f>
        <v>1264.12</v>
      </c>
      <c r="V80" s="0" t="n">
        <f aca="false">0.01*U80</f>
        <v>12.6412</v>
      </c>
      <c r="W80" s="22" t="n">
        <f aca="false">V80*0.7</f>
        <v>8.84884</v>
      </c>
      <c r="X80" s="22" t="n">
        <f aca="false">V80*0.7</f>
        <v>8.84884</v>
      </c>
      <c r="Y80" s="0" t="n">
        <v>53.09</v>
      </c>
      <c r="Z80" s="0" t="n">
        <f aca="false">2*L80</f>
        <v>57.2</v>
      </c>
      <c r="AA80" s="0" t="n">
        <v>1.65</v>
      </c>
    </row>
    <row r="81" customFormat="false" ht="14.4" hidden="false" customHeight="false" outlineLevel="0" collapsed="false">
      <c r="A81" s="31" t="s">
        <v>1263</v>
      </c>
      <c r="B81" s="31" t="s">
        <v>1261</v>
      </c>
      <c r="C81" s="31" t="n">
        <v>26</v>
      </c>
      <c r="D81" s="31" t="s">
        <v>33</v>
      </c>
      <c r="E81" s="31" t="n">
        <v>182</v>
      </c>
      <c r="F81" s="31" t="s">
        <v>44</v>
      </c>
      <c r="G81" s="31" t="n">
        <v>21.5</v>
      </c>
      <c r="H81" s="31" t="n">
        <v>215</v>
      </c>
      <c r="I81" s="32" t="n">
        <v>114.3</v>
      </c>
      <c r="J81" s="32" t="n">
        <v>46.18</v>
      </c>
      <c r="K81" s="32" t="n">
        <v>26.19</v>
      </c>
      <c r="L81" s="32" t="n">
        <v>28.6</v>
      </c>
      <c r="M81" s="32" t="n">
        <v>79.5</v>
      </c>
      <c r="N81" s="32" t="n">
        <v>35.1</v>
      </c>
      <c r="O81" s="32" t="n">
        <v>17.2</v>
      </c>
      <c r="P81" s="32" t="n">
        <v>22.1</v>
      </c>
      <c r="Q81" s="31" t="n">
        <v>9.14</v>
      </c>
      <c r="R81" s="31" t="n">
        <v>914</v>
      </c>
      <c r="S81" s="31" t="n">
        <v>197</v>
      </c>
      <c r="T81" s="31" t="n">
        <v>197000</v>
      </c>
      <c r="U81" s="31" t="n">
        <f aca="false">2*L81*P81</f>
        <v>1264.12</v>
      </c>
      <c r="V81" s="0" t="n">
        <f aca="false">0.01*U81</f>
        <v>12.6412</v>
      </c>
      <c r="W81" s="22" t="n">
        <f aca="false">V81*0.7</f>
        <v>8.84884</v>
      </c>
      <c r="X81" s="22" t="n">
        <f aca="false">V81*0.7</f>
        <v>8.84884</v>
      </c>
      <c r="Y81" s="0" t="n">
        <v>53.09</v>
      </c>
      <c r="Z81" s="0" t="n">
        <f aca="false">2*L81</f>
        <v>57.2</v>
      </c>
      <c r="AA81" s="0" t="n">
        <v>1.65</v>
      </c>
    </row>
  </sheetData>
  <autoFilter ref="A1:F8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0" activeCellId="0" sqref="I50"/>
    </sheetView>
  </sheetViews>
  <sheetFormatPr defaultRowHeight="14.4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9.11"/>
    <col collapsed="false" customWidth="true" hidden="false" outlineLevel="0" max="3" min="3" style="0" width="20"/>
    <col collapsed="false" customWidth="true" hidden="false" outlineLevel="0" max="1025" min="4" style="0" width="9.11"/>
  </cols>
  <sheetData>
    <row r="1" customFormat="false" ht="15.6" hidden="false" customHeight="false" outlineLevel="0" collapsed="false">
      <c r="A1" s="312" t="s">
        <v>967</v>
      </c>
      <c r="B1" s="312" t="s">
        <v>14</v>
      </c>
      <c r="C1" s="0" t="s">
        <v>1264</v>
      </c>
      <c r="D1" s="313" t="s">
        <v>1265</v>
      </c>
    </row>
    <row r="2" customFormat="false" ht="15" hidden="false" customHeight="false" outlineLevel="0" collapsed="false">
      <c r="A2" s="314" t="s">
        <v>154</v>
      </c>
      <c r="B2" s="315" t="n">
        <v>90</v>
      </c>
      <c r="C2" s="0" t="n">
        <v>0.97</v>
      </c>
      <c r="D2" s="313" t="n">
        <v>2.95</v>
      </c>
      <c r="E2" s="0" t="n">
        <f aca="false">D3/C3*C2</f>
        <v>2.94095744680851</v>
      </c>
    </row>
    <row r="3" customFormat="false" ht="14.4" hidden="false" customHeight="false" outlineLevel="0" collapsed="false">
      <c r="A3" s="314" t="s">
        <v>153</v>
      </c>
      <c r="B3" s="315" t="n">
        <v>60</v>
      </c>
      <c r="C3" s="0" t="n">
        <v>0.94</v>
      </c>
      <c r="D3" s="313" t="n">
        <v>2.85</v>
      </c>
    </row>
    <row r="4" customFormat="false" ht="14.4" hidden="false" customHeight="false" outlineLevel="0" collapsed="false">
      <c r="A4" s="314" t="s">
        <v>152</v>
      </c>
      <c r="B4" s="315" t="n">
        <v>40</v>
      </c>
      <c r="C4" s="0" t="n">
        <v>0.9</v>
      </c>
      <c r="D4" s="313" t="n">
        <v>2.74</v>
      </c>
      <c r="E4" s="0" t="n">
        <f aca="false">$D$3/$C$3*C4</f>
        <v>2.72872340425532</v>
      </c>
    </row>
    <row r="5" customFormat="false" ht="14.4" hidden="false" customHeight="false" outlineLevel="0" collapsed="false">
      <c r="A5" s="314" t="s">
        <v>150</v>
      </c>
      <c r="B5" s="315" t="n">
        <v>26</v>
      </c>
      <c r="C5" s="0" t="n">
        <v>0.86</v>
      </c>
      <c r="D5" s="313" t="n">
        <v>2.61</v>
      </c>
      <c r="E5" s="0" t="n">
        <f aca="false">$D$3/$C$3*C5</f>
        <v>2.60744680851064</v>
      </c>
    </row>
    <row r="6" customFormat="false" ht="14.4" hidden="false" customHeight="false" outlineLevel="0" collapsed="false">
      <c r="A6" s="314" t="s">
        <v>159</v>
      </c>
      <c r="B6" s="315" t="n">
        <v>90</v>
      </c>
      <c r="C6" s="0" t="n">
        <v>0.97</v>
      </c>
      <c r="D6" s="313" t="n">
        <v>7.62</v>
      </c>
    </row>
    <row r="7" customFormat="false" ht="14.4" hidden="false" customHeight="false" outlineLevel="0" collapsed="false">
      <c r="A7" s="314" t="s">
        <v>158</v>
      </c>
      <c r="B7" s="315" t="n">
        <v>60</v>
      </c>
      <c r="C7" s="0" t="n">
        <v>0.94</v>
      </c>
      <c r="D7" s="313" t="n">
        <v>7.39</v>
      </c>
    </row>
    <row r="8" customFormat="false" ht="14.4" hidden="false" customHeight="false" outlineLevel="0" collapsed="false">
      <c r="A8" s="314" t="s">
        <v>157</v>
      </c>
      <c r="B8" s="315" t="n">
        <v>40</v>
      </c>
      <c r="C8" s="0" t="n">
        <v>0.9</v>
      </c>
      <c r="D8" s="313" t="n">
        <v>7.07</v>
      </c>
    </row>
    <row r="9" customFormat="false" ht="14.4" hidden="false" customHeight="false" outlineLevel="0" collapsed="false">
      <c r="A9" s="314" t="s">
        <v>155</v>
      </c>
      <c r="B9" s="315" t="n">
        <v>26</v>
      </c>
      <c r="C9" s="0" t="n">
        <v>0.86</v>
      </c>
      <c r="D9" s="313" t="n">
        <v>6.75</v>
      </c>
    </row>
    <row r="10" customFormat="false" ht="14.4" hidden="false" customHeight="false" outlineLevel="0" collapsed="false">
      <c r="A10" s="314" t="s">
        <v>164</v>
      </c>
      <c r="B10" s="315" t="n">
        <v>90</v>
      </c>
      <c r="C10" s="0" t="n">
        <v>0.97</v>
      </c>
      <c r="D10" s="313" t="n">
        <v>13.6</v>
      </c>
    </row>
    <row r="11" customFormat="false" ht="14.4" hidden="false" customHeight="false" outlineLevel="0" collapsed="false">
      <c r="A11" s="314" t="s">
        <v>163</v>
      </c>
      <c r="B11" s="315" t="n">
        <v>60</v>
      </c>
      <c r="C11" s="0" t="n">
        <v>0.94</v>
      </c>
      <c r="D11" s="313" t="n">
        <v>12.9</v>
      </c>
    </row>
    <row r="12" customFormat="false" ht="14.4" hidden="false" customHeight="false" outlineLevel="0" collapsed="false">
      <c r="A12" s="314" t="s">
        <v>162</v>
      </c>
      <c r="B12" s="315" t="n">
        <v>40</v>
      </c>
      <c r="C12" s="0" t="n">
        <v>0.9</v>
      </c>
      <c r="D12" s="313" t="n">
        <v>11.7</v>
      </c>
    </row>
    <row r="13" customFormat="false" ht="14.4" hidden="false" customHeight="false" outlineLevel="0" collapsed="false">
      <c r="A13" s="314" t="s">
        <v>160</v>
      </c>
      <c r="B13" s="315" t="n">
        <v>26</v>
      </c>
      <c r="C13" s="0" t="n">
        <v>0.86</v>
      </c>
      <c r="D13" s="313" t="n">
        <v>11.3</v>
      </c>
    </row>
    <row r="14" customFormat="false" ht="14.4" hidden="false" customHeight="false" outlineLevel="0" collapsed="false">
      <c r="A14" s="314" t="s">
        <v>174</v>
      </c>
      <c r="B14" s="315" t="n">
        <v>90</v>
      </c>
      <c r="C14" s="0" t="n">
        <v>0.97</v>
      </c>
      <c r="D14" s="313" t="n">
        <v>17.3</v>
      </c>
    </row>
    <row r="15" customFormat="false" ht="14.4" hidden="false" customHeight="false" outlineLevel="0" collapsed="false">
      <c r="A15" s="314" t="s">
        <v>173</v>
      </c>
      <c r="B15" s="315" t="n">
        <v>60</v>
      </c>
      <c r="C15" s="0" t="n">
        <v>0.94</v>
      </c>
      <c r="D15" s="313" t="n">
        <v>16.7</v>
      </c>
    </row>
    <row r="16" customFormat="false" ht="14.4" hidden="false" customHeight="false" outlineLevel="0" collapsed="false">
      <c r="A16" s="314" t="s">
        <v>172</v>
      </c>
      <c r="B16" s="315" t="n">
        <v>40</v>
      </c>
      <c r="C16" s="0" t="n">
        <v>0.9</v>
      </c>
      <c r="D16" s="313" t="n">
        <v>16</v>
      </c>
    </row>
    <row r="17" customFormat="false" ht="14.4" hidden="false" customHeight="false" outlineLevel="0" collapsed="false">
      <c r="A17" s="314" t="s">
        <v>170</v>
      </c>
      <c r="B17" s="315" t="n">
        <v>26</v>
      </c>
      <c r="C17" s="0" t="n">
        <v>0.86</v>
      </c>
      <c r="D17" s="313" t="n">
        <v>15.6</v>
      </c>
    </row>
    <row r="18" customFormat="false" ht="14.4" hidden="false" customHeight="false" outlineLevel="0" collapsed="false">
      <c r="A18" s="314" t="s">
        <v>179</v>
      </c>
      <c r="B18" s="315" t="n">
        <v>90</v>
      </c>
      <c r="C18" s="0" t="n">
        <v>0.97</v>
      </c>
      <c r="D18" s="313" t="n">
        <v>35.1</v>
      </c>
    </row>
    <row r="19" customFormat="false" ht="14.4" hidden="false" customHeight="false" outlineLevel="0" collapsed="false">
      <c r="A19" s="314" t="s">
        <v>178</v>
      </c>
      <c r="B19" s="315" t="n">
        <v>60</v>
      </c>
      <c r="C19" s="0" t="n">
        <v>0.94</v>
      </c>
      <c r="D19" s="313" t="n">
        <v>34</v>
      </c>
    </row>
    <row r="20" customFormat="false" ht="14.4" hidden="false" customHeight="false" outlineLevel="0" collapsed="false">
      <c r="A20" s="314" t="s">
        <v>1266</v>
      </c>
      <c r="B20" s="315" t="n">
        <v>40</v>
      </c>
      <c r="C20" s="0" t="n">
        <v>0.9</v>
      </c>
      <c r="D20" s="313" t="n">
        <v>32.6</v>
      </c>
    </row>
    <row r="21" customFormat="false" ht="14.4" hidden="false" customHeight="false" outlineLevel="0" collapsed="false">
      <c r="A21" s="314" t="s">
        <v>175</v>
      </c>
      <c r="B21" s="315" t="n">
        <v>26</v>
      </c>
      <c r="C21" s="0" t="n">
        <v>0.86</v>
      </c>
      <c r="D21" s="313" t="n">
        <v>31.1</v>
      </c>
    </row>
    <row r="22" customFormat="false" ht="14.4" hidden="false" customHeight="false" outlineLevel="0" collapsed="false">
      <c r="A22" s="316" t="s">
        <v>206</v>
      </c>
      <c r="B22" s="317" t="n">
        <v>90</v>
      </c>
      <c r="C22" s="0" t="n">
        <v>0.97</v>
      </c>
      <c r="D22" s="318" t="n">
        <f aca="false">D25/C25*C22</f>
        <v>37.3337209302326</v>
      </c>
    </row>
    <row r="23" customFormat="false" ht="14.4" hidden="false" customHeight="false" outlineLevel="0" collapsed="false">
      <c r="A23" s="316" t="s">
        <v>205</v>
      </c>
      <c r="B23" s="317" t="n">
        <v>60</v>
      </c>
      <c r="C23" s="0" t="n">
        <v>0.94</v>
      </c>
      <c r="D23" s="318" t="n">
        <f aca="false">D25/C25*C23</f>
        <v>36.1790697674419</v>
      </c>
    </row>
    <row r="24" customFormat="false" ht="14.4" hidden="false" customHeight="false" outlineLevel="0" collapsed="false">
      <c r="A24" s="314" t="s">
        <v>204</v>
      </c>
      <c r="B24" s="315" t="n">
        <v>40</v>
      </c>
      <c r="C24" s="0" t="n">
        <v>0.9</v>
      </c>
      <c r="D24" s="313" t="n">
        <v>33.2</v>
      </c>
    </row>
    <row r="25" customFormat="false" ht="14.4" hidden="false" customHeight="false" outlineLevel="0" collapsed="false">
      <c r="A25" s="314" t="s">
        <v>202</v>
      </c>
      <c r="B25" s="315" t="n">
        <v>26</v>
      </c>
      <c r="C25" s="0" t="n">
        <v>0.86</v>
      </c>
      <c r="D25" s="313" t="n">
        <v>33.1</v>
      </c>
    </row>
    <row r="26" customFormat="false" ht="14.4" hidden="false" customHeight="false" outlineLevel="0" collapsed="false">
      <c r="A26" s="314" t="s">
        <v>184</v>
      </c>
      <c r="B26" s="315" t="n">
        <v>90</v>
      </c>
      <c r="C26" s="0" t="n">
        <v>0.97</v>
      </c>
      <c r="D26" s="313" t="n">
        <v>53.7</v>
      </c>
    </row>
    <row r="27" customFormat="false" ht="14.4" hidden="false" customHeight="false" outlineLevel="0" collapsed="false">
      <c r="A27" s="314" t="s">
        <v>183</v>
      </c>
      <c r="B27" s="315" t="n">
        <v>60</v>
      </c>
      <c r="C27" s="0" t="n">
        <v>0.94</v>
      </c>
      <c r="D27" s="313" t="n">
        <v>49.9</v>
      </c>
    </row>
    <row r="28" customFormat="false" ht="14.4" hidden="false" customHeight="false" outlineLevel="0" collapsed="false">
      <c r="A28" s="314" t="s">
        <v>182</v>
      </c>
      <c r="B28" s="315" t="n">
        <v>40</v>
      </c>
      <c r="C28" s="0" t="n">
        <v>0.9</v>
      </c>
      <c r="D28" s="313" t="n">
        <v>49.6</v>
      </c>
    </row>
    <row r="29" customFormat="false" ht="14.4" hidden="false" customHeight="false" outlineLevel="0" collapsed="false">
      <c r="A29" s="314" t="s">
        <v>180</v>
      </c>
      <c r="B29" s="315" t="n">
        <v>26</v>
      </c>
      <c r="C29" s="0" t="n">
        <v>0.86</v>
      </c>
      <c r="D29" s="313" t="n">
        <v>48</v>
      </c>
    </row>
    <row r="30" customFormat="false" ht="14.4" hidden="false" customHeight="false" outlineLevel="0" collapsed="false">
      <c r="A30" s="314" t="s">
        <v>189</v>
      </c>
      <c r="B30" s="315" t="n">
        <v>90</v>
      </c>
      <c r="C30" s="0" t="n">
        <v>0.97</v>
      </c>
      <c r="D30" s="313" t="n">
        <v>69</v>
      </c>
    </row>
    <row r="31" customFormat="false" ht="14.4" hidden="false" customHeight="false" outlineLevel="0" collapsed="false">
      <c r="A31" s="314" t="s">
        <v>188</v>
      </c>
      <c r="B31" s="315" t="n">
        <v>60</v>
      </c>
      <c r="C31" s="0" t="n">
        <v>0.94</v>
      </c>
      <c r="D31" s="313" t="n">
        <v>64.8</v>
      </c>
    </row>
    <row r="32" customFormat="false" ht="14.4" hidden="false" customHeight="false" outlineLevel="0" collapsed="false">
      <c r="A32" s="314" t="s">
        <v>187</v>
      </c>
      <c r="B32" s="315" t="n">
        <v>40</v>
      </c>
      <c r="C32" s="0" t="n">
        <v>0.9</v>
      </c>
      <c r="D32" s="313" t="n">
        <v>64.5</v>
      </c>
    </row>
    <row r="33" customFormat="false" ht="14.4" hidden="false" customHeight="false" outlineLevel="0" collapsed="false">
      <c r="A33" s="314" t="s">
        <v>185</v>
      </c>
      <c r="B33" s="315" t="n">
        <v>26</v>
      </c>
      <c r="C33" s="0" t="n">
        <v>0.86</v>
      </c>
      <c r="D33" s="313" t="n">
        <v>63.3</v>
      </c>
    </row>
    <row r="34" customFormat="false" ht="14.4" hidden="false" customHeight="false" outlineLevel="0" collapsed="false">
      <c r="A34" s="314"/>
      <c r="B34" s="317"/>
      <c r="D34" s="318"/>
    </row>
    <row r="35" customFormat="false" ht="14.4" hidden="false" customHeight="false" outlineLevel="0" collapsed="false">
      <c r="A35" s="316" t="s">
        <v>364</v>
      </c>
      <c r="B35" s="317" t="n">
        <v>60</v>
      </c>
      <c r="C35" s="0" t="n">
        <v>0.94</v>
      </c>
      <c r="D35" s="318" t="n">
        <f aca="false">D37/C37*C35</f>
        <v>126.681395348837</v>
      </c>
    </row>
    <row r="36" customFormat="false" ht="14.4" hidden="false" customHeight="false" outlineLevel="0" collapsed="false">
      <c r="A36" s="314" t="s">
        <v>363</v>
      </c>
      <c r="B36" s="315" t="n">
        <v>40</v>
      </c>
      <c r="C36" s="0" t="n">
        <v>0.9</v>
      </c>
      <c r="D36" s="313" t="n">
        <v>120.2</v>
      </c>
    </row>
    <row r="37" customFormat="false" ht="14.4" hidden="false" customHeight="false" outlineLevel="0" collapsed="false">
      <c r="A37" s="314" t="s">
        <v>361</v>
      </c>
      <c r="B37" s="315" t="n">
        <v>26</v>
      </c>
      <c r="C37" s="0" t="n">
        <v>0.86</v>
      </c>
      <c r="D37" s="313" t="n">
        <v>115.9</v>
      </c>
    </row>
    <row r="38" customFormat="false" ht="14.4" hidden="false" customHeight="false" outlineLevel="0" collapsed="false">
      <c r="A38" s="314"/>
      <c r="B38" s="317"/>
      <c r="D38" s="318"/>
    </row>
    <row r="39" customFormat="false" ht="14.4" hidden="false" customHeight="false" outlineLevel="0" collapsed="false">
      <c r="A39" s="316" t="s">
        <v>385</v>
      </c>
      <c r="B39" s="317" t="n">
        <v>60</v>
      </c>
      <c r="C39" s="0" t="n">
        <v>0.94</v>
      </c>
      <c r="D39" s="318" t="n">
        <f aca="false">D41/C41*C39</f>
        <v>152.695348837209</v>
      </c>
    </row>
    <row r="40" customFormat="false" ht="14.4" hidden="false" customHeight="false" outlineLevel="0" collapsed="false">
      <c r="A40" s="314" t="s">
        <v>384</v>
      </c>
      <c r="B40" s="315" t="n">
        <v>40</v>
      </c>
      <c r="C40" s="0" t="n">
        <v>0.9</v>
      </c>
      <c r="D40" s="313" t="n">
        <v>142</v>
      </c>
    </row>
    <row r="41" customFormat="false" ht="14.4" hidden="false" customHeight="false" outlineLevel="0" collapsed="false">
      <c r="A41" s="314" t="s">
        <v>382</v>
      </c>
      <c r="B41" s="315" t="n">
        <v>26</v>
      </c>
      <c r="C41" s="0" t="n">
        <v>0.86</v>
      </c>
      <c r="D41" s="313" t="n">
        <v>139.7</v>
      </c>
    </row>
    <row r="42" customFormat="false" ht="14.4" hidden="false" customHeight="false" outlineLevel="0" collapsed="false">
      <c r="A42" s="314"/>
      <c r="B42" s="317"/>
      <c r="D42" s="318"/>
    </row>
    <row r="43" customFormat="false" ht="14.4" hidden="false" customHeight="false" outlineLevel="0" collapsed="false">
      <c r="A43" s="316" t="s">
        <v>624</v>
      </c>
      <c r="B43" s="317" t="n">
        <v>60</v>
      </c>
      <c r="C43" s="0" t="n">
        <v>0.94</v>
      </c>
      <c r="D43" s="318" t="n">
        <f aca="false">D45/C45*C43</f>
        <v>233.141860465116</v>
      </c>
    </row>
    <row r="44" customFormat="false" ht="14.4" hidden="false" customHeight="false" outlineLevel="0" collapsed="false">
      <c r="A44" s="314" t="s">
        <v>623</v>
      </c>
      <c r="B44" s="315" t="n">
        <v>40</v>
      </c>
      <c r="C44" s="0" t="n">
        <v>0.9</v>
      </c>
      <c r="D44" s="313" t="n">
        <v>226.3</v>
      </c>
    </row>
    <row r="45" customFormat="false" ht="14.4" hidden="false" customHeight="false" outlineLevel="0" collapsed="false">
      <c r="A45" s="314" t="s">
        <v>621</v>
      </c>
      <c r="B45" s="315" t="n">
        <v>26</v>
      </c>
      <c r="C45" s="0" t="n">
        <v>0.86</v>
      </c>
      <c r="D45" s="313" t="n">
        <v>213.3</v>
      </c>
    </row>
    <row r="46" customFormat="false" ht="14.4" hidden="false" customHeight="false" outlineLevel="0" collapsed="false">
      <c r="A46" s="314"/>
      <c r="B46" s="317"/>
      <c r="D46" s="318"/>
    </row>
    <row r="47" customFormat="false" ht="14.4" hidden="false" customHeight="false" outlineLevel="0" collapsed="false">
      <c r="A47" s="314" t="s">
        <v>632</v>
      </c>
      <c r="B47" s="319" t="n">
        <v>60</v>
      </c>
      <c r="C47" s="0" t="n">
        <v>0.94</v>
      </c>
      <c r="D47" s="313" t="n">
        <v>156</v>
      </c>
    </row>
    <row r="48" customFormat="false" ht="14.4" hidden="false" customHeight="false" outlineLevel="0" collapsed="false">
      <c r="A48" s="314" t="s">
        <v>631</v>
      </c>
      <c r="B48" s="315" t="n">
        <v>40</v>
      </c>
      <c r="C48" s="0" t="n">
        <v>0.9</v>
      </c>
      <c r="D48" s="313" t="n">
        <v>149.6</v>
      </c>
    </row>
    <row r="49" customFormat="false" ht="14.4" hidden="false" customHeight="false" outlineLevel="0" collapsed="false">
      <c r="A49" s="314" t="s">
        <v>629</v>
      </c>
      <c r="B49" s="315" t="n">
        <v>26</v>
      </c>
      <c r="C49" s="0" t="n">
        <v>0.86</v>
      </c>
      <c r="D49" s="313" t="n">
        <v>143</v>
      </c>
    </row>
    <row r="50" customFormat="false" ht="14.4" hidden="false" customHeight="false" outlineLevel="0" collapsed="false">
      <c r="A50" s="314"/>
      <c r="B50" s="317"/>
      <c r="D50" s="318"/>
    </row>
    <row r="51" customFormat="false" ht="14.4" hidden="false" customHeight="false" outlineLevel="0" collapsed="false">
      <c r="A51" s="316" t="s">
        <v>794</v>
      </c>
      <c r="B51" s="317" t="n">
        <v>60</v>
      </c>
      <c r="C51" s="0" t="n">
        <v>0.94</v>
      </c>
      <c r="D51" s="318" t="n">
        <f aca="false">D53/C53*C51</f>
        <v>215.325581395349</v>
      </c>
    </row>
    <row r="52" customFormat="false" ht="14.4" hidden="false" customHeight="false" outlineLevel="0" collapsed="false">
      <c r="A52" s="314" t="s">
        <v>793</v>
      </c>
      <c r="B52" s="315" t="n">
        <v>40</v>
      </c>
      <c r="C52" s="0" t="n">
        <v>0.9</v>
      </c>
      <c r="D52" s="313" t="n">
        <v>203</v>
      </c>
    </row>
    <row r="53" customFormat="false" ht="14.4" hidden="false" customHeight="false" outlineLevel="0" collapsed="false">
      <c r="A53" s="314" t="s">
        <v>792</v>
      </c>
      <c r="B53" s="315" t="n">
        <v>26</v>
      </c>
      <c r="C53" s="0" t="n">
        <v>0.86</v>
      </c>
      <c r="D53" s="313" t="n">
        <v>197</v>
      </c>
    </row>
    <row r="54" customFormat="false" ht="14.4" hidden="false" customHeight="false" outlineLevel="0" collapsed="false">
      <c r="A54" s="314"/>
      <c r="B54" s="317"/>
      <c r="D54" s="318"/>
    </row>
    <row r="55" customFormat="false" ht="14.4" hidden="false" customHeight="false" outlineLevel="0" collapsed="false">
      <c r="A55" s="316"/>
      <c r="B55" s="317"/>
      <c r="D55" s="318"/>
    </row>
    <row r="56" customFormat="false" ht="14.4" hidden="false" customHeight="false" outlineLevel="0" collapsed="false">
      <c r="A56" s="316"/>
      <c r="B56" s="317"/>
      <c r="D56" s="318"/>
    </row>
    <row r="57" customFormat="false" ht="14.4" hidden="false" customHeight="false" outlineLevel="0" collapsed="false">
      <c r="A57" s="314" t="s">
        <v>798</v>
      </c>
      <c r="B57" s="315" t="n">
        <v>26</v>
      </c>
      <c r="C57" s="0" t="n">
        <v>0.86</v>
      </c>
      <c r="D57" s="313" t="n">
        <v>222</v>
      </c>
    </row>
    <row r="58" customFormat="false" ht="14.4" hidden="false" customHeight="false" outlineLevel="0" collapsed="false">
      <c r="A58" s="314" t="s">
        <v>1262</v>
      </c>
      <c r="B58" s="315" t="n">
        <v>26</v>
      </c>
      <c r="D58" s="313" t="n">
        <v>690</v>
      </c>
    </row>
    <row r="59" customFormat="false" ht="14.4" hidden="false" customHeight="false" outlineLevel="0" collapsed="false">
      <c r="A59" s="314" t="s">
        <v>1260</v>
      </c>
      <c r="B59" s="315" t="n">
        <v>60</v>
      </c>
      <c r="D59" s="313" t="n">
        <v>720</v>
      </c>
    </row>
    <row r="60" customFormat="false" ht="14.4" hidden="false" customHeight="false" outlineLevel="0" collapsed="false">
      <c r="A60" s="318" t="s">
        <v>169</v>
      </c>
      <c r="B60" s="317" t="n">
        <v>90</v>
      </c>
      <c r="C60" s="0" t="n">
        <v>0.97</v>
      </c>
      <c r="D60" s="320" t="n">
        <v>20.08266858268</v>
      </c>
    </row>
    <row r="61" customFormat="false" ht="14.4" hidden="false" customHeight="false" outlineLevel="0" collapsed="false">
      <c r="A61" s="313" t="s">
        <v>165</v>
      </c>
      <c r="B61" s="315" t="n">
        <v>60</v>
      </c>
      <c r="C61" s="0" t="n">
        <v>0.94</v>
      </c>
      <c r="D61" s="321" t="n">
        <v>19.46155512136</v>
      </c>
    </row>
    <row r="62" customFormat="false" ht="14.4" hidden="false" customHeight="false" outlineLevel="0" collapsed="false">
      <c r="A62" s="318" t="s">
        <v>168</v>
      </c>
      <c r="B62" s="317" t="n">
        <v>40</v>
      </c>
      <c r="C62" s="0" t="n">
        <v>0.9</v>
      </c>
      <c r="D62" s="320" t="n">
        <v>18.6334038396</v>
      </c>
    </row>
    <row r="63" customFormat="false" ht="14.4" hidden="false" customHeight="false" outlineLevel="0" collapsed="false">
      <c r="A63" s="318"/>
      <c r="B63" s="317"/>
      <c r="D63" s="320"/>
    </row>
    <row r="64" customFormat="false" ht="14.4" hidden="false" customHeight="false" outlineLevel="0" collapsed="false">
      <c r="A64" s="318" t="s">
        <v>193</v>
      </c>
      <c r="B64" s="317" t="n">
        <v>90</v>
      </c>
      <c r="C64" s="0" t="n">
        <v>0.97</v>
      </c>
      <c r="D64" s="320" t="n">
        <v>20.016711935</v>
      </c>
    </row>
    <row r="65" customFormat="false" ht="14.4" hidden="false" customHeight="false" outlineLevel="0" collapsed="false">
      <c r="A65" s="313" t="s">
        <v>190</v>
      </c>
      <c r="B65" s="315" t="n">
        <v>60</v>
      </c>
      <c r="C65" s="0" t="n">
        <v>0.94</v>
      </c>
      <c r="D65" s="321" t="n">
        <v>19.39763837</v>
      </c>
    </row>
    <row r="66" customFormat="false" ht="14.4" hidden="false" customHeight="false" outlineLevel="0" collapsed="false">
      <c r="A66" s="318" t="s">
        <v>192</v>
      </c>
      <c r="B66" s="317" t="n">
        <v>40</v>
      </c>
      <c r="C66" s="0" t="n">
        <v>0.9</v>
      </c>
      <c r="D66" s="320" t="n">
        <v>18.57220695</v>
      </c>
    </row>
    <row r="67" customFormat="false" ht="14.4" hidden="false" customHeight="false" outlineLevel="0" collapsed="false">
      <c r="A67" s="318"/>
      <c r="B67" s="317"/>
      <c r="D67" s="320"/>
    </row>
    <row r="68" customFormat="false" ht="14.4" hidden="false" customHeight="false" outlineLevel="0" collapsed="false">
      <c r="A68" s="318" t="s">
        <v>197</v>
      </c>
      <c r="B68" s="317" t="n">
        <v>90</v>
      </c>
      <c r="C68" s="0" t="n">
        <v>0.97</v>
      </c>
      <c r="D68" s="320" t="n">
        <v>25.351701265</v>
      </c>
    </row>
    <row r="69" customFormat="false" ht="14.4" hidden="false" customHeight="false" outlineLevel="0" collapsed="false">
      <c r="A69" s="313" t="s">
        <v>194</v>
      </c>
      <c r="B69" s="315" t="n">
        <v>60</v>
      </c>
      <c r="C69" s="0" t="n">
        <v>0.94</v>
      </c>
      <c r="D69" s="321" t="n">
        <v>24.56762803</v>
      </c>
    </row>
    <row r="70" customFormat="false" ht="14.4" hidden="false" customHeight="false" outlineLevel="0" collapsed="false">
      <c r="A70" s="318" t="s">
        <v>196</v>
      </c>
      <c r="B70" s="317" t="n">
        <v>40</v>
      </c>
      <c r="C70" s="0" t="n">
        <v>0.9</v>
      </c>
      <c r="D70" s="320" t="n">
        <v>23.52219705</v>
      </c>
    </row>
    <row r="71" customFormat="false" ht="14.4" hidden="false" customHeight="false" outlineLevel="0" collapsed="false">
      <c r="A71" s="313" t="s">
        <v>201</v>
      </c>
      <c r="B71" s="315" t="n">
        <v>90</v>
      </c>
      <c r="C71" s="0" t="n">
        <v>0.97</v>
      </c>
      <c r="D71" s="321" t="n">
        <v>40.012419975</v>
      </c>
    </row>
    <row r="72" customFormat="false" ht="14.4" hidden="false" customHeight="false" outlineLevel="0" collapsed="false">
      <c r="A72" s="313" t="s">
        <v>200</v>
      </c>
      <c r="B72" s="315" t="n">
        <v>60</v>
      </c>
      <c r="C72" s="0" t="n">
        <v>0.94</v>
      </c>
      <c r="D72" s="321" t="n">
        <v>38.77492245</v>
      </c>
    </row>
    <row r="73" customFormat="false" ht="14.4" hidden="false" customHeight="false" outlineLevel="0" collapsed="false">
      <c r="A73" s="313" t="s">
        <v>198</v>
      </c>
      <c r="B73" s="315" t="n">
        <v>40</v>
      </c>
      <c r="C73" s="0" t="n">
        <v>0.9</v>
      </c>
      <c r="D73" s="321" t="n">
        <v>37.12492575</v>
      </c>
    </row>
    <row r="74" customFormat="false" ht="14.4" hidden="false" customHeight="false" outlineLevel="0" collapsed="false">
      <c r="A74" s="313"/>
      <c r="B74" s="317"/>
      <c r="D74" s="322" t="n">
        <v>82.39764043984</v>
      </c>
    </row>
    <row r="75" customFormat="false" ht="14.4" hidden="false" customHeight="false" outlineLevel="0" collapsed="false">
      <c r="A75" s="313" t="s">
        <v>350</v>
      </c>
      <c r="B75" s="315" t="n">
        <v>26</v>
      </c>
      <c r="C75" s="0" t="n">
        <v>0.86</v>
      </c>
      <c r="D75" s="322" t="n">
        <v>73.05357812192</v>
      </c>
    </row>
    <row r="76" customFormat="false" ht="14.4" hidden="false" customHeight="false" outlineLevel="0" collapsed="false">
      <c r="A76" s="313"/>
      <c r="B76" s="317"/>
      <c r="D76" s="322" t="n">
        <v>117.90379240068</v>
      </c>
    </row>
    <row r="77" customFormat="false" ht="14.4" hidden="false" customHeight="false" outlineLevel="0" collapsed="false">
      <c r="A77" s="313" t="s">
        <v>376</v>
      </c>
      <c r="B77" s="315" t="n">
        <v>26</v>
      </c>
      <c r="C77" s="0" t="n">
        <v>0.86</v>
      </c>
      <c r="D77" s="322" t="n">
        <v>104.53325924184</v>
      </c>
    </row>
    <row r="78" customFormat="false" ht="14.4" hidden="false" customHeight="false" outlineLevel="0" collapsed="false">
      <c r="A78" s="313"/>
      <c r="B78" s="317"/>
      <c r="D78" s="322"/>
    </row>
    <row r="79" customFormat="false" ht="14.4" hidden="false" customHeight="false" outlineLevel="0" collapsed="false">
      <c r="A79" s="313" t="s">
        <v>625</v>
      </c>
      <c r="B79" s="315" t="n">
        <v>26</v>
      </c>
      <c r="C79" s="0" t="n">
        <v>0.86</v>
      </c>
      <c r="D79" s="322" t="n">
        <v>142.599938778</v>
      </c>
    </row>
    <row r="80" customFormat="false" ht="14.4" hidden="false" customHeight="false" outlineLevel="0" collapsed="false">
      <c r="A80" s="313"/>
      <c r="B80" s="317"/>
      <c r="D80" s="322"/>
    </row>
    <row r="81" customFormat="false" ht="14.4" hidden="false" customHeight="false" outlineLevel="0" collapsed="false">
      <c r="A81" s="313" t="s">
        <v>627</v>
      </c>
      <c r="B81" s="315" t="n">
        <v>26</v>
      </c>
      <c r="C81" s="0" t="n">
        <v>0.86</v>
      </c>
      <c r="D81" s="322" t="n">
        <v>126.1209442493</v>
      </c>
    </row>
    <row r="82" customFormat="false" ht="14.4" hidden="false" customHeight="false" outlineLevel="0" collapsed="false">
      <c r="A82" s="313"/>
      <c r="B82" s="317"/>
      <c r="D82" s="322"/>
    </row>
    <row r="83" customFormat="false" ht="14.4" hidden="false" customHeight="false" outlineLevel="0" collapsed="false">
      <c r="A83" s="313" t="s">
        <v>633</v>
      </c>
      <c r="B83" s="315" t="n">
        <v>26</v>
      </c>
      <c r="C83" s="0" t="n">
        <v>0.86</v>
      </c>
      <c r="D83" s="322" t="n">
        <v>159.8952707154</v>
      </c>
    </row>
    <row r="84" customFormat="false" ht="14.4" hidden="false" customHeight="false" outlineLevel="0" collapsed="false">
      <c r="A84" s="313"/>
      <c r="B84" s="317"/>
      <c r="D84" s="322"/>
    </row>
    <row r="85" customFormat="false" ht="14.4" hidden="false" customHeight="false" outlineLevel="0" collapsed="false">
      <c r="A85" s="313" t="s">
        <v>790</v>
      </c>
      <c r="B85" s="315" t="n">
        <v>26</v>
      </c>
      <c r="C85" s="0" t="n">
        <v>0.86</v>
      </c>
      <c r="D85" s="322" t="n">
        <v>126.93100430472</v>
      </c>
    </row>
    <row r="86" customFormat="false" ht="14.4" hidden="false" customHeight="false" outlineLevel="0" collapsed="false">
      <c r="A86" s="313"/>
      <c r="B86" s="317"/>
      <c r="D86" s="322"/>
    </row>
    <row r="87" customFormat="false" ht="14.4" hidden="false" customHeight="false" outlineLevel="0" collapsed="false">
      <c r="A87" s="313" t="s">
        <v>795</v>
      </c>
      <c r="B87" s="315" t="n">
        <v>26</v>
      </c>
      <c r="C87" s="0" t="n">
        <v>0.86</v>
      </c>
      <c r="D87" s="322" t="n">
        <v>210.10765006</v>
      </c>
    </row>
    <row r="88" customFormat="false" ht="14.4" hidden="false" customHeight="false" outlineLevel="0" collapsed="false">
      <c r="A88" s="323" t="s">
        <v>1267</v>
      </c>
      <c r="B88" s="324" t="n">
        <v>14</v>
      </c>
      <c r="C88" s="0" t="n">
        <v>0.8</v>
      </c>
      <c r="D88" s="325" t="n">
        <v>260</v>
      </c>
    </row>
    <row r="89" customFormat="false" ht="14.4" hidden="false" customHeight="false" outlineLevel="0" collapsed="false">
      <c r="A89" s="323" t="s">
        <v>32</v>
      </c>
      <c r="B89" s="326" t="n">
        <v>26</v>
      </c>
      <c r="C89" s="0" t="n">
        <v>0.86</v>
      </c>
      <c r="D89" s="325" t="n">
        <v>280</v>
      </c>
    </row>
    <row r="90" customFormat="false" ht="14.4" hidden="false" customHeight="false" outlineLevel="0" collapsed="false">
      <c r="A90" s="323" t="s">
        <v>1268</v>
      </c>
      <c r="B90" s="324" t="n">
        <v>40</v>
      </c>
      <c r="C90" s="0" t="n">
        <v>0.9</v>
      </c>
      <c r="D90" s="325" t="n">
        <v>290</v>
      </c>
    </row>
    <row r="91" customFormat="false" ht="14.4" hidden="false" customHeight="false" outlineLevel="0" collapsed="false">
      <c r="A91" s="323" t="s">
        <v>36</v>
      </c>
      <c r="B91" s="326" t="n">
        <v>60</v>
      </c>
      <c r="C91" s="0" t="n">
        <v>0.94</v>
      </c>
      <c r="D91" s="325" t="n">
        <v>300</v>
      </c>
    </row>
    <row r="92" customFormat="false" ht="14.4" hidden="false" customHeight="false" outlineLevel="0" collapsed="false">
      <c r="A92" s="323" t="s">
        <v>1269</v>
      </c>
      <c r="B92" s="324" t="n">
        <v>14</v>
      </c>
      <c r="C92" s="0" t="n">
        <v>0.8</v>
      </c>
    </row>
    <row r="93" customFormat="false" ht="14.4" hidden="false" customHeight="false" outlineLevel="0" collapsed="false">
      <c r="A93" s="323" t="s">
        <v>1270</v>
      </c>
      <c r="B93" s="326" t="n">
        <v>26</v>
      </c>
      <c r="C93" s="0" t="n">
        <v>0.86</v>
      </c>
    </row>
    <row r="94" customFormat="false" ht="14.4" hidden="false" customHeight="false" outlineLevel="0" collapsed="false">
      <c r="A94" s="323" t="s">
        <v>1271</v>
      </c>
      <c r="B94" s="324" t="n">
        <v>40</v>
      </c>
      <c r="C94" s="0" t="n">
        <v>0.9</v>
      </c>
    </row>
    <row r="95" customFormat="false" ht="14.4" hidden="false" customHeight="false" outlineLevel="0" collapsed="false">
      <c r="A95" s="323" t="s">
        <v>1272</v>
      </c>
      <c r="B95" s="326" t="n">
        <v>60</v>
      </c>
      <c r="C95" s="0" t="n">
        <v>0.94</v>
      </c>
    </row>
    <row r="96" customFormat="false" ht="14.4" hidden="false" customHeight="false" outlineLevel="0" collapsed="false">
      <c r="A96" s="323" t="s">
        <v>1273</v>
      </c>
      <c r="B96" s="324" t="n">
        <v>14</v>
      </c>
      <c r="C96" s="0" t="n">
        <v>0.8</v>
      </c>
      <c r="D96" s="0" t="n">
        <f aca="false">D97/C97*C96</f>
        <v>158.139534883721</v>
      </c>
    </row>
    <row r="97" customFormat="false" ht="14.4" hidden="false" customHeight="false" outlineLevel="0" collapsed="false">
      <c r="A97" s="323" t="s">
        <v>37</v>
      </c>
      <c r="B97" s="326" t="n">
        <v>26</v>
      </c>
      <c r="C97" s="0" t="n">
        <v>0.86</v>
      </c>
      <c r="D97" s="0" t="n">
        <v>170</v>
      </c>
    </row>
    <row r="98" customFormat="false" ht="14.4" hidden="false" customHeight="false" outlineLevel="0" collapsed="false">
      <c r="A98" s="323" t="s">
        <v>38</v>
      </c>
      <c r="B98" s="324" t="n">
        <v>40</v>
      </c>
      <c r="C98" s="0" t="n">
        <v>0.9</v>
      </c>
      <c r="D98" s="0" t="n">
        <v>180</v>
      </c>
    </row>
    <row r="99" customFormat="false" ht="14.4" hidden="false" customHeight="false" outlineLevel="0" collapsed="false">
      <c r="A99" s="323" t="s">
        <v>39</v>
      </c>
      <c r="B99" s="326" t="n">
        <v>60</v>
      </c>
      <c r="C99" s="0" t="n">
        <v>0.94</v>
      </c>
      <c r="D99" s="0" t="n">
        <v>190</v>
      </c>
    </row>
    <row r="100" customFormat="false" ht="14.4" hidden="false" customHeight="false" outlineLevel="0" collapsed="false">
      <c r="A100" s="323" t="s">
        <v>1274</v>
      </c>
      <c r="B100" s="324" t="n">
        <v>14</v>
      </c>
      <c r="C100" s="0" t="n">
        <v>0.8</v>
      </c>
      <c r="D100" s="0" t="n">
        <f aca="false">$D$101/$C$101*C100</f>
        <v>130.232558139535</v>
      </c>
    </row>
    <row r="101" customFormat="false" ht="14.4" hidden="false" customHeight="false" outlineLevel="0" collapsed="false">
      <c r="A101" s="323" t="s">
        <v>42</v>
      </c>
      <c r="B101" s="326" t="n">
        <v>26</v>
      </c>
      <c r="C101" s="0" t="n">
        <v>0.86</v>
      </c>
      <c r="D101" s="0" t="n">
        <v>140</v>
      </c>
    </row>
    <row r="102" customFormat="false" ht="14.4" hidden="false" customHeight="false" outlineLevel="0" collapsed="false">
      <c r="A102" s="323" t="s">
        <v>1275</v>
      </c>
      <c r="B102" s="324" t="n">
        <v>40</v>
      </c>
      <c r="C102" s="0" t="n">
        <v>0.9</v>
      </c>
      <c r="D102" s="0" t="n">
        <f aca="false">$D$101/$C$101*C102</f>
        <v>146.511627906977</v>
      </c>
    </row>
    <row r="103" customFormat="false" ht="14.4" hidden="false" customHeight="false" outlineLevel="0" collapsed="false">
      <c r="A103" s="323" t="s">
        <v>41</v>
      </c>
      <c r="B103" s="326" t="n">
        <v>60</v>
      </c>
      <c r="C103" s="0" t="n">
        <v>0.94</v>
      </c>
      <c r="D103" s="0" t="n">
        <f aca="false">$D$101/$C$101*C103</f>
        <v>153.023255813953</v>
      </c>
    </row>
    <row r="104" customFormat="false" ht="14.4" hidden="false" customHeight="false" outlineLevel="0" collapsed="false">
      <c r="A104" s="323" t="s">
        <v>1276</v>
      </c>
      <c r="B104" s="324" t="n">
        <v>14</v>
      </c>
      <c r="C104" s="0" t="n">
        <v>0.8</v>
      </c>
      <c r="D104" s="0" t="n">
        <f aca="false">$D$105/$C$105*C104</f>
        <v>223.255813953488</v>
      </c>
    </row>
    <row r="105" customFormat="false" ht="14.4" hidden="false" customHeight="false" outlineLevel="0" collapsed="false">
      <c r="A105" s="323" t="s">
        <v>1277</v>
      </c>
      <c r="B105" s="326" t="n">
        <v>26</v>
      </c>
      <c r="C105" s="0" t="n">
        <v>0.86</v>
      </c>
      <c r="D105" s="0" t="n">
        <v>240</v>
      </c>
    </row>
    <row r="106" customFormat="false" ht="14.4" hidden="false" customHeight="false" outlineLevel="0" collapsed="false">
      <c r="A106" s="323" t="s">
        <v>1278</v>
      </c>
      <c r="B106" s="324" t="n">
        <v>40</v>
      </c>
      <c r="C106" s="0" t="n">
        <v>0.9</v>
      </c>
      <c r="D106" s="0" t="n">
        <f aca="false">$D$105/$C$105*C106</f>
        <v>251.162790697674</v>
      </c>
    </row>
    <row r="107" customFormat="false" ht="14.4" hidden="false" customHeight="false" outlineLevel="0" collapsed="false">
      <c r="A107" s="323" t="s">
        <v>1279</v>
      </c>
      <c r="B107" s="326" t="n">
        <v>60</v>
      </c>
      <c r="C107" s="0" t="n">
        <v>0.94</v>
      </c>
      <c r="D107" s="0" t="n">
        <f aca="false">$D$105/$C$105*C107</f>
        <v>262.325581395349</v>
      </c>
    </row>
    <row r="108" customFormat="false" ht="14.4" hidden="false" customHeight="false" outlineLevel="0" collapsed="false">
      <c r="A108" s="323" t="s">
        <v>1280</v>
      </c>
      <c r="B108" s="324" t="n">
        <v>26</v>
      </c>
      <c r="D108" s="0" t="n">
        <v>328</v>
      </c>
    </row>
    <row r="109" customFormat="false" ht="14.4" hidden="false" customHeight="false" outlineLevel="0" collapsed="false">
      <c r="A109" s="323" t="s">
        <v>1281</v>
      </c>
      <c r="B109" s="326" t="n">
        <v>40</v>
      </c>
      <c r="D109" s="0" t="n">
        <v>336</v>
      </c>
    </row>
    <row r="110" customFormat="false" ht="14.4" hidden="false" customHeight="false" outlineLevel="0" collapsed="false">
      <c r="A110" s="323" t="s">
        <v>1282</v>
      </c>
      <c r="B110" s="324" t="n">
        <v>26</v>
      </c>
      <c r="D110" s="0" t="n">
        <v>190</v>
      </c>
    </row>
    <row r="111" customFormat="false" ht="14.4" hidden="false" customHeight="false" outlineLevel="0" collapsed="false">
      <c r="A111" s="323" t="s">
        <v>1283</v>
      </c>
      <c r="B111" s="326" t="n">
        <v>40</v>
      </c>
      <c r="D111" s="0" t="n">
        <v>196</v>
      </c>
    </row>
    <row r="112" customFormat="false" ht="14.4" hidden="false" customHeight="false" outlineLevel="0" collapsed="false">
      <c r="A112" s="323" t="s">
        <v>1284</v>
      </c>
      <c r="B112" s="324" t="n">
        <v>26</v>
      </c>
      <c r="D112" s="0" t="n">
        <v>139</v>
      </c>
    </row>
    <row r="113" customFormat="false" ht="14.4" hidden="false" customHeight="false" outlineLevel="0" collapsed="false">
      <c r="A113" s="323" t="s">
        <v>1285</v>
      </c>
      <c r="B113" s="326" t="n">
        <v>40</v>
      </c>
      <c r="D113" s="0" t="n">
        <v>143</v>
      </c>
    </row>
    <row r="114" customFormat="false" ht="14.4" hidden="false" customHeight="false" outlineLevel="0" collapsed="false">
      <c r="A114" s="323" t="s">
        <v>1286</v>
      </c>
      <c r="B114" s="324" t="n">
        <v>26</v>
      </c>
      <c r="D114" s="0" t="n">
        <v>165</v>
      </c>
    </row>
    <row r="115" customFormat="false" ht="14.4" hidden="false" customHeight="false" outlineLevel="0" collapsed="false">
      <c r="A115" s="323" t="s">
        <v>1287</v>
      </c>
      <c r="B115" s="326" t="n">
        <v>40</v>
      </c>
      <c r="D115" s="0" t="n">
        <v>170</v>
      </c>
    </row>
    <row r="116" customFormat="false" ht="14.4" hidden="false" customHeight="false" outlineLevel="0" collapsed="false">
      <c r="A116" s="323" t="s">
        <v>1288</v>
      </c>
      <c r="B116" s="324" t="n">
        <v>26</v>
      </c>
      <c r="D116" s="0" t="n">
        <v>299</v>
      </c>
    </row>
    <row r="117" customFormat="false" ht="14.4" hidden="false" customHeight="false" outlineLevel="0" collapsed="false">
      <c r="A117" s="323" t="s">
        <v>1289</v>
      </c>
      <c r="B117" s="326" t="n">
        <v>40</v>
      </c>
      <c r="D117" s="0" t="n">
        <v>307</v>
      </c>
    </row>
  </sheetData>
  <autoFilter ref="B1:B10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4.4" zeroHeight="false" outlineLevelRow="0" outlineLevelCol="0"/>
  <cols>
    <col collapsed="false" customWidth="true" hidden="false" outlineLevel="0" max="2" min="1" style="0" width="9.11"/>
    <col collapsed="false" customWidth="true" hidden="false" outlineLevel="0" max="3" min="3" style="0" width="10.55"/>
    <col collapsed="false" customWidth="true" hidden="false" outlineLevel="0" max="4" min="4" style="0" width="9.11"/>
    <col collapsed="false" customWidth="true" hidden="false" outlineLevel="0" max="5" min="5" style="0" width="10.55"/>
    <col collapsed="false" customWidth="true" hidden="false" outlineLevel="0" max="1025" min="6" style="0" width="9.11"/>
  </cols>
  <sheetData>
    <row r="1" customFormat="false" ht="14.4" hidden="false" customHeight="false" outlineLevel="0" collapsed="false">
      <c r="A1" s="0" t="s">
        <v>1148</v>
      </c>
      <c r="C1" s="0" t="s">
        <v>1290</v>
      </c>
    </row>
    <row r="2" customFormat="false" ht="14.4" hidden="false" customHeight="false" outlineLevel="0" collapsed="false">
      <c r="A2" s="327" t="s">
        <v>1291</v>
      </c>
      <c r="B2" s="327"/>
      <c r="C2" s="0" t="n">
        <v>10.371</v>
      </c>
    </row>
    <row r="3" customFormat="false" ht="14.4" hidden="false" customHeight="false" outlineLevel="0" collapsed="false">
      <c r="A3" s="327" t="s">
        <v>1292</v>
      </c>
      <c r="B3" s="327"/>
      <c r="C3" s="0" t="n">
        <v>17</v>
      </c>
    </row>
    <row r="4" customFormat="false" ht="14.4" hidden="false" customHeight="false" outlineLevel="0" collapsed="false">
      <c r="A4" s="327" t="s">
        <v>1293</v>
      </c>
      <c r="B4" s="327"/>
    </row>
    <row r="7" customFormat="false" ht="14.4" hidden="false" customHeight="false" outlineLevel="0" collapsed="false">
      <c r="A7" s="0" t="s">
        <v>1294</v>
      </c>
    </row>
    <row r="8" customFormat="false" ht="14.4" hidden="false" customHeight="false" outlineLevel="0" collapsed="false">
      <c r="A8" s="0" t="s">
        <v>1291</v>
      </c>
      <c r="C8" s="0" t="n">
        <v>0.004041</v>
      </c>
    </row>
    <row r="9" customFormat="false" ht="14.4" hidden="false" customHeight="false" outlineLevel="0" collapsed="false">
      <c r="A9" s="0" t="s">
        <v>1292</v>
      </c>
      <c r="C9" s="0" t="n">
        <v>0.004308</v>
      </c>
    </row>
  </sheetData>
  <mergeCells count="3">
    <mergeCell ref="A2:B2"/>
    <mergeCell ref="A3:B3"/>
    <mergeCell ref="A4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4.4" zeroHeight="false" outlineLevelRow="0" outlineLevelCol="0"/>
  <cols>
    <col collapsed="false" customWidth="true" hidden="false" outlineLevel="0" max="1" min="1" style="328" width="9.11"/>
    <col collapsed="false" customWidth="true" hidden="false" outlineLevel="0" max="2" min="2" style="309" width="9.11"/>
    <col collapsed="false" customWidth="true" hidden="false" outlineLevel="0" max="1025" min="3" style="0" width="9.11"/>
  </cols>
  <sheetData>
    <row r="1" customFormat="false" ht="14.4" hidden="false" customHeight="false" outlineLevel="0" collapsed="false">
      <c r="A1" s="328" t="s">
        <v>13</v>
      </c>
    </row>
    <row r="2" customFormat="false" ht="14.4" hidden="false" customHeight="false" outlineLevel="0" collapsed="false">
      <c r="A2" s="328" t="n">
        <v>140</v>
      </c>
      <c r="B2" s="309" t="n">
        <v>3.56</v>
      </c>
    </row>
    <row r="3" customFormat="false" ht="14.4" hidden="false" customHeight="false" outlineLevel="0" collapsed="false">
      <c r="A3" s="328" t="n">
        <v>150</v>
      </c>
      <c r="B3" s="309" t="n">
        <v>3.94</v>
      </c>
    </row>
    <row r="4" customFormat="false" ht="14.4" hidden="false" customHeight="false" outlineLevel="0" collapsed="false">
      <c r="A4" s="328" t="n">
        <v>180</v>
      </c>
      <c r="B4" s="309" t="n">
        <v>4.65</v>
      </c>
    </row>
    <row r="5" customFormat="false" ht="14.4" hidden="false" customHeight="false" outlineLevel="0" collapsed="false">
      <c r="A5" s="328" t="n">
        <v>20</v>
      </c>
      <c r="B5" s="309" t="n">
        <v>6.35</v>
      </c>
    </row>
    <row r="6" customFormat="false" ht="14.4" hidden="false" customHeight="false" outlineLevel="0" collapsed="false">
      <c r="A6" s="328" t="n">
        <v>240</v>
      </c>
      <c r="B6" s="309" t="n">
        <v>6.6</v>
      </c>
    </row>
    <row r="7" customFormat="false" ht="14.4" hidden="false" customHeight="false" outlineLevel="0" collapsed="false">
      <c r="A7" s="328" t="n">
        <v>270</v>
      </c>
      <c r="B7" s="309" t="n">
        <v>6.6</v>
      </c>
    </row>
    <row r="8" customFormat="false" ht="14.4" hidden="false" customHeight="false" outlineLevel="0" collapsed="false">
      <c r="A8" s="328" t="n">
        <v>410</v>
      </c>
      <c r="B8" s="309" t="n">
        <v>6.86</v>
      </c>
    </row>
    <row r="9" customFormat="false" ht="14.4" hidden="false" customHeight="false" outlineLevel="0" collapsed="false">
      <c r="A9" s="328" t="n">
        <v>30</v>
      </c>
      <c r="B9" s="309" t="n">
        <v>7.87</v>
      </c>
    </row>
    <row r="10" customFormat="false" ht="14.4" hidden="false" customHeight="false" outlineLevel="0" collapsed="false">
      <c r="A10" s="328" t="n">
        <v>280</v>
      </c>
      <c r="B10" s="309" t="n">
        <v>9.65</v>
      </c>
    </row>
    <row r="11" customFormat="false" ht="14.4" hidden="false" customHeight="false" outlineLevel="0" collapsed="false">
      <c r="A11" s="328" t="n">
        <v>290</v>
      </c>
      <c r="B11" s="309" t="n">
        <v>9.65</v>
      </c>
    </row>
    <row r="12" customFormat="false" ht="14.4" hidden="false" customHeight="false" outlineLevel="0" collapsed="false">
      <c r="A12" s="328" t="n">
        <v>40</v>
      </c>
      <c r="B12" s="329" t="n">
        <v>10.2</v>
      </c>
    </row>
    <row r="13" customFormat="false" ht="14.4" hidden="false" customHeight="false" outlineLevel="0" collapsed="false">
      <c r="A13" s="328" t="n">
        <v>130</v>
      </c>
      <c r="B13" s="329" t="n">
        <v>11.2</v>
      </c>
    </row>
    <row r="14" customFormat="false" ht="14.4" hidden="false" customHeight="false" outlineLevel="0" collapsed="false">
      <c r="A14" s="328" t="n">
        <v>50</v>
      </c>
      <c r="B14" s="329" t="n">
        <v>12.7</v>
      </c>
    </row>
    <row r="15" customFormat="false" ht="14.4" hidden="false" customHeight="false" outlineLevel="0" collapsed="false">
      <c r="A15" s="328" t="n">
        <v>120</v>
      </c>
      <c r="B15" s="329" t="n">
        <v>16.6</v>
      </c>
    </row>
    <row r="16" customFormat="false" ht="14.4" hidden="false" customHeight="false" outlineLevel="0" collapsed="false">
      <c r="A16" s="328" t="n">
        <v>380</v>
      </c>
      <c r="B16" s="329" t="n">
        <v>17.3</v>
      </c>
    </row>
    <row r="17" customFormat="false" ht="14.4" hidden="false" customHeight="false" outlineLevel="0" collapsed="false">
      <c r="A17" s="328" t="n">
        <v>206</v>
      </c>
      <c r="B17" s="329" t="n">
        <v>20.3</v>
      </c>
    </row>
    <row r="18" customFormat="false" ht="14.4" hidden="false" customHeight="false" outlineLevel="0" collapsed="false">
      <c r="A18" s="328" t="n">
        <v>310</v>
      </c>
      <c r="B18" s="329" t="n">
        <v>22.9</v>
      </c>
    </row>
    <row r="19" customFormat="false" ht="14.4" hidden="false" customHeight="false" outlineLevel="0" collapsed="false">
      <c r="A19" s="328" t="n">
        <v>350</v>
      </c>
      <c r="B19" s="329" t="n">
        <v>23.6</v>
      </c>
    </row>
    <row r="20" customFormat="false" ht="14.4" hidden="false" customHeight="false" outlineLevel="0" collapsed="false">
      <c r="A20" s="328" t="n">
        <v>930</v>
      </c>
      <c r="B20" s="329" t="n">
        <v>26.9</v>
      </c>
    </row>
    <row r="21" customFormat="false" ht="14.4" hidden="false" customHeight="false" outlineLevel="0" collapsed="false">
      <c r="A21" s="328" t="n">
        <v>548</v>
      </c>
      <c r="B21" s="329" t="n">
        <v>32.8</v>
      </c>
    </row>
    <row r="22" customFormat="false" ht="14.4" hidden="false" customHeight="false" outlineLevel="0" collapsed="false">
      <c r="A22" s="328" t="n">
        <v>585</v>
      </c>
      <c r="B22" s="329" t="n">
        <v>34.3</v>
      </c>
    </row>
    <row r="23" customFormat="false" ht="14.4" hidden="false" customHeight="false" outlineLevel="0" collapsed="false">
      <c r="A23" s="328" t="n">
        <v>324</v>
      </c>
      <c r="B23" s="329" t="n">
        <v>35.8</v>
      </c>
    </row>
    <row r="24" customFormat="false" ht="14.4" hidden="false" customHeight="false" outlineLevel="0" collapsed="false">
      <c r="A24" s="328" t="n">
        <v>254</v>
      </c>
      <c r="B24" s="329" t="n">
        <v>39.9</v>
      </c>
    </row>
    <row r="25" customFormat="false" ht="14.4" hidden="false" customHeight="false" outlineLevel="0" collapsed="false">
      <c r="A25" s="328" t="n">
        <v>438</v>
      </c>
      <c r="B25" s="329" t="n">
        <v>46.7</v>
      </c>
    </row>
    <row r="26" customFormat="false" ht="14.4" hidden="false" customHeight="false" outlineLevel="0" collapsed="false">
      <c r="A26" s="328" t="n">
        <v>89</v>
      </c>
      <c r="B26" s="329" t="n">
        <v>46.7</v>
      </c>
    </row>
    <row r="27" customFormat="false" ht="14.4" hidden="false" customHeight="false" outlineLevel="0" collapsed="false">
      <c r="A27" s="328" t="n">
        <v>715</v>
      </c>
      <c r="B27" s="329" t="n">
        <v>50.8</v>
      </c>
    </row>
    <row r="28" customFormat="false" ht="14.4" hidden="false" customHeight="false" outlineLevel="0" collapsed="false">
      <c r="A28" s="328" t="n">
        <v>195</v>
      </c>
      <c r="B28" s="329" t="n">
        <v>57.2</v>
      </c>
    </row>
    <row r="29" customFormat="false" ht="14.4" hidden="false" customHeight="false" outlineLevel="0" collapsed="false">
      <c r="A29" s="328" t="n">
        <v>109</v>
      </c>
      <c r="B29" s="329" t="n">
        <v>57.2</v>
      </c>
    </row>
    <row r="30" customFormat="false" ht="14.4" hidden="false" customHeight="false" outlineLevel="0" collapsed="false">
      <c r="A30" s="328" t="n">
        <v>620</v>
      </c>
      <c r="B30" s="329" t="n">
        <v>62</v>
      </c>
    </row>
    <row r="31" customFormat="false" ht="14.4" hidden="false" customHeight="false" outlineLevel="0" collapsed="false">
      <c r="A31" s="328" t="n">
        <v>740</v>
      </c>
      <c r="B31" s="329" t="n">
        <v>74.1</v>
      </c>
    </row>
    <row r="32" customFormat="false" ht="14.4" hidden="false" customHeight="false" outlineLevel="0" collapsed="false">
      <c r="A32" s="328" t="n">
        <v>866</v>
      </c>
      <c r="B32" s="329" t="n">
        <v>77.8</v>
      </c>
    </row>
    <row r="33" customFormat="false" ht="14.4" hidden="false" customHeight="false" outlineLevel="0" collapsed="false">
      <c r="A33" s="328" t="n">
        <v>906</v>
      </c>
      <c r="B33" s="329" t="n">
        <v>77.8</v>
      </c>
    </row>
    <row r="34" customFormat="false" ht="14.4" hidden="false" customHeight="false" outlineLevel="0" collapsed="false">
      <c r="A34" s="328" t="n">
        <v>102</v>
      </c>
      <c r="B34" s="329" t="n">
        <v>101.6</v>
      </c>
    </row>
    <row r="35" customFormat="false" ht="14.4" hidden="false" customHeight="false" outlineLevel="0" collapsed="false">
      <c r="A35" s="328" t="n">
        <v>337</v>
      </c>
      <c r="B35" s="329" t="n">
        <v>132.6</v>
      </c>
    </row>
    <row r="36" customFormat="false" ht="14.4" hidden="false" customHeight="false" outlineLevel="0" collapsed="false">
      <c r="A36" s="328" t="n">
        <v>165</v>
      </c>
      <c r="B36" s="329" t="n">
        <v>165.1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4.4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5.44"/>
    <col collapsed="false" customWidth="true" hidden="false" outlineLevel="0" max="3" min="3" style="0" width="14.66"/>
    <col collapsed="false" customWidth="true" hidden="false" outlineLevel="0" max="14" min="4" style="0" width="8.51"/>
    <col collapsed="false" customWidth="true" hidden="false" outlineLevel="0" max="15" min="15" style="0" width="19.44"/>
    <col collapsed="false" customWidth="true" hidden="false" outlineLevel="0" max="1025" min="16" style="0" width="8.51"/>
  </cols>
  <sheetData>
    <row r="1" customFormat="false" ht="14.4" hidden="false" customHeight="false" outlineLevel="0" collapsed="false">
      <c r="A1" s="330" t="s">
        <v>1295</v>
      </c>
      <c r="B1" s="330" t="s">
        <v>1296</v>
      </c>
      <c r="C1" s="330" t="s">
        <v>1297</v>
      </c>
      <c r="D1" s="330" t="s">
        <v>1298</v>
      </c>
      <c r="E1" s="330" t="s">
        <v>1299</v>
      </c>
      <c r="F1" s="330" t="s">
        <v>1300</v>
      </c>
      <c r="G1" s="330" t="s">
        <v>1301</v>
      </c>
      <c r="H1" s="330" t="s">
        <v>1302</v>
      </c>
      <c r="I1" s="330" t="s">
        <v>1303</v>
      </c>
      <c r="J1" s="330" t="s">
        <v>1304</v>
      </c>
      <c r="K1" s="330" t="s">
        <v>1210</v>
      </c>
      <c r="L1" s="330" t="s">
        <v>1212</v>
      </c>
      <c r="M1" s="330" t="s">
        <v>1305</v>
      </c>
      <c r="N1" s="330" t="s">
        <v>1306</v>
      </c>
      <c r="O1" s="330" t="s">
        <v>1307</v>
      </c>
      <c r="P1" s="330" t="s">
        <v>1308</v>
      </c>
      <c r="Q1" s="330" t="s">
        <v>1309</v>
      </c>
    </row>
    <row r="2" customFormat="false" ht="14.4" hidden="false" customHeight="false" outlineLevel="0" collapsed="false">
      <c r="A2" s="331" t="n">
        <v>1</v>
      </c>
      <c r="B2" s="331" t="s">
        <v>1310</v>
      </c>
      <c r="C2" s="332" t="n">
        <v>0.000484623041105798</v>
      </c>
      <c r="D2" s="331" t="n">
        <v>0</v>
      </c>
      <c r="E2" s="331" t="n">
        <v>0.000484623041105798</v>
      </c>
      <c r="F2" s="331" t="n">
        <v>0.000333123814524196</v>
      </c>
      <c r="G2" s="331" t="n">
        <v>0.000284317793549167</v>
      </c>
      <c r="H2" s="331" t="n">
        <v>0.000261869596953598</v>
      </c>
      <c r="I2" s="331" t="n">
        <v>0.00024669739737146</v>
      </c>
      <c r="J2" s="331" t="n">
        <v>0.000207232789623119</v>
      </c>
      <c r="K2" s="331" t="n">
        <v>0</v>
      </c>
      <c r="L2" s="331" t="n">
        <v>0</v>
      </c>
      <c r="M2" s="331" t="n">
        <v>0</v>
      </c>
      <c r="N2" s="331" t="n">
        <v>0.000207232789623119</v>
      </c>
      <c r="O2" s="331" t="s">
        <v>1311</v>
      </c>
      <c r="P2" s="331" t="n">
        <v>0.9822141734375</v>
      </c>
      <c r="Q2" s="331" t="n">
        <v>0.9822141734375</v>
      </c>
    </row>
    <row r="3" customFormat="false" ht="14.4" hidden="false" customHeight="false" outlineLevel="0" collapsed="false">
      <c r="A3" s="331" t="n">
        <v>2</v>
      </c>
      <c r="B3" s="331" t="s">
        <v>1312</v>
      </c>
      <c r="C3" s="332" t="n">
        <v>0.00191452853885039</v>
      </c>
      <c r="D3" s="331" t="n">
        <v>0</v>
      </c>
      <c r="E3" s="331" t="n">
        <v>0.00191452853885039</v>
      </c>
      <c r="F3" s="331" t="n">
        <v>0.00132499540905428</v>
      </c>
      <c r="G3" s="331" t="n">
        <v>0.00112968303009345</v>
      </c>
      <c r="H3" s="331" t="n">
        <v>0.00106800761148509</v>
      </c>
      <c r="I3" s="331" t="n">
        <v>0.000978198541543747</v>
      </c>
      <c r="J3" s="331" t="n">
        <v>0.000838849227810612</v>
      </c>
      <c r="K3" s="331" t="n">
        <v>0</v>
      </c>
      <c r="L3" s="331" t="n">
        <v>0</v>
      </c>
      <c r="M3" s="331" t="n">
        <v>0</v>
      </c>
      <c r="N3" s="331" t="n">
        <v>0.000838849227810612</v>
      </c>
      <c r="O3" s="331" t="s">
        <v>1313</v>
      </c>
      <c r="P3" s="331" t="n">
        <v>0.94989164032</v>
      </c>
      <c r="Q3" s="331" t="n">
        <v>0.94989164032</v>
      </c>
    </row>
    <row r="4" customFormat="false" ht="14.4" hidden="false" customHeight="false" outlineLevel="0" collapsed="false">
      <c r="A4" s="331" t="n">
        <v>3</v>
      </c>
      <c r="B4" s="331" t="s">
        <v>1314</v>
      </c>
      <c r="C4" s="332" t="n">
        <v>0.00200008285644085</v>
      </c>
      <c r="D4" s="331" t="n">
        <v>0</v>
      </c>
      <c r="E4" s="331" t="n">
        <v>0.00200008285644085</v>
      </c>
      <c r="F4" s="331" t="n">
        <v>0.00138672734476539</v>
      </c>
      <c r="G4" s="331" t="n">
        <v>0.00117393858355213</v>
      </c>
      <c r="H4" s="331" t="n">
        <v>0.00109859426961686</v>
      </c>
      <c r="I4" s="331" t="n">
        <v>0.00101966519124011</v>
      </c>
      <c r="J4" s="331" t="n">
        <v>0.000876461053628052</v>
      </c>
      <c r="K4" s="331" t="n">
        <v>0.000418731883519798</v>
      </c>
      <c r="L4" s="331" t="n">
        <v>0</v>
      </c>
      <c r="M4" s="331" t="n">
        <v>0</v>
      </c>
      <c r="N4" s="331" t="n">
        <v>0.000418731883519798</v>
      </c>
      <c r="O4" s="331" t="s">
        <v>1315</v>
      </c>
      <c r="P4" s="331" t="n">
        <v>0.9687837557575</v>
      </c>
      <c r="Q4" s="331" t="n">
        <v>0.9687837557575</v>
      </c>
    </row>
    <row r="5" customFormat="false" ht="14.4" hidden="false" customHeight="false" outlineLevel="0" collapsed="false">
      <c r="A5" s="331" t="n">
        <v>4</v>
      </c>
      <c r="B5" s="331" t="s">
        <v>1316</v>
      </c>
      <c r="C5" s="332" t="n">
        <v>0.00491005714183739</v>
      </c>
      <c r="D5" s="331" t="n">
        <v>0.00396698115406884</v>
      </c>
      <c r="E5" s="331" t="n">
        <v>0.00491005714183739</v>
      </c>
      <c r="F5" s="331" t="n">
        <v>0.003377180716872</v>
      </c>
      <c r="G5" s="331" t="n">
        <v>0.00289771277105622</v>
      </c>
      <c r="H5" s="331" t="n">
        <v>0.00270798849672315</v>
      </c>
      <c r="I5" s="331" t="n">
        <v>0.00250804252509399</v>
      </c>
      <c r="J5" s="331" t="n">
        <v>0.00213340619764452</v>
      </c>
      <c r="K5" s="331" t="n">
        <v>0.00102876640725875</v>
      </c>
      <c r="L5" s="331" t="n">
        <v>0.000428109831426383</v>
      </c>
      <c r="M5" s="331" t="n">
        <v>0.00025614770947628</v>
      </c>
      <c r="N5" s="331" t="n">
        <v>0.00025614770947628</v>
      </c>
      <c r="O5" s="331" t="s">
        <v>1317</v>
      </c>
      <c r="P5" s="331" t="n">
        <v>0.95875264512</v>
      </c>
      <c r="Q5" s="331" t="n">
        <v>0.95875264512</v>
      </c>
    </row>
    <row r="6" customFormat="false" ht="14.4" hidden="false" customHeight="false" outlineLevel="0" collapsed="false">
      <c r="A6" s="331" t="n">
        <v>5</v>
      </c>
      <c r="B6" s="331" t="s">
        <v>1318</v>
      </c>
      <c r="C6" s="332" t="n">
        <v>0.00533487335179051</v>
      </c>
      <c r="D6" s="331" t="n">
        <v>0.00437651361333951</v>
      </c>
      <c r="E6" s="331" t="n">
        <v>0.00533487335179051</v>
      </c>
      <c r="F6" s="331" t="n">
        <v>0.00364114711566882</v>
      </c>
      <c r="G6" s="331" t="n">
        <v>0.0031589515772564</v>
      </c>
      <c r="H6" s="331" t="n">
        <v>0.00292813700544692</v>
      </c>
      <c r="I6" s="331" t="n">
        <v>0.00272859022836467</v>
      </c>
      <c r="J6" s="331" t="n">
        <v>0.00231085539183717</v>
      </c>
      <c r="K6" s="331" t="n">
        <v>0.00111777487160733</v>
      </c>
      <c r="L6" s="331" t="n">
        <v>0.000472305875040599</v>
      </c>
      <c r="M6" s="331" t="n">
        <v>0.000256901084685667</v>
      </c>
      <c r="N6" s="331" t="n">
        <v>0.000256901084685667</v>
      </c>
      <c r="O6" s="331" t="s">
        <v>1319</v>
      </c>
      <c r="P6" s="331" t="n">
        <v>0.95875264512</v>
      </c>
      <c r="Q6" s="331" t="n">
        <v>0.95875264512</v>
      </c>
    </row>
    <row r="7" customFormat="false" ht="14.4" hidden="false" customHeight="false" outlineLevel="0" collapsed="false">
      <c r="A7" s="331" t="n">
        <v>6</v>
      </c>
      <c r="B7" s="331" t="s">
        <v>1320</v>
      </c>
      <c r="C7" s="332" t="n">
        <v>0.00896608707115495</v>
      </c>
      <c r="D7" s="331" t="n">
        <v>0.00842750142072814</v>
      </c>
      <c r="E7" s="331" t="n">
        <v>0.00896608707115495</v>
      </c>
      <c r="F7" s="331" t="n">
        <v>0.00615282829662489</v>
      </c>
      <c r="G7" s="331" t="n">
        <v>0.00534264605643929</v>
      </c>
      <c r="H7" s="331" t="n">
        <v>0.00493111278399835</v>
      </c>
      <c r="I7" s="331" t="n">
        <v>0.00457672878091505</v>
      </c>
      <c r="J7" s="331" t="n">
        <v>0.00387621944283962</v>
      </c>
      <c r="K7" s="331" t="n">
        <v>0.00188879741097762</v>
      </c>
      <c r="L7" s="331" t="n">
        <v>0.000792298055852598</v>
      </c>
      <c r="M7" s="331" t="n">
        <v>0.000451538259270083</v>
      </c>
      <c r="N7" s="331" t="n">
        <v>0.000451538259270083</v>
      </c>
      <c r="O7" s="331" t="s">
        <v>1321</v>
      </c>
      <c r="P7" s="331" t="n">
        <v>0.9649154484375</v>
      </c>
      <c r="Q7" s="331" t="n">
        <v>0.9649154484375</v>
      </c>
    </row>
    <row r="8" customFormat="false" ht="14.4" hidden="false" customHeight="false" outlineLevel="0" collapsed="false">
      <c r="A8" s="331" t="n">
        <v>8</v>
      </c>
      <c r="B8" s="331" t="s">
        <v>1322</v>
      </c>
      <c r="C8" s="332" t="n">
        <v>0.0230835308415513</v>
      </c>
      <c r="D8" s="331" t="n">
        <v>0.00714270560189867</v>
      </c>
      <c r="E8" s="331" t="n">
        <v>0.0230835308415513</v>
      </c>
      <c r="F8" s="331" t="n">
        <v>0.0170425370425912</v>
      </c>
      <c r="G8" s="331" t="n">
        <v>0.0149291949886847</v>
      </c>
      <c r="H8" s="331" t="n">
        <v>0.0137110222721827</v>
      </c>
      <c r="I8" s="331" t="n">
        <v>0.0130172623143357</v>
      </c>
      <c r="J8" s="331" t="n">
        <v>0.0110564110594299</v>
      </c>
      <c r="K8" s="331" t="n">
        <v>0.00541527868919859</v>
      </c>
      <c r="L8" s="331" t="n">
        <v>0.0023826818073457</v>
      </c>
      <c r="M8" s="331" t="n">
        <v>0.00129441067380785</v>
      </c>
      <c r="N8" s="331" t="n">
        <v>0.00129441067380785</v>
      </c>
      <c r="O8" s="331" t="s">
        <v>1323</v>
      </c>
      <c r="P8" s="331" t="n">
        <v>0.86406574252</v>
      </c>
      <c r="Q8" s="331" t="n">
        <v>0.86406574252</v>
      </c>
    </row>
    <row r="9" customFormat="false" ht="14.4" hidden="false" customHeight="false" outlineLevel="0" collapsed="false">
      <c r="A9" s="331" t="n">
        <v>7</v>
      </c>
      <c r="B9" s="331" t="s">
        <v>1324</v>
      </c>
      <c r="C9" s="332" t="n">
        <v>0.0306291434525381</v>
      </c>
      <c r="D9" s="331" t="n">
        <v>0</v>
      </c>
      <c r="E9" s="331" t="n">
        <v>0.0306291434525381</v>
      </c>
      <c r="F9" s="331" t="n">
        <v>0.0232558835220558</v>
      </c>
      <c r="G9" s="331" t="n">
        <v>0.0196659078094159</v>
      </c>
      <c r="H9" s="331" t="n">
        <v>0.0187548582314794</v>
      </c>
      <c r="I9" s="331" t="n">
        <v>0.0172791467395186</v>
      </c>
      <c r="J9" s="331" t="n">
        <v>0.0151633696120555</v>
      </c>
      <c r="K9" s="331" t="n">
        <v>0.00731500036142038</v>
      </c>
      <c r="L9" s="331" t="n">
        <v>0.00310528028564228</v>
      </c>
      <c r="M9" s="331" t="n">
        <v>0.00176693853779966</v>
      </c>
      <c r="N9" s="331" t="n">
        <v>0.00176693853779966</v>
      </c>
      <c r="O9" s="331" t="s">
        <v>1325</v>
      </c>
      <c r="P9" s="331" t="n">
        <v>0.836707875</v>
      </c>
      <c r="Q9" s="331" t="n">
        <v>0.836707875</v>
      </c>
    </row>
    <row r="10" customFormat="false" ht="14.4" hidden="false" customHeight="false" outlineLevel="0" collapsed="false">
      <c r="A10" s="331" t="n">
        <v>9</v>
      </c>
      <c r="B10" s="331" t="s">
        <v>1326</v>
      </c>
      <c r="C10" s="332" t="n">
        <v>0.051701762934081</v>
      </c>
      <c r="D10" s="331" t="n">
        <v>0.0107330259193992</v>
      </c>
      <c r="E10" s="331" t="n">
        <v>0.051701762934081</v>
      </c>
      <c r="F10" s="331" t="n">
        <v>0.0396888791103295</v>
      </c>
      <c r="G10" s="331" t="n">
        <v>0.0349364494740895</v>
      </c>
      <c r="H10" s="331" t="n">
        <v>0.0328075932390358</v>
      </c>
      <c r="I10" s="331" t="n">
        <v>0.030863980037393</v>
      </c>
      <c r="J10" s="331" t="n">
        <v>0.0265054032264474</v>
      </c>
      <c r="K10" s="331" t="n">
        <v>0.0129066634620247</v>
      </c>
      <c r="L10" s="331" t="n">
        <v>0.00569065036433391</v>
      </c>
      <c r="M10" s="331" t="n">
        <v>0.00308999106035814</v>
      </c>
      <c r="N10" s="331" t="n">
        <v>0.00308999106035814</v>
      </c>
      <c r="O10" s="331" t="s">
        <v>1327</v>
      </c>
      <c r="P10" s="331" t="n">
        <v>0.78580668032</v>
      </c>
      <c r="Q10" s="331" t="n">
        <v>0.78580668032</v>
      </c>
    </row>
    <row r="11" customFormat="false" ht="14.4" hidden="false" customHeight="false" outlineLevel="0" collapsed="false">
      <c r="A11" s="331" t="n">
        <v>10</v>
      </c>
      <c r="B11" s="331" t="s">
        <v>1328</v>
      </c>
      <c r="C11" s="332" t="n">
        <v>0.0642232836446787</v>
      </c>
      <c r="D11" s="331" t="n">
        <v>0.013416282399249</v>
      </c>
      <c r="E11" s="331" t="n">
        <v>0.0642232836446787</v>
      </c>
      <c r="F11" s="331" t="n">
        <v>0.0496110988879119</v>
      </c>
      <c r="G11" s="331" t="n">
        <v>0.0434345047515708</v>
      </c>
      <c r="H11" s="331" t="n">
        <v>0.0405270269423383</v>
      </c>
      <c r="I11" s="331" t="n">
        <v>0.0382125467129628</v>
      </c>
      <c r="J11" s="331" t="n">
        <v>0.033006728546142</v>
      </c>
      <c r="K11" s="331" t="n">
        <v>0.0165205292313917</v>
      </c>
      <c r="L11" s="331" t="n">
        <v>0.00724264591824316</v>
      </c>
      <c r="M11" s="331" t="n">
        <v>0.00360498957041783</v>
      </c>
      <c r="N11" s="331" t="n">
        <v>0.00360498957041783</v>
      </c>
      <c r="O11" s="331" t="s">
        <v>1329</v>
      </c>
      <c r="P11" s="331" t="n">
        <v>0.78580668032</v>
      </c>
      <c r="Q11" s="331" t="n">
        <v>0.78580668032</v>
      </c>
    </row>
    <row r="12" customFormat="false" ht="14.4" hidden="false" customHeight="false" outlineLevel="0" collapsed="false">
      <c r="A12" s="331" t="n">
        <v>11</v>
      </c>
      <c r="B12" s="331" t="s">
        <v>1330</v>
      </c>
      <c r="C12" s="332" t="n">
        <v>0.0817365353616782</v>
      </c>
      <c r="D12" s="331" t="n">
        <v>0.0149339562940887</v>
      </c>
      <c r="E12" s="331" t="n">
        <v>0.0817365353616782</v>
      </c>
      <c r="F12" s="331" t="n">
        <v>0.0650821234063104</v>
      </c>
      <c r="G12" s="331" t="n">
        <v>0.0570961858931056</v>
      </c>
      <c r="H12" s="331" t="n">
        <v>0.0534288425744829</v>
      </c>
      <c r="I12" s="331" t="n">
        <v>0.0504956971734451</v>
      </c>
      <c r="J12" s="331" t="n">
        <v>0.0437978788144802</v>
      </c>
      <c r="K12" s="331" t="n">
        <v>0.0220760236405565</v>
      </c>
      <c r="L12" s="331" t="n">
        <v>0.00969037015788037</v>
      </c>
      <c r="M12" s="331" t="n">
        <v>0.00482264961112411</v>
      </c>
      <c r="N12" s="331" t="n">
        <v>0.00482264961112411</v>
      </c>
      <c r="O12" s="331" t="s">
        <v>1331</v>
      </c>
      <c r="P12" s="331" t="n">
        <v>0.74774535852</v>
      </c>
      <c r="Q12" s="331" t="n">
        <v>0.74774535852</v>
      </c>
    </row>
    <row r="13" customFormat="false" ht="14.4" hidden="false" customHeight="false" outlineLevel="0" collapsed="false">
      <c r="A13" s="331" t="n">
        <v>12</v>
      </c>
      <c r="B13" s="331" t="s">
        <v>1332</v>
      </c>
      <c r="C13" s="332" t="n">
        <v>0.135076867819785</v>
      </c>
      <c r="D13" s="331" t="n">
        <v>0</v>
      </c>
      <c r="E13" s="331" t="n">
        <v>0.135076867819785</v>
      </c>
      <c r="F13" s="331" t="n">
        <v>0.129557518659033</v>
      </c>
      <c r="G13" s="331" t="n">
        <v>0.114593376144582</v>
      </c>
      <c r="H13" s="331" t="n">
        <v>0.109585194515492</v>
      </c>
      <c r="I13" s="331" t="n">
        <v>0.104673987451655</v>
      </c>
      <c r="J13" s="331" t="n">
        <v>0.0924653329330116</v>
      </c>
      <c r="K13" s="331" t="n">
        <v>0.0491624921614168</v>
      </c>
      <c r="L13" s="331" t="n">
        <v>0.0210490282349769</v>
      </c>
      <c r="M13" s="331" t="n">
        <v>0.0114277172979857</v>
      </c>
      <c r="N13" s="331" t="n">
        <v>0.0114277172979857</v>
      </c>
      <c r="O13" s="331" t="s">
        <v>1333</v>
      </c>
      <c r="P13" s="331" t="n">
        <v>0.56007046572</v>
      </c>
      <c r="Q13" s="331" t="n">
        <v>0.56007046572</v>
      </c>
    </row>
    <row r="14" customFormat="false" ht="14.4" hidden="false" customHeight="false" outlineLevel="0" collapsed="false">
      <c r="A14" s="331" t="n">
        <v>13</v>
      </c>
      <c r="B14" s="331" t="s">
        <v>1334</v>
      </c>
      <c r="C14" s="332" t="n">
        <v>0.243393602348053</v>
      </c>
      <c r="D14" s="331" t="n">
        <v>0.0241640972283686</v>
      </c>
      <c r="E14" s="331" t="n">
        <v>0.205948405451682</v>
      </c>
      <c r="F14" s="331" t="n">
        <v>0.243393602348053</v>
      </c>
      <c r="G14" s="331" t="n">
        <v>0.220333180790494</v>
      </c>
      <c r="H14" s="331" t="n">
        <v>0.211514336533266</v>
      </c>
      <c r="I14" s="331" t="n">
        <v>0.2050934349209</v>
      </c>
      <c r="J14" s="331" t="n">
        <v>0.183794720329082</v>
      </c>
      <c r="K14" s="331" t="n">
        <v>0.0996511104508425</v>
      </c>
      <c r="L14" s="331" t="n">
        <v>0.0452038827399467</v>
      </c>
      <c r="M14" s="331" t="n">
        <v>0.0225106136531494</v>
      </c>
      <c r="N14" s="331" t="n">
        <v>0.0225106136531494</v>
      </c>
      <c r="O14" s="331" t="s">
        <v>1335</v>
      </c>
      <c r="P14" s="331" t="n">
        <v>0.723178187264</v>
      </c>
      <c r="Q14" s="331" t="n">
        <v>0.723178187264</v>
      </c>
    </row>
    <row r="15" customFormat="false" ht="14.4" hidden="false" customHeight="false" outlineLevel="0" collapsed="false">
      <c r="A15" s="331" t="n">
        <v>14</v>
      </c>
      <c r="B15" s="331" t="s">
        <v>1336</v>
      </c>
      <c r="C15" s="332" t="n">
        <v>0.7887095911845</v>
      </c>
      <c r="D15" s="331" t="n">
        <v>0.0523811344936617</v>
      </c>
      <c r="E15" s="331" t="n">
        <v>0.463644361506794</v>
      </c>
      <c r="F15" s="331" t="n">
        <v>0.7887095911845</v>
      </c>
      <c r="G15" s="331" t="n">
        <v>0.773876359226181</v>
      </c>
      <c r="H15" s="331" t="n">
        <v>0.74398666484925</v>
      </c>
      <c r="I15" s="331" t="n">
        <v>0.763458889050493</v>
      </c>
      <c r="J15" s="331" t="n">
        <v>0.711200905506153</v>
      </c>
      <c r="K15" s="331" t="n">
        <v>0.433172089567658</v>
      </c>
      <c r="L15" s="331" t="n">
        <v>0.194705016336694</v>
      </c>
      <c r="M15" s="331" t="n">
        <v>0.103778290193342</v>
      </c>
      <c r="N15" s="331" t="n">
        <v>0.0523811344936617</v>
      </c>
      <c r="O15" s="331" t="s">
        <v>1337</v>
      </c>
      <c r="P15" s="331" t="n">
        <v>0.530403871744</v>
      </c>
      <c r="Q15" s="331" t="n">
        <v>0.530403871744</v>
      </c>
    </row>
    <row r="16" customFormat="false" ht="14.4" hidden="false" customHeight="false" outlineLevel="0" collapsed="false">
      <c r="A16" s="331" t="n">
        <v>15</v>
      </c>
      <c r="B16" s="331" t="s">
        <v>1338</v>
      </c>
      <c r="C16" s="332" t="n">
        <v>0.791886570768475</v>
      </c>
      <c r="D16" s="331" t="n">
        <v>0</v>
      </c>
      <c r="E16" s="331" t="n">
        <v>0.579107117945961</v>
      </c>
      <c r="F16" s="331" t="n">
        <v>0.791886570768475</v>
      </c>
      <c r="G16" s="331" t="n">
        <v>0.71741503349618</v>
      </c>
      <c r="H16" s="331" t="n">
        <v>0.707267993348849</v>
      </c>
      <c r="I16" s="331" t="n">
        <v>0.684852381554479</v>
      </c>
      <c r="J16" s="331" t="n">
        <v>0.633644418270844</v>
      </c>
      <c r="K16" s="331" t="n">
        <v>0.355457466488627</v>
      </c>
      <c r="L16" s="331" t="n">
        <v>0.161556869564364</v>
      </c>
      <c r="M16" s="331" t="n">
        <v>0.0847559331139452</v>
      </c>
      <c r="N16" s="331" t="n">
        <v>0.0847559331139452</v>
      </c>
      <c r="O16" s="331" t="s">
        <v>1339</v>
      </c>
      <c r="P16" s="331" t="n">
        <v>0.660188572264</v>
      </c>
      <c r="Q16" s="331" t="n">
        <v>0.660188572264</v>
      </c>
    </row>
    <row r="17" customFormat="false" ht="14.4" hidden="false" customHeight="false" outlineLevel="0" collapsed="false">
      <c r="A17" s="331" t="n">
        <v>16</v>
      </c>
      <c r="B17" s="331" t="s">
        <v>1340</v>
      </c>
      <c r="C17" s="332" t="n">
        <v>1.43637561734365</v>
      </c>
      <c r="D17" s="331" t="n">
        <v>0.0807061720749116</v>
      </c>
      <c r="E17" s="331" t="n">
        <v>0.666757050067006</v>
      </c>
      <c r="F17" s="331" t="n">
        <v>1.16876643545677</v>
      </c>
      <c r="G17" s="331" t="n">
        <v>1.20996726972712</v>
      </c>
      <c r="H17" s="331" t="n">
        <v>1.30384848861285</v>
      </c>
      <c r="I17" s="331" t="n">
        <v>1.39468355661983</v>
      </c>
      <c r="J17" s="331" t="n">
        <v>1.43637561734365</v>
      </c>
      <c r="K17" s="331" t="n">
        <v>0.972609216949264</v>
      </c>
      <c r="L17" s="331" t="n">
        <v>0.46327587638986</v>
      </c>
      <c r="M17" s="331" t="n">
        <v>0.266195654038011</v>
      </c>
      <c r="N17" s="331" t="n">
        <v>0.0807061720749116</v>
      </c>
      <c r="O17" s="331" t="s">
        <v>1341</v>
      </c>
      <c r="P17" s="331" t="n">
        <v>0.636147014956976</v>
      </c>
      <c r="Q17" s="331" t="n">
        <v>0.636147014956976</v>
      </c>
    </row>
    <row r="18" customFormat="false" ht="14.4" hidden="false" customHeight="false" outlineLevel="0" collapsed="false">
      <c r="A18" s="331" t="n">
        <v>17</v>
      </c>
      <c r="B18" s="331" t="s">
        <v>1342</v>
      </c>
      <c r="C18" s="332" t="n">
        <v>2.62510140731638</v>
      </c>
      <c r="D18" s="331" t="n">
        <v>0.123931729307868</v>
      </c>
      <c r="E18" s="331" t="n">
        <v>1.09638810805864</v>
      </c>
      <c r="F18" s="331" t="n">
        <v>1.91599458941033</v>
      </c>
      <c r="G18" s="331" t="n">
        <v>1.93934300387658</v>
      </c>
      <c r="H18" s="331" t="n">
        <v>2.13863302400836</v>
      </c>
      <c r="I18" s="331" t="n">
        <v>2.29800195937593</v>
      </c>
      <c r="J18" s="331" t="n">
        <v>2.62510140731638</v>
      </c>
      <c r="K18" s="331" t="n">
        <v>1.94398613687364</v>
      </c>
      <c r="L18" s="331" t="n">
        <v>0.954912504446748</v>
      </c>
      <c r="M18" s="331" t="n">
        <v>0.507288378080207</v>
      </c>
      <c r="N18" s="331" t="n">
        <v>0.123931729307868</v>
      </c>
      <c r="O18" s="331" t="s">
        <v>1343</v>
      </c>
      <c r="P18" s="331" t="n">
        <v>0.575647262955911</v>
      </c>
      <c r="Q18" s="331" t="n">
        <v>0.575647262955911</v>
      </c>
    </row>
    <row r="19" customFormat="false" ht="14.4" hidden="false" customHeight="false" outlineLevel="0" collapsed="false">
      <c r="A19" s="331" t="n">
        <v>18</v>
      </c>
      <c r="B19" s="331" t="s">
        <v>1344</v>
      </c>
      <c r="C19" s="332" t="n">
        <v>3.35506761937888</v>
      </c>
      <c r="D19" s="331" t="n">
        <v>0</v>
      </c>
      <c r="E19" s="331" t="n">
        <v>1.38108249510775</v>
      </c>
      <c r="F19" s="331" t="n">
        <v>2.41828245616627</v>
      </c>
      <c r="G19" s="331" t="n">
        <v>2.45569447315953</v>
      </c>
      <c r="H19" s="331" t="n">
        <v>2.6999811446418</v>
      </c>
      <c r="I19" s="331" t="n">
        <v>2.8910443161049</v>
      </c>
      <c r="J19" s="331" t="n">
        <v>3.35506761937888</v>
      </c>
      <c r="K19" s="331" t="n">
        <v>2.56619632987113</v>
      </c>
      <c r="L19" s="331" t="n">
        <v>1.23619977011789</v>
      </c>
      <c r="M19" s="331" t="n">
        <v>0.681174461149991</v>
      </c>
      <c r="N19" s="331" t="n">
        <v>0.681174461149991</v>
      </c>
      <c r="O19" s="331" t="s">
        <v>1345</v>
      </c>
      <c r="P19" s="331" t="n">
        <v>0.563439486894375</v>
      </c>
      <c r="Q19" s="331" t="n">
        <v>0.563439486894375</v>
      </c>
    </row>
    <row r="20" customFormat="false" ht="14.4" hidden="false" customHeight="false" outlineLevel="0" collapsed="false">
      <c r="A20" s="331" t="n">
        <v>19</v>
      </c>
      <c r="B20" s="331" t="s">
        <v>1346</v>
      </c>
      <c r="C20" s="332" t="n">
        <v>5.68843632320069</v>
      </c>
      <c r="D20" s="331" t="n">
        <v>0.290469392461125</v>
      </c>
      <c r="E20" s="331" t="n">
        <v>2.40012161534014</v>
      </c>
      <c r="F20" s="331" t="n">
        <v>4.1887731448445</v>
      </c>
      <c r="G20" s="331" t="n">
        <v>4.25670946686118</v>
      </c>
      <c r="H20" s="331" t="n">
        <v>4.6883045838815</v>
      </c>
      <c r="I20" s="331" t="n">
        <v>5.03034290303872</v>
      </c>
      <c r="J20" s="331" t="n">
        <v>5.68843632320069</v>
      </c>
      <c r="K20" s="331" t="n">
        <v>4.17892452382787</v>
      </c>
      <c r="L20" s="331" t="n">
        <v>1.9777477542182</v>
      </c>
      <c r="M20" s="331" t="n">
        <v>1.12242898277057</v>
      </c>
      <c r="N20" s="331" t="n">
        <v>0.290469392461125</v>
      </c>
      <c r="O20" s="331" t="s">
        <v>1347</v>
      </c>
      <c r="P20" s="331" t="n">
        <v>0.581782558455831</v>
      </c>
      <c r="Q20" s="331" t="n">
        <v>0.581782558455831</v>
      </c>
    </row>
    <row r="21" customFormat="false" ht="14.4" hidden="false" customHeight="false" outlineLevel="0" collapsed="false">
      <c r="A21" s="331" t="n">
        <v>20</v>
      </c>
      <c r="B21" s="331" t="s">
        <v>1348</v>
      </c>
      <c r="C21" s="332" t="n">
        <v>10.270987682138</v>
      </c>
      <c r="D21" s="331" t="n">
        <v>0.360563552238619</v>
      </c>
      <c r="E21" s="331" t="n">
        <v>3.19075234082087</v>
      </c>
      <c r="F21" s="331" t="n">
        <v>5.5668627777026</v>
      </c>
      <c r="G21" s="331" t="n">
        <v>5.67320272011019</v>
      </c>
      <c r="H21" s="331" t="n">
        <v>6.2475353882461</v>
      </c>
      <c r="I21" s="331" t="n">
        <v>6.70221692908059</v>
      </c>
      <c r="J21" s="331" t="n">
        <v>8.39780224515893</v>
      </c>
      <c r="K21" s="331" t="n">
        <v>10.270987682138</v>
      </c>
      <c r="L21" s="331" t="n">
        <v>5.89895162987465</v>
      </c>
      <c r="M21" s="331" t="n">
        <v>3.04848989092669</v>
      </c>
      <c r="N21" s="331" t="n">
        <v>0.360563552238619</v>
      </c>
      <c r="O21" s="331" t="s">
        <v>1349</v>
      </c>
      <c r="P21" s="331" t="n">
        <v>0.768595565117188</v>
      </c>
      <c r="Q21" s="331" t="n">
        <v>0.768595565117188</v>
      </c>
    </row>
    <row r="22" customFormat="false" ht="14.4" hidden="false" customHeight="false" outlineLevel="0" collapsed="false">
      <c r="A22" s="331" t="n">
        <v>21</v>
      </c>
      <c r="B22" s="331" t="s">
        <v>1350</v>
      </c>
      <c r="C22" s="332" t="n">
        <v>10.2959359808738</v>
      </c>
      <c r="D22" s="331" t="n">
        <v>0.271360431163836</v>
      </c>
      <c r="E22" s="331" t="n">
        <v>2.40294659596321</v>
      </c>
      <c r="F22" s="331" t="n">
        <v>4.17717128808328</v>
      </c>
      <c r="G22" s="331" t="n">
        <v>4.24755873940868</v>
      </c>
      <c r="H22" s="331" t="n">
        <v>4.67993428739089</v>
      </c>
      <c r="I22" s="331" t="n">
        <v>5.02351184686053</v>
      </c>
      <c r="J22" s="331" t="n">
        <v>6.31518786700783</v>
      </c>
      <c r="K22" s="331" t="n">
        <v>10.2959359808738</v>
      </c>
      <c r="L22" s="331" t="n">
        <v>6.10429889453884</v>
      </c>
      <c r="M22" s="331" t="n">
        <v>3.64047890472297</v>
      </c>
      <c r="N22" s="331" t="n">
        <v>0.271360431163836</v>
      </c>
      <c r="O22" s="331" t="s">
        <v>1351</v>
      </c>
      <c r="P22" s="331" t="n">
        <v>0.659796673514163</v>
      </c>
      <c r="Q22" s="331" t="n">
        <v>0.659796673514163</v>
      </c>
    </row>
    <row r="23" customFormat="false" ht="14.4" hidden="false" customHeight="false" outlineLevel="0" collapsed="false">
      <c r="A23" s="331" t="n">
        <v>22</v>
      </c>
      <c r="B23" s="331" t="s">
        <v>1352</v>
      </c>
      <c r="C23" s="332" t="n">
        <v>13.5152941993593</v>
      </c>
      <c r="D23" s="331" t="n">
        <v>0.404278930777645</v>
      </c>
      <c r="E23" s="331" t="n">
        <v>3.57769604301518</v>
      </c>
      <c r="F23" s="331" t="n">
        <v>6.24108285682541</v>
      </c>
      <c r="G23" s="331" t="n">
        <v>6.35527741487695</v>
      </c>
      <c r="H23" s="331" t="n">
        <v>6.99707039172118</v>
      </c>
      <c r="I23" s="331" t="n">
        <v>7.50429971995007</v>
      </c>
      <c r="J23" s="331" t="n">
        <v>9.41567908102981</v>
      </c>
      <c r="K23" s="331" t="n">
        <v>13.5152941993593</v>
      </c>
      <c r="L23" s="331" t="n">
        <v>7.6848987792106</v>
      </c>
      <c r="M23" s="331" t="n">
        <v>4.35650994297778</v>
      </c>
      <c r="N23" s="331" t="n">
        <v>0.404278930777645</v>
      </c>
      <c r="O23" s="331" t="s">
        <v>1353</v>
      </c>
      <c r="P23" s="331" t="n">
        <v>0.712746004992819</v>
      </c>
      <c r="Q23" s="331" t="n">
        <v>0.712746004992819</v>
      </c>
    </row>
    <row r="24" customFormat="false" ht="14.4" hidden="false" customHeight="false" outlineLevel="0" collapsed="false">
      <c r="A24" s="331" t="n">
        <v>23</v>
      </c>
      <c r="B24" s="331" t="s">
        <v>1354</v>
      </c>
      <c r="C24" s="332" t="n">
        <v>25.5716548438369</v>
      </c>
      <c r="D24" s="331" t="n">
        <v>0.697498250522261</v>
      </c>
      <c r="E24" s="331" t="n">
        <v>6.16083659959391</v>
      </c>
      <c r="F24" s="331" t="n">
        <v>10.7797365059565</v>
      </c>
      <c r="G24" s="331" t="n">
        <v>10.9752126269969</v>
      </c>
      <c r="H24" s="331" t="n">
        <v>12.0420650086009</v>
      </c>
      <c r="I24" s="331" t="n">
        <v>12.9280730889512</v>
      </c>
      <c r="J24" s="331" t="n">
        <v>16.2335159229779</v>
      </c>
      <c r="K24" s="331" t="n">
        <v>25.5716548438369</v>
      </c>
      <c r="L24" s="331" t="n">
        <v>15.2544123655104</v>
      </c>
      <c r="M24" s="331" t="n">
        <v>8.74179190597909</v>
      </c>
      <c r="N24" s="331" t="n">
        <v>0.697498250522261</v>
      </c>
      <c r="O24" s="331" t="s">
        <v>1355</v>
      </c>
      <c r="P24" s="331" t="n">
        <v>0.676962601925355</v>
      </c>
      <c r="Q24" s="331" t="n">
        <v>0.676962601925355</v>
      </c>
    </row>
    <row r="25" customFormat="false" ht="14.4" hidden="false" customHeight="false" outlineLevel="0" collapsed="false">
      <c r="A25" s="331" t="n">
        <v>24</v>
      </c>
      <c r="B25" s="331" t="s">
        <v>1356</v>
      </c>
      <c r="C25" s="332" t="n">
        <v>45.4789931094739</v>
      </c>
      <c r="D25" s="331" t="n">
        <v>0</v>
      </c>
      <c r="E25" s="331" t="n">
        <v>12.274757095674</v>
      </c>
      <c r="F25" s="331" t="n">
        <v>21.4825951958569</v>
      </c>
      <c r="G25" s="331" t="n">
        <v>21.8846696151552</v>
      </c>
      <c r="H25" s="331" t="n">
        <v>24.020573609737</v>
      </c>
      <c r="I25" s="331" t="n">
        <v>25.6685250497648</v>
      </c>
      <c r="J25" s="331" t="n">
        <v>32.346552132988</v>
      </c>
      <c r="K25" s="331" t="n">
        <v>45.4789931094739</v>
      </c>
      <c r="L25" s="331" t="n">
        <v>26.107675608592</v>
      </c>
      <c r="M25" s="331" t="n">
        <v>14.7875895118904</v>
      </c>
      <c r="N25" s="331" t="n">
        <v>12.274757095674</v>
      </c>
      <c r="O25" s="331" t="s">
        <v>1357</v>
      </c>
      <c r="P25" s="331" t="n">
        <v>0.722028396966579</v>
      </c>
      <c r="Q25" s="331" t="n">
        <v>0.722028396966579</v>
      </c>
    </row>
    <row r="26" customFormat="false" ht="14.4" hidden="false" customHeight="false" outlineLevel="0" collapsed="false">
      <c r="A26" s="331" t="n">
        <v>25</v>
      </c>
      <c r="B26" s="331" t="s">
        <v>1358</v>
      </c>
      <c r="C26" s="332" t="n">
        <v>46.2931488246019</v>
      </c>
      <c r="D26" s="331" t="n">
        <v>0</v>
      </c>
      <c r="E26" s="331" t="n">
        <v>9.11867530745799</v>
      </c>
      <c r="F26" s="331" t="n">
        <v>15.9540135997002</v>
      </c>
      <c r="G26" s="331" t="n">
        <v>16.1868134439493</v>
      </c>
      <c r="H26" s="331" t="n">
        <v>17.8388390484709</v>
      </c>
      <c r="I26" s="331" t="n">
        <v>19.1538964759362</v>
      </c>
      <c r="J26" s="331" t="n">
        <v>24.0266125194845</v>
      </c>
      <c r="K26" s="331" t="n">
        <v>46.2931488246019</v>
      </c>
      <c r="L26" s="331" t="n">
        <v>31.6162565228942</v>
      </c>
      <c r="M26" s="331" t="n">
        <v>18.6096877186812</v>
      </c>
      <c r="N26" s="331" t="n">
        <v>9.11867530745799</v>
      </c>
      <c r="O26" s="331" t="s">
        <v>1359</v>
      </c>
      <c r="P26" s="331" t="n">
        <v>0.564027487232</v>
      </c>
      <c r="Q26" s="331" t="n">
        <v>0.564027487232</v>
      </c>
    </row>
    <row r="27" customFormat="false" ht="14.4" hidden="false" customHeight="false" outlineLevel="0" collapsed="false">
      <c r="A27" s="331" t="n">
        <v>26</v>
      </c>
      <c r="B27" s="331" t="s">
        <v>1360</v>
      </c>
      <c r="C27" s="332" t="n">
        <v>50.5285605048611</v>
      </c>
      <c r="D27" s="331" t="n">
        <v>0</v>
      </c>
      <c r="E27" s="331" t="n">
        <v>9.33886546767566</v>
      </c>
      <c r="F27" s="331" t="n">
        <v>16.2977911941638</v>
      </c>
      <c r="G27" s="331" t="n">
        <v>16.5555238365431</v>
      </c>
      <c r="H27" s="331" t="n">
        <v>18.27947546177</v>
      </c>
      <c r="I27" s="331" t="n">
        <v>19.5608737422504</v>
      </c>
      <c r="J27" s="331" t="n">
        <v>24.5817902141681</v>
      </c>
      <c r="K27" s="331" t="n">
        <v>50.5285605048611</v>
      </c>
      <c r="L27" s="331" t="n">
        <v>39.794885557308</v>
      </c>
      <c r="M27" s="331" t="n">
        <v>23.5974027541138</v>
      </c>
      <c r="N27" s="331" t="n">
        <v>9.33886546767566</v>
      </c>
      <c r="O27" s="331" t="s">
        <v>1361</v>
      </c>
      <c r="P27" s="331" t="n">
        <v>0.488820753595755</v>
      </c>
      <c r="Q27" s="331" t="s">
        <v>1362</v>
      </c>
    </row>
    <row r="28" customFormat="false" ht="14.4" hidden="false" customHeight="false" outlineLevel="0" collapsed="false">
      <c r="A28" s="331" t="n">
        <v>27</v>
      </c>
      <c r="B28" s="331" t="s">
        <v>1363</v>
      </c>
      <c r="C28" s="332" t="n">
        <v>65.6887209394765</v>
      </c>
      <c r="D28" s="331" t="n">
        <v>0</v>
      </c>
      <c r="E28" s="331" t="n">
        <v>0</v>
      </c>
      <c r="F28" s="331" t="n">
        <v>26.966324073786</v>
      </c>
      <c r="G28" s="331" t="n">
        <v>27.3646155876245</v>
      </c>
      <c r="H28" s="331" t="n">
        <v>30.097926003942</v>
      </c>
      <c r="I28" s="331" t="n">
        <v>32.241843387893</v>
      </c>
      <c r="J28" s="331" t="n">
        <v>44.7522665242014</v>
      </c>
      <c r="K28" s="331" t="n">
        <v>65.6887209394765</v>
      </c>
      <c r="L28" s="331" t="n">
        <v>38.1818672221482</v>
      </c>
      <c r="M28" s="331" t="n">
        <v>21.3470854309689</v>
      </c>
      <c r="N28" s="331" t="n">
        <v>21.3470854309689</v>
      </c>
      <c r="O28" s="331" t="s">
        <v>1364</v>
      </c>
      <c r="P28" s="331" t="n">
        <v>0.705766359906839</v>
      </c>
      <c r="Q28" s="331" t="n">
        <v>0.705766359906839</v>
      </c>
    </row>
    <row r="29" customFormat="false" ht="14.4" hidden="false" customHeight="false" outlineLevel="0" collapsed="false">
      <c r="A29" s="331" t="n">
        <v>28</v>
      </c>
      <c r="B29" s="331" t="s">
        <v>1365</v>
      </c>
      <c r="C29" s="332" t="n">
        <v>66.4436620088009</v>
      </c>
      <c r="D29" s="331" t="n">
        <v>0</v>
      </c>
      <c r="E29" s="331" t="n">
        <v>12.0750273894984</v>
      </c>
      <c r="F29" s="331" t="n">
        <v>21.1581529394667</v>
      </c>
      <c r="G29" s="331" t="n">
        <v>21.6867959582205</v>
      </c>
      <c r="H29" s="331" t="n">
        <v>23.6578013733904</v>
      </c>
      <c r="I29" s="331" t="n">
        <v>25.5106905633923</v>
      </c>
      <c r="J29" s="331" t="n">
        <v>31.8353615190365</v>
      </c>
      <c r="K29" s="331" t="n">
        <v>65.5074353340012</v>
      </c>
      <c r="L29" s="331" t="n">
        <v>66.4436620088009</v>
      </c>
      <c r="M29" s="331" t="n">
        <v>42.2203488063593</v>
      </c>
      <c r="N29" s="331" t="n">
        <v>12.0750273894984</v>
      </c>
      <c r="O29" s="331" t="s">
        <v>1366</v>
      </c>
      <c r="P29" s="331" t="n">
        <v>0.813733462</v>
      </c>
      <c r="Q29" s="331" t="n">
        <v>0.813733462</v>
      </c>
    </row>
    <row r="30" customFormat="false" ht="14.4" hidden="false" customHeight="false" outlineLevel="0" collapsed="false">
      <c r="A30" s="331" t="n">
        <v>29</v>
      </c>
      <c r="B30" s="331" t="s">
        <v>1367</v>
      </c>
      <c r="C30" s="332" t="n">
        <v>161.491469947065</v>
      </c>
      <c r="D30" s="331" t="n">
        <v>0</v>
      </c>
      <c r="E30" s="331" t="n">
        <v>0</v>
      </c>
      <c r="F30" s="331" t="n">
        <v>0</v>
      </c>
      <c r="G30" s="331" t="n">
        <v>0</v>
      </c>
      <c r="H30" s="331" t="n">
        <v>0</v>
      </c>
      <c r="I30" s="331" t="n">
        <v>0</v>
      </c>
      <c r="J30" s="331" t="n">
        <v>81.5331682712666</v>
      </c>
      <c r="K30" s="331" t="n">
        <v>161.491469947065</v>
      </c>
      <c r="L30" s="331" t="n">
        <v>115.452844350106</v>
      </c>
      <c r="M30" s="331" t="n">
        <v>68.0323091145642</v>
      </c>
      <c r="N30" s="331" t="n">
        <v>68.0323091145642</v>
      </c>
      <c r="O30" s="331" t="s">
        <v>1368</v>
      </c>
      <c r="P30" s="331" t="n">
        <v>0.536975643269811</v>
      </c>
      <c r="Q30" s="331" t="n">
        <v>0.536975643269811</v>
      </c>
    </row>
    <row r="31" customFormat="false" ht="14.4" hidden="false" customHeight="false" outlineLevel="0" collapsed="false">
      <c r="A31" s="331" t="n">
        <v>31</v>
      </c>
      <c r="B31" s="331" t="s">
        <v>1369</v>
      </c>
      <c r="C31" s="332" t="n">
        <v>172.47003500044</v>
      </c>
      <c r="D31" s="331" t="n">
        <v>0</v>
      </c>
      <c r="E31" s="331" t="n">
        <v>0</v>
      </c>
      <c r="F31" s="331" t="n">
        <v>0</v>
      </c>
      <c r="G31" s="331" t="n">
        <v>0</v>
      </c>
      <c r="H31" s="331" t="n">
        <v>0</v>
      </c>
      <c r="I31" s="331" t="n">
        <v>0</v>
      </c>
      <c r="J31" s="331" t="n">
        <v>56.4010588306371</v>
      </c>
      <c r="K31" s="331" t="n">
        <v>115.598439444042</v>
      </c>
      <c r="L31" s="331" t="n">
        <v>172.47003500044</v>
      </c>
      <c r="M31" s="331" t="n">
        <v>119.443742077024</v>
      </c>
      <c r="N31" s="331" t="n">
        <v>56.4010588306371</v>
      </c>
      <c r="O31" s="331" t="s">
        <v>1370</v>
      </c>
      <c r="P31" s="331" t="n">
        <v>0.694666052543639</v>
      </c>
      <c r="Q31" s="331" t="n">
        <v>0.694666052543639</v>
      </c>
    </row>
    <row r="32" customFormat="false" ht="14.4" hidden="false" customHeight="false" outlineLevel="0" collapsed="false">
      <c r="A32" s="331" t="n">
        <v>32</v>
      </c>
      <c r="B32" s="331" t="s">
        <v>1371</v>
      </c>
      <c r="C32" s="332" t="n">
        <v>213.217992570104</v>
      </c>
      <c r="D32" s="331" t="n">
        <v>0</v>
      </c>
      <c r="E32" s="331" t="n">
        <v>0</v>
      </c>
      <c r="F32" s="331" t="n">
        <v>0</v>
      </c>
      <c r="G32" s="331" t="n">
        <v>0</v>
      </c>
      <c r="H32" s="331" t="n">
        <v>0</v>
      </c>
      <c r="I32" s="331" t="n">
        <v>0</v>
      </c>
      <c r="J32" s="331" t="n">
        <v>71.0547484660212</v>
      </c>
      <c r="K32" s="331" t="n">
        <v>145.223257949438</v>
      </c>
      <c r="L32" s="331" t="n">
        <v>213.217992570104</v>
      </c>
      <c r="M32" s="331" t="n">
        <v>149.504339984098</v>
      </c>
      <c r="N32" s="331" t="n">
        <v>71.0547484660212</v>
      </c>
      <c r="O32" s="331" t="s">
        <v>1372</v>
      </c>
      <c r="P32" s="331" t="n">
        <v>0.695729705720937</v>
      </c>
      <c r="Q32" s="331" t="n">
        <v>0.695729705720937</v>
      </c>
    </row>
    <row r="33" customFormat="false" ht="14.4" hidden="false" customHeight="false" outlineLevel="0" collapsed="false">
      <c r="A33" s="331" t="n">
        <v>30</v>
      </c>
      <c r="B33" s="331" t="s">
        <v>1373</v>
      </c>
      <c r="C33" s="332" t="n">
        <v>393.308676189915</v>
      </c>
      <c r="D33" s="331" t="n">
        <v>0</v>
      </c>
      <c r="E33" s="331" t="n">
        <v>0</v>
      </c>
      <c r="F33" s="331" t="n">
        <v>0</v>
      </c>
      <c r="G33" s="331" t="n">
        <v>0</v>
      </c>
      <c r="H33" s="331" t="n">
        <v>0</v>
      </c>
      <c r="I33" s="331" t="n">
        <v>0</v>
      </c>
      <c r="J33" s="331" t="n">
        <v>143.594461338186</v>
      </c>
      <c r="K33" s="331" t="n">
        <v>295.00071726817</v>
      </c>
      <c r="L33" s="331" t="n">
        <v>393.308676189915</v>
      </c>
      <c r="M33" s="331" t="n">
        <v>269.683473294361</v>
      </c>
      <c r="N33" s="331" t="n">
        <v>143.594461338186</v>
      </c>
      <c r="O33" s="331" t="s">
        <v>1374</v>
      </c>
      <c r="P33" s="331" t="n">
        <v>0.72866026748769</v>
      </c>
      <c r="Q33" s="331" t="n">
        <v>0.72866026748769</v>
      </c>
    </row>
    <row r="34" customFormat="false" ht="14.4" hidden="false" customHeight="false" outlineLevel="0" collapsed="false">
      <c r="A34" s="331" t="n">
        <v>33</v>
      </c>
      <c r="B34" s="331" t="s">
        <v>1375</v>
      </c>
      <c r="C34" s="332" t="n">
        <v>472.236176830288</v>
      </c>
      <c r="D34" s="331" t="n">
        <v>0</v>
      </c>
      <c r="E34" s="331" t="n">
        <v>0</v>
      </c>
      <c r="F34" s="331" t="n">
        <v>0</v>
      </c>
      <c r="G34" s="331" t="n">
        <v>0</v>
      </c>
      <c r="H34" s="331" t="n">
        <v>0</v>
      </c>
      <c r="I34" s="331" t="n">
        <v>0</v>
      </c>
      <c r="J34" s="331" t="n">
        <v>136.714206093183</v>
      </c>
      <c r="K34" s="331" t="n">
        <v>279.957936944369</v>
      </c>
      <c r="L34" s="331" t="n">
        <v>472.236176830288</v>
      </c>
      <c r="M34" s="331" t="n">
        <v>354.867061405906</v>
      </c>
      <c r="N34" s="331" t="n">
        <v>136.714206093183</v>
      </c>
      <c r="O34" s="331" t="s">
        <v>1376</v>
      </c>
      <c r="P34" s="331" t="n">
        <v>0.629405253841233</v>
      </c>
      <c r="Q34" s="331" t="n">
        <v>0.629405253841233</v>
      </c>
    </row>
    <row r="35" customFormat="false" ht="14.4" hidden="false" customHeight="false" outlineLevel="0" collapsed="false">
      <c r="A35" s="331" t="n">
        <v>34</v>
      </c>
      <c r="B35" s="331" t="s">
        <v>1377</v>
      </c>
      <c r="C35" s="332" t="n">
        <v>1566.66286394021</v>
      </c>
      <c r="D35" s="331" t="n">
        <v>0</v>
      </c>
      <c r="E35" s="331" t="n">
        <v>0</v>
      </c>
      <c r="F35" s="331" t="n">
        <v>0</v>
      </c>
      <c r="G35" s="331" t="n">
        <v>0</v>
      </c>
      <c r="H35" s="331" t="n">
        <v>0</v>
      </c>
      <c r="I35" s="331" t="n">
        <v>0</v>
      </c>
      <c r="J35" s="331" t="n">
        <v>344.666465936069</v>
      </c>
      <c r="K35" s="331" t="n">
        <v>708.442106702068</v>
      </c>
      <c r="L35" s="331" t="n">
        <v>1441.436373504</v>
      </c>
      <c r="M35" s="331" t="n">
        <v>1566.66286394021</v>
      </c>
      <c r="N35" s="331" t="n">
        <v>344.666465936069</v>
      </c>
      <c r="O35" s="331" t="s">
        <v>1378</v>
      </c>
      <c r="P35" s="331" t="n">
        <v>0.747455574138319</v>
      </c>
      <c r="Q35" s="331" t="n">
        <v>0.747455574138319</v>
      </c>
    </row>
    <row r="36" customFormat="false" ht="14.4" hidden="false" customHeight="false" outlineLevel="0" collapsed="false">
      <c r="A36" s="331" t="n">
        <v>35</v>
      </c>
      <c r="B36" s="331" t="s">
        <v>1379</v>
      </c>
      <c r="C36" s="332" t="n">
        <v>4086.32623733829</v>
      </c>
      <c r="D36" s="331" t="n">
        <v>0</v>
      </c>
      <c r="E36" s="331" t="n">
        <v>0</v>
      </c>
      <c r="F36" s="331" t="n">
        <v>0</v>
      </c>
      <c r="G36" s="331" t="n">
        <v>0</v>
      </c>
      <c r="H36" s="331" t="n">
        <v>0</v>
      </c>
      <c r="I36" s="331" t="n">
        <v>0</v>
      </c>
      <c r="J36" s="331" t="n">
        <v>0</v>
      </c>
      <c r="K36" s="331" t="n">
        <v>1305.0411192725</v>
      </c>
      <c r="L36" s="331" t="n">
        <v>2673.533181696</v>
      </c>
      <c r="M36" s="331" t="n">
        <v>4086.32623733829</v>
      </c>
      <c r="N36" s="331" t="n">
        <v>636.935403943782</v>
      </c>
      <c r="O36" s="331" t="s">
        <v>1380</v>
      </c>
      <c r="P36" s="331" t="n">
        <v>0.589950684204379</v>
      </c>
      <c r="Q36" s="331" t="n">
        <v>0.589950684204379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4" zeroHeight="false" outlineLevelRow="0" outlineLevelCol="0"/>
  <cols>
    <col collapsed="false" customWidth="true" hidden="false" outlineLevel="0" max="1" min="1" style="0" width="8.51"/>
    <col collapsed="false" customWidth="true" hidden="false" outlineLevel="0" max="3" min="2" style="0" width="17.67"/>
    <col collapsed="false" customWidth="true" hidden="false" outlineLevel="0" max="1025" min="4" style="0" width="8.51"/>
  </cols>
  <sheetData>
    <row r="1" customFormat="false" ht="14.4" hidden="false" customHeight="false" outlineLevel="0" collapsed="false">
      <c r="A1" s="330" t="s">
        <v>1295</v>
      </c>
      <c r="B1" s="330" t="s">
        <v>1296</v>
      </c>
      <c r="C1" s="330"/>
      <c r="D1" s="330" t="s">
        <v>1298</v>
      </c>
      <c r="E1" s="330" t="s">
        <v>1299</v>
      </c>
      <c r="F1" s="330" t="s">
        <v>1300</v>
      </c>
      <c r="G1" s="330" t="s">
        <v>1301</v>
      </c>
      <c r="H1" s="330" t="s">
        <v>1302</v>
      </c>
      <c r="I1" s="330" t="s">
        <v>1303</v>
      </c>
      <c r="J1" s="330" t="s">
        <v>1304</v>
      </c>
      <c r="K1" s="330" t="s">
        <v>1210</v>
      </c>
      <c r="L1" s="330" t="s">
        <v>1212</v>
      </c>
      <c r="M1" s="330" t="s">
        <v>1305</v>
      </c>
    </row>
    <row r="2" customFormat="false" ht="14.4" hidden="false" customHeight="false" outlineLevel="0" collapsed="false">
      <c r="A2" s="331" t="n">
        <v>1</v>
      </c>
      <c r="B2" s="331" t="s">
        <v>1310</v>
      </c>
      <c r="C2" s="331"/>
      <c r="D2" s="331"/>
      <c r="E2" s="331" t="n">
        <v>55135</v>
      </c>
      <c r="F2" s="331" t="n">
        <v>55137</v>
      </c>
      <c r="G2" s="331" t="n">
        <v>55134</v>
      </c>
      <c r="H2" s="331" t="n">
        <v>55138</v>
      </c>
      <c r="I2" s="331" t="n">
        <v>55139</v>
      </c>
      <c r="J2" s="331" t="n">
        <v>55140</v>
      </c>
      <c r="K2" s="331"/>
      <c r="L2" s="331"/>
      <c r="M2" s="331"/>
    </row>
    <row r="3" customFormat="false" ht="14.4" hidden="false" customHeight="false" outlineLevel="0" collapsed="false">
      <c r="A3" s="331" t="n">
        <v>2</v>
      </c>
      <c r="B3" s="331" t="s">
        <v>1312</v>
      </c>
      <c r="C3" s="331"/>
      <c r="D3" s="331"/>
      <c r="E3" s="331" t="n">
        <v>55145</v>
      </c>
      <c r="F3" s="331" t="n">
        <v>55147</v>
      </c>
      <c r="G3" s="331" t="n">
        <v>55144</v>
      </c>
      <c r="H3" s="331" t="n">
        <v>55148</v>
      </c>
      <c r="I3" s="331" t="n">
        <v>55149</v>
      </c>
      <c r="J3" s="331" t="n">
        <v>55150</v>
      </c>
      <c r="K3" s="331"/>
      <c r="L3" s="331"/>
      <c r="M3" s="331"/>
    </row>
    <row r="4" customFormat="false" ht="14.4" hidden="false" customHeight="false" outlineLevel="0" collapsed="false">
      <c r="A4" s="331" t="n">
        <v>3</v>
      </c>
      <c r="B4" s="331" t="s">
        <v>1314</v>
      </c>
      <c r="C4" s="331"/>
      <c r="D4" s="331"/>
      <c r="E4" s="331" t="n">
        <v>55175</v>
      </c>
      <c r="F4" s="331" t="n">
        <v>55177</v>
      </c>
      <c r="G4" s="331" t="n">
        <v>55174</v>
      </c>
      <c r="H4" s="331" t="n">
        <v>55178</v>
      </c>
      <c r="I4" s="331" t="n">
        <v>55179</v>
      </c>
      <c r="J4" s="331" t="n">
        <v>55180</v>
      </c>
      <c r="K4" s="331" t="n">
        <v>55181</v>
      </c>
      <c r="L4" s="331"/>
      <c r="M4" s="331"/>
    </row>
    <row r="5" customFormat="false" ht="14.4" hidden="false" customHeight="false" outlineLevel="0" collapsed="false">
      <c r="A5" s="331" t="n">
        <v>4</v>
      </c>
      <c r="B5" s="331" t="s">
        <v>1316</v>
      </c>
      <c r="C5" s="331"/>
      <c r="D5" s="331" t="n">
        <v>55016</v>
      </c>
      <c r="E5" s="331" t="n">
        <v>55015</v>
      </c>
      <c r="F5" s="331" t="n">
        <v>55017</v>
      </c>
      <c r="G5" s="331" t="n">
        <v>55014</v>
      </c>
      <c r="H5" s="331" t="n">
        <v>55018</v>
      </c>
      <c r="I5" s="331" t="n">
        <v>55019</v>
      </c>
      <c r="J5" s="331" t="n">
        <v>55020</v>
      </c>
      <c r="K5" s="331" t="n">
        <v>55021</v>
      </c>
      <c r="L5" s="331" t="n">
        <v>55022</v>
      </c>
      <c r="M5" s="331" t="n">
        <v>55023</v>
      </c>
    </row>
    <row r="6" customFormat="false" ht="14.4" hidden="false" customHeight="false" outlineLevel="0" collapsed="false">
      <c r="A6" s="331" t="n">
        <v>6</v>
      </c>
      <c r="B6" s="331" t="s">
        <v>1318</v>
      </c>
      <c r="C6" s="331"/>
      <c r="D6" s="331" t="n">
        <v>55236</v>
      </c>
      <c r="E6" s="331" t="n">
        <v>55235</v>
      </c>
      <c r="F6" s="331" t="n">
        <v>55237</v>
      </c>
      <c r="G6" s="331" t="n">
        <v>55234</v>
      </c>
      <c r="H6" s="331" t="n">
        <v>55238</v>
      </c>
      <c r="I6" s="331" t="n">
        <v>55239</v>
      </c>
      <c r="J6" s="331" t="n">
        <v>55240</v>
      </c>
      <c r="K6" s="331" t="n">
        <v>55241</v>
      </c>
      <c r="L6" s="331" t="n">
        <v>55242</v>
      </c>
      <c r="M6" s="331" t="n">
        <v>55243</v>
      </c>
    </row>
    <row r="7" customFormat="false" ht="14.4" hidden="false" customHeight="false" outlineLevel="0" collapsed="false">
      <c r="A7" s="331" t="n">
        <v>5</v>
      </c>
      <c r="B7" s="331" t="s">
        <v>1320</v>
      </c>
      <c r="C7" s="331"/>
      <c r="D7" s="331" t="n">
        <v>55266</v>
      </c>
      <c r="E7" s="331" t="n">
        <v>55265</v>
      </c>
      <c r="F7" s="331" t="n">
        <v>55267</v>
      </c>
      <c r="G7" s="331" t="n">
        <v>55264</v>
      </c>
      <c r="H7" s="331" t="n">
        <v>55268</v>
      </c>
      <c r="I7" s="331" t="n">
        <v>55269</v>
      </c>
      <c r="J7" s="331" t="n">
        <v>55270</v>
      </c>
      <c r="K7" s="331" t="n">
        <v>55271</v>
      </c>
      <c r="L7" s="331" t="n">
        <v>55272</v>
      </c>
      <c r="M7" s="331" t="n">
        <v>55273</v>
      </c>
    </row>
    <row r="8" customFormat="false" ht="14.4" hidden="false" customHeight="false" outlineLevel="0" collapsed="false">
      <c r="A8" s="331" t="n">
        <v>7</v>
      </c>
      <c r="B8" s="331" t="s">
        <v>1322</v>
      </c>
      <c r="C8" s="331"/>
      <c r="D8" s="331" t="n">
        <v>55026</v>
      </c>
      <c r="E8" s="331" t="n">
        <v>55025</v>
      </c>
      <c r="F8" s="331" t="n">
        <v>55027</v>
      </c>
      <c r="G8" s="331" t="n">
        <v>55024</v>
      </c>
      <c r="H8" s="331" t="n">
        <v>55028</v>
      </c>
      <c r="I8" s="331" t="n">
        <v>55029</v>
      </c>
      <c r="J8" s="331" t="n">
        <v>55030</v>
      </c>
      <c r="K8" s="331" t="n">
        <v>55031</v>
      </c>
      <c r="L8" s="331" t="n">
        <v>55032</v>
      </c>
      <c r="M8" s="331" t="n">
        <v>55033</v>
      </c>
    </row>
    <row r="9" customFormat="false" ht="14.4" hidden="false" customHeight="false" outlineLevel="0" collapsed="false">
      <c r="A9" s="331" t="n">
        <v>8</v>
      </c>
      <c r="B9" s="331" t="s">
        <v>1324</v>
      </c>
      <c r="C9" s="331"/>
      <c r="D9" s="331"/>
      <c r="E9" s="331" t="n">
        <v>55405</v>
      </c>
      <c r="F9" s="331" t="n">
        <v>55407</v>
      </c>
      <c r="G9" s="331" t="n">
        <v>55404</v>
      </c>
      <c r="H9" s="331" t="n">
        <v>55408</v>
      </c>
      <c r="I9" s="331" t="n">
        <v>55409</v>
      </c>
      <c r="J9" s="331" t="n">
        <v>55410</v>
      </c>
      <c r="K9" s="331" t="n">
        <v>55411</v>
      </c>
      <c r="L9" s="331" t="n">
        <v>55412</v>
      </c>
      <c r="M9" s="331" t="n">
        <v>55413</v>
      </c>
    </row>
    <row r="10" customFormat="false" ht="14.4" hidden="false" customHeight="false" outlineLevel="0" collapsed="false">
      <c r="A10" s="331" t="n">
        <v>9</v>
      </c>
      <c r="B10" s="331" t="s">
        <v>1326</v>
      </c>
      <c r="C10" s="331"/>
      <c r="D10" s="331" t="n">
        <v>55276</v>
      </c>
      <c r="E10" s="331" t="n">
        <v>55275</v>
      </c>
      <c r="F10" s="331" t="n">
        <v>55277</v>
      </c>
      <c r="G10" s="331" t="n">
        <v>55274</v>
      </c>
      <c r="H10" s="331" t="n">
        <v>55278</v>
      </c>
      <c r="I10" s="331" t="n">
        <v>55279</v>
      </c>
      <c r="J10" s="331" t="n">
        <v>55280</v>
      </c>
      <c r="K10" s="331" t="n">
        <v>55281</v>
      </c>
      <c r="L10" s="331" t="n">
        <v>55282</v>
      </c>
      <c r="M10" s="331" t="n">
        <v>55283</v>
      </c>
    </row>
    <row r="11" customFormat="false" ht="14.4" hidden="false" customHeight="false" outlineLevel="0" collapsed="false">
      <c r="A11" s="331" t="n">
        <v>10</v>
      </c>
      <c r="B11" s="331" t="s">
        <v>1328</v>
      </c>
      <c r="C11" s="331"/>
      <c r="D11" s="331" t="n">
        <v>55286</v>
      </c>
      <c r="E11" s="331" t="n">
        <v>55285</v>
      </c>
      <c r="F11" s="331" t="n">
        <v>55287</v>
      </c>
      <c r="G11" s="331" t="n">
        <v>55284</v>
      </c>
      <c r="H11" s="331" t="n">
        <v>55288</v>
      </c>
      <c r="I11" s="331" t="n">
        <v>55289</v>
      </c>
      <c r="J11" s="331" t="n">
        <v>55290</v>
      </c>
      <c r="K11" s="331" t="n">
        <v>55291</v>
      </c>
      <c r="L11" s="331" t="n">
        <v>55292</v>
      </c>
      <c r="M11" s="331" t="n">
        <v>55293</v>
      </c>
    </row>
    <row r="12" customFormat="false" ht="14.4" hidden="false" customHeight="false" outlineLevel="0" collapsed="false">
      <c r="A12" s="331" t="n">
        <v>11</v>
      </c>
      <c r="B12" s="331" t="s">
        <v>1330</v>
      </c>
      <c r="C12" s="331"/>
      <c r="D12" s="331" t="n">
        <v>55036</v>
      </c>
      <c r="E12" s="331" t="n">
        <v>55035</v>
      </c>
      <c r="F12" s="331" t="n">
        <v>55037</v>
      </c>
      <c r="G12" s="331" t="n">
        <v>55034</v>
      </c>
      <c r="H12" s="331" t="n">
        <v>55038</v>
      </c>
      <c r="I12" s="331" t="n">
        <v>55039</v>
      </c>
      <c r="J12" s="331" t="n">
        <v>55040</v>
      </c>
      <c r="K12" s="331" t="n">
        <v>55041</v>
      </c>
      <c r="L12" s="331" t="n">
        <v>55042</v>
      </c>
      <c r="M12" s="331" t="n">
        <v>55043</v>
      </c>
    </row>
    <row r="13" customFormat="false" ht="14.4" hidden="false" customHeight="false" outlineLevel="0" collapsed="false">
      <c r="A13" s="331" t="n">
        <v>12</v>
      </c>
      <c r="B13" s="331" t="s">
        <v>1332</v>
      </c>
      <c r="C13" s="331"/>
      <c r="D13" s="331"/>
      <c r="E13" s="331" t="n">
        <v>55125</v>
      </c>
      <c r="F13" s="331" t="n">
        <v>55127</v>
      </c>
      <c r="G13" s="331" t="n">
        <v>55124</v>
      </c>
      <c r="H13" s="331" t="n">
        <v>55128</v>
      </c>
      <c r="I13" s="331" t="n">
        <v>55129</v>
      </c>
      <c r="J13" s="331" t="n">
        <v>55130</v>
      </c>
      <c r="K13" s="331" t="n">
        <v>55131</v>
      </c>
      <c r="L13" s="331" t="n">
        <v>55132</v>
      </c>
      <c r="M13" s="331" t="n">
        <v>55133</v>
      </c>
    </row>
    <row r="14" customFormat="false" ht="14.4" hidden="false" customHeight="false" outlineLevel="0" collapsed="false">
      <c r="A14" s="331" t="n">
        <v>13</v>
      </c>
      <c r="B14" s="331" t="s">
        <v>1334</v>
      </c>
      <c r="C14" s="331"/>
      <c r="D14" s="331" t="n">
        <v>55046</v>
      </c>
      <c r="E14" s="331" t="n">
        <v>55045</v>
      </c>
      <c r="F14" s="331" t="n">
        <v>55047</v>
      </c>
      <c r="G14" s="331" t="n">
        <v>55044</v>
      </c>
      <c r="H14" s="331" t="n">
        <v>55048</v>
      </c>
      <c r="I14" s="331" t="n">
        <v>55049</v>
      </c>
      <c r="J14" s="331" t="n">
        <v>55050</v>
      </c>
      <c r="K14" s="331" t="n">
        <v>55051</v>
      </c>
      <c r="L14" s="331" t="n">
        <v>55052</v>
      </c>
      <c r="M14" s="331" t="n">
        <v>55053</v>
      </c>
    </row>
    <row r="15" customFormat="false" ht="14.4" hidden="false" customHeight="false" outlineLevel="0" collapsed="false">
      <c r="A15" s="331" t="n">
        <v>14</v>
      </c>
      <c r="B15" s="331" t="s">
        <v>1336</v>
      </c>
      <c r="C15" s="331"/>
      <c r="D15" s="331" t="n">
        <v>55116</v>
      </c>
      <c r="E15" s="331" t="n">
        <v>55115</v>
      </c>
      <c r="F15" s="331" t="n">
        <v>55117</v>
      </c>
      <c r="G15" s="331" t="n">
        <v>55114</v>
      </c>
      <c r="H15" s="331" t="n">
        <v>55118</v>
      </c>
      <c r="I15" s="331" t="n">
        <v>55119</v>
      </c>
      <c r="J15" s="331" t="n">
        <v>55120</v>
      </c>
      <c r="K15" s="331" t="n">
        <v>55121</v>
      </c>
      <c r="L15" s="331" t="n">
        <v>55122</v>
      </c>
      <c r="M15" s="331" t="n">
        <v>55123</v>
      </c>
    </row>
    <row r="16" customFormat="false" ht="14.4" hidden="false" customHeight="false" outlineLevel="0" collapsed="false">
      <c r="A16" s="331" t="n">
        <v>15</v>
      </c>
      <c r="B16" s="331" t="s">
        <v>1338</v>
      </c>
      <c r="C16" s="331"/>
      <c r="D16" s="331"/>
      <c r="E16" s="331" t="n">
        <v>55375</v>
      </c>
      <c r="F16" s="331" t="n">
        <v>55377</v>
      </c>
      <c r="G16" s="331" t="n">
        <v>55374</v>
      </c>
      <c r="H16" s="331" t="n">
        <v>55378</v>
      </c>
      <c r="I16" s="331" t="n">
        <v>55379</v>
      </c>
      <c r="J16" s="331" t="n">
        <v>55380</v>
      </c>
      <c r="K16" s="331" t="n">
        <v>55381</v>
      </c>
      <c r="L16" s="331" t="n">
        <v>55382</v>
      </c>
      <c r="M16" s="331" t="n">
        <v>55383</v>
      </c>
    </row>
    <row r="17" customFormat="false" ht="14.4" hidden="false" customHeight="false" outlineLevel="0" collapsed="false">
      <c r="A17" s="331" t="n">
        <v>16</v>
      </c>
      <c r="B17" s="331" t="s">
        <v>1340</v>
      </c>
      <c r="C17" s="331"/>
      <c r="D17" s="331" t="n">
        <v>55202</v>
      </c>
      <c r="E17" s="331" t="n">
        <v>55201</v>
      </c>
      <c r="F17" s="331" t="n">
        <v>55203</v>
      </c>
      <c r="G17" s="331" t="n">
        <v>55200</v>
      </c>
      <c r="H17" s="331" t="n">
        <v>55204</v>
      </c>
      <c r="I17" s="331" t="n">
        <v>55205</v>
      </c>
      <c r="J17" s="331" t="n">
        <v>55206</v>
      </c>
      <c r="K17" s="331" t="n">
        <v>55848</v>
      </c>
      <c r="L17" s="331" t="n">
        <v>55208</v>
      </c>
      <c r="M17" s="331" t="n">
        <v>55209</v>
      </c>
    </row>
    <row r="18" customFormat="false" ht="14.4" hidden="false" customHeight="false" outlineLevel="0" collapsed="false">
      <c r="A18" s="331" t="n">
        <v>17</v>
      </c>
      <c r="B18" s="331" t="s">
        <v>1342</v>
      </c>
      <c r="C18" s="331"/>
      <c r="D18" s="331" t="n">
        <v>55306</v>
      </c>
      <c r="E18" s="331" t="n">
        <v>55305</v>
      </c>
      <c r="F18" s="331" t="n">
        <v>55307</v>
      </c>
      <c r="G18" s="331" t="n">
        <v>55304</v>
      </c>
      <c r="H18" s="331" t="n">
        <v>55308</v>
      </c>
      <c r="I18" s="331" t="n">
        <v>55309</v>
      </c>
      <c r="J18" s="331" t="n">
        <v>55310</v>
      </c>
      <c r="K18" s="331" t="n">
        <v>55059</v>
      </c>
      <c r="L18" s="331" t="n">
        <v>55312</v>
      </c>
      <c r="M18" s="331" t="n">
        <v>55313</v>
      </c>
    </row>
    <row r="19" customFormat="false" ht="14.4" hidden="false" customHeight="false" outlineLevel="0" collapsed="false">
      <c r="A19" s="331" t="n">
        <v>18</v>
      </c>
      <c r="B19" s="331" t="s">
        <v>1344</v>
      </c>
      <c r="C19" s="331"/>
      <c r="D19" s="331"/>
      <c r="E19" s="331" t="n">
        <v>55345</v>
      </c>
      <c r="F19" s="331" t="n">
        <v>55347</v>
      </c>
      <c r="G19" s="331" t="n">
        <v>55344</v>
      </c>
      <c r="H19" s="331" t="n">
        <v>55348</v>
      </c>
      <c r="I19" s="331" t="n">
        <v>55349</v>
      </c>
      <c r="J19" s="331" t="n">
        <v>55350</v>
      </c>
      <c r="K19" s="331" t="n">
        <v>55351</v>
      </c>
      <c r="L19" s="331" t="n">
        <v>55352</v>
      </c>
      <c r="M19" s="331" t="n">
        <v>55353</v>
      </c>
    </row>
    <row r="20" customFormat="false" ht="14.4" hidden="false" customHeight="false" outlineLevel="0" collapsed="false">
      <c r="A20" s="331" t="n">
        <v>19</v>
      </c>
      <c r="B20" s="331" t="s">
        <v>1346</v>
      </c>
      <c r="C20" s="331"/>
      <c r="D20" s="331" t="n">
        <v>55926</v>
      </c>
      <c r="E20" s="331" t="n">
        <v>55925</v>
      </c>
      <c r="F20" s="331" t="n">
        <v>55927</v>
      </c>
      <c r="G20" s="331" t="n">
        <v>55924</v>
      </c>
      <c r="H20" s="331" t="n">
        <v>55928</v>
      </c>
      <c r="I20" s="331" t="n">
        <v>55929</v>
      </c>
      <c r="J20" s="331" t="n">
        <v>55930</v>
      </c>
      <c r="K20" s="331" t="n">
        <v>55894</v>
      </c>
      <c r="L20" s="331" t="n">
        <v>55932</v>
      </c>
      <c r="M20" s="331" t="n">
        <v>55933</v>
      </c>
    </row>
    <row r="21" customFormat="false" ht="14.4" hidden="false" customHeight="false" outlineLevel="0" collapsed="false">
      <c r="A21" s="331" t="n">
        <v>20</v>
      </c>
      <c r="B21" s="331" t="s">
        <v>1348</v>
      </c>
      <c r="C21" s="331"/>
      <c r="D21" s="331" t="n">
        <v>55544</v>
      </c>
      <c r="E21" s="331" t="n">
        <v>55543</v>
      </c>
      <c r="F21" s="331" t="n">
        <v>55545</v>
      </c>
      <c r="G21" s="331" t="n">
        <v>55542</v>
      </c>
      <c r="H21" s="331" t="n">
        <v>55546</v>
      </c>
      <c r="I21" s="331" t="n">
        <v>55547</v>
      </c>
      <c r="J21" s="331" t="n">
        <v>55548</v>
      </c>
      <c r="K21" s="331" t="n">
        <v>55071</v>
      </c>
      <c r="L21" s="331" t="n">
        <v>55550</v>
      </c>
      <c r="M21" s="331" t="n">
        <v>55551</v>
      </c>
    </row>
    <row r="22" customFormat="false" ht="14.4" hidden="false" customHeight="false" outlineLevel="0" collapsed="false">
      <c r="A22" s="331" t="n">
        <v>21</v>
      </c>
      <c r="B22" s="331" t="s">
        <v>1350</v>
      </c>
      <c r="C22" s="331"/>
      <c r="D22" s="331" t="n">
        <v>55581</v>
      </c>
      <c r="E22" s="331" t="n">
        <v>55580</v>
      </c>
      <c r="F22" s="331" t="n">
        <v>55582</v>
      </c>
      <c r="G22" s="331" t="n">
        <v>55579</v>
      </c>
      <c r="H22" s="331" t="n">
        <v>55583</v>
      </c>
      <c r="I22" s="331" t="n">
        <v>55584</v>
      </c>
      <c r="J22" s="331" t="n">
        <v>55585</v>
      </c>
      <c r="K22" s="331" t="n">
        <v>55586</v>
      </c>
      <c r="L22" s="331" t="n">
        <v>55587</v>
      </c>
      <c r="M22" s="331" t="n">
        <v>55588</v>
      </c>
    </row>
    <row r="23" customFormat="false" ht="14.4" hidden="false" customHeight="false" outlineLevel="0" collapsed="false">
      <c r="A23" s="331" t="n">
        <v>22</v>
      </c>
      <c r="B23" s="331" t="s">
        <v>1352</v>
      </c>
      <c r="C23" s="331"/>
      <c r="D23" s="331" t="n">
        <v>55320</v>
      </c>
      <c r="E23" s="331" t="n">
        <v>55319</v>
      </c>
      <c r="F23" s="331" t="n">
        <v>55321</v>
      </c>
      <c r="G23" s="331" t="n">
        <v>55318</v>
      </c>
      <c r="H23" s="331" t="n">
        <v>55322</v>
      </c>
      <c r="I23" s="331" t="n">
        <v>55323</v>
      </c>
      <c r="J23" s="331" t="n">
        <v>55324</v>
      </c>
      <c r="K23" s="331" t="n">
        <v>55076</v>
      </c>
      <c r="L23" s="331" t="n">
        <v>55326</v>
      </c>
      <c r="M23" s="331" t="n">
        <v>55327</v>
      </c>
    </row>
    <row r="24" customFormat="false" ht="14.4" hidden="false" customHeight="false" outlineLevel="0" collapsed="false">
      <c r="A24" s="331" t="n">
        <v>23</v>
      </c>
      <c r="B24" s="331" t="s">
        <v>1354</v>
      </c>
      <c r="C24" s="331"/>
      <c r="D24" s="331" t="n">
        <v>55250</v>
      </c>
      <c r="E24" s="331" t="n">
        <v>55249</v>
      </c>
      <c r="F24" s="331" t="n">
        <v>55251</v>
      </c>
      <c r="G24" s="331" t="n">
        <v>55248</v>
      </c>
      <c r="H24" s="331" t="n">
        <v>55252</v>
      </c>
      <c r="I24" s="331" t="n">
        <v>55253</v>
      </c>
      <c r="J24" s="331" t="n">
        <v>55254</v>
      </c>
      <c r="K24" s="331" t="n">
        <v>55083</v>
      </c>
      <c r="L24" s="331" t="n">
        <v>55256</v>
      </c>
      <c r="M24" s="331" t="n">
        <v>55257</v>
      </c>
    </row>
    <row r="25" customFormat="false" ht="14.4" hidden="false" customHeight="false" outlineLevel="0" collapsed="false">
      <c r="A25" s="331" t="n">
        <v>24</v>
      </c>
      <c r="B25" s="331" t="s">
        <v>1356</v>
      </c>
      <c r="C25" s="331"/>
      <c r="D25" s="331"/>
      <c r="E25" s="331" t="n">
        <v>55433</v>
      </c>
      <c r="F25" s="331" t="n">
        <v>55435</v>
      </c>
      <c r="G25" s="331" t="n">
        <v>55432</v>
      </c>
      <c r="H25" s="331" t="n">
        <v>55436</v>
      </c>
      <c r="I25" s="331" t="n">
        <v>55437</v>
      </c>
      <c r="J25" s="331" t="n">
        <v>55438</v>
      </c>
      <c r="K25" s="331" t="n">
        <v>55439</v>
      </c>
      <c r="L25" s="331" t="n">
        <v>55440</v>
      </c>
      <c r="M25" s="331" t="n">
        <v>55441</v>
      </c>
    </row>
    <row r="26" customFormat="false" ht="14.4" hidden="false" customHeight="false" outlineLevel="0" collapsed="false">
      <c r="A26" s="331" t="n">
        <v>25</v>
      </c>
      <c r="B26" s="331" t="s">
        <v>1358</v>
      </c>
      <c r="C26" s="331"/>
      <c r="D26" s="331"/>
      <c r="E26" s="331" t="n">
        <v>55084</v>
      </c>
      <c r="F26" s="331" t="n">
        <v>55086</v>
      </c>
      <c r="G26" s="331" t="n">
        <v>55082</v>
      </c>
      <c r="H26" s="331" t="n">
        <v>55087</v>
      </c>
      <c r="I26" s="331" t="n">
        <v>55088</v>
      </c>
      <c r="J26" s="331" t="n">
        <v>55089</v>
      </c>
      <c r="K26" s="331" t="n">
        <v>55090</v>
      </c>
      <c r="L26" s="331" t="n">
        <v>55091</v>
      </c>
      <c r="M26" s="331" t="n">
        <v>55092</v>
      </c>
    </row>
    <row r="27" customFormat="false" ht="14.4" hidden="false" customHeight="false" outlineLevel="0" collapsed="false">
      <c r="A27" s="331" t="n">
        <v>26</v>
      </c>
      <c r="B27" s="331" t="s">
        <v>1360</v>
      </c>
      <c r="C27" s="331"/>
      <c r="D27" s="331"/>
      <c r="E27" s="331" t="n">
        <v>55710</v>
      </c>
      <c r="F27" s="331" t="n">
        <v>55712</v>
      </c>
      <c r="G27" s="331" t="n">
        <v>55709</v>
      </c>
      <c r="H27" s="331" t="n">
        <v>55713</v>
      </c>
      <c r="I27" s="331" t="n">
        <v>55714</v>
      </c>
      <c r="J27" s="331" t="n">
        <v>55715</v>
      </c>
      <c r="K27" s="331" t="n">
        <v>55716</v>
      </c>
      <c r="L27" s="331" t="n">
        <v>55717</v>
      </c>
      <c r="M27" s="331" t="n">
        <v>55718</v>
      </c>
    </row>
    <row r="28" customFormat="false" ht="14.4" hidden="false" customHeight="false" outlineLevel="0" collapsed="false">
      <c r="A28" s="331" t="n">
        <v>27</v>
      </c>
      <c r="B28" s="331" t="s">
        <v>1363</v>
      </c>
      <c r="C28" s="331"/>
      <c r="D28" s="331"/>
      <c r="E28" s="331"/>
      <c r="F28" s="331" t="n">
        <v>55199</v>
      </c>
      <c r="G28" s="331" t="n">
        <v>55198</v>
      </c>
      <c r="H28" s="331" t="n">
        <v>55197</v>
      </c>
      <c r="I28" s="331" t="n">
        <v>55196</v>
      </c>
      <c r="J28" s="331" t="n">
        <v>55195</v>
      </c>
      <c r="K28" s="331" t="n">
        <v>55192</v>
      </c>
      <c r="L28" s="331" t="n">
        <v>55191</v>
      </c>
      <c r="M28" s="331" t="n">
        <v>55190</v>
      </c>
    </row>
    <row r="29" customFormat="false" ht="14.4" hidden="false" customHeight="false" outlineLevel="0" collapsed="false">
      <c r="A29" s="331" t="n">
        <v>28</v>
      </c>
      <c r="B29" s="331" t="s">
        <v>1365</v>
      </c>
      <c r="C29" s="331"/>
      <c r="D29" s="331"/>
      <c r="E29" s="331" t="n">
        <v>55104</v>
      </c>
      <c r="F29" s="331" t="n">
        <v>55106</v>
      </c>
      <c r="G29" s="331" t="n">
        <v>55103</v>
      </c>
      <c r="H29" s="331" t="n">
        <v>55107</v>
      </c>
      <c r="I29" s="331" t="n">
        <v>55108</v>
      </c>
      <c r="J29" s="331" t="n">
        <v>55109</v>
      </c>
      <c r="K29" s="331" t="n">
        <v>55110</v>
      </c>
      <c r="L29" s="331" t="n">
        <v>55111</v>
      </c>
      <c r="M29" s="331" t="n">
        <v>55112</v>
      </c>
    </row>
    <row r="30" customFormat="false" ht="14.4" hidden="false" customHeight="false" outlineLevel="0" collapsed="false">
      <c r="A30" s="331" t="n">
        <v>29</v>
      </c>
      <c r="B30" s="331" t="s">
        <v>1367</v>
      </c>
      <c r="C30" s="331"/>
      <c r="D30" s="331"/>
      <c r="E30" s="331"/>
      <c r="F30" s="331"/>
      <c r="G30" s="331"/>
      <c r="H30" s="331"/>
      <c r="I30" s="331"/>
      <c r="J30" s="331" t="n">
        <v>55620</v>
      </c>
      <c r="K30" s="331" t="n">
        <v>55617</v>
      </c>
      <c r="L30" s="331" t="n">
        <v>55615</v>
      </c>
      <c r="M30" s="331" t="n">
        <v>55614</v>
      </c>
    </row>
    <row r="31" customFormat="false" ht="14.4" hidden="false" customHeight="false" outlineLevel="0" collapsed="false">
      <c r="A31" s="331" t="n">
        <v>31</v>
      </c>
      <c r="B31" s="331" t="s">
        <v>1369</v>
      </c>
      <c r="C31" s="331"/>
      <c r="D31" s="331"/>
      <c r="E31" s="331"/>
      <c r="F31" s="331"/>
      <c r="G31" s="331"/>
      <c r="H31" s="331"/>
      <c r="I31" s="331"/>
      <c r="J31" s="331" t="n">
        <v>55866</v>
      </c>
      <c r="K31" s="331" t="n">
        <v>55867</v>
      </c>
      <c r="L31" s="331" t="n">
        <v>55868</v>
      </c>
      <c r="M31" s="331" t="n">
        <v>55869</v>
      </c>
    </row>
    <row r="32" customFormat="false" ht="14.4" hidden="false" customHeight="false" outlineLevel="0" collapsed="false">
      <c r="A32" s="331" t="n">
        <v>32</v>
      </c>
      <c r="B32" s="331" t="s">
        <v>1371</v>
      </c>
      <c r="C32" s="331"/>
      <c r="D32" s="331"/>
      <c r="E32" s="331"/>
      <c r="F32" s="331"/>
      <c r="G32" s="331"/>
      <c r="H32" s="331"/>
      <c r="I32" s="331"/>
      <c r="J32" s="331" t="n">
        <v>55906</v>
      </c>
      <c r="K32" s="331" t="n">
        <v>55907</v>
      </c>
      <c r="L32" s="331" t="n">
        <v>55908</v>
      </c>
      <c r="M32" s="331" t="n">
        <v>55909</v>
      </c>
    </row>
    <row r="33" customFormat="false" ht="14.4" hidden="false" customHeight="false" outlineLevel="0" collapsed="false">
      <c r="A33" s="331" t="n">
        <v>30</v>
      </c>
      <c r="B33" s="331" t="s">
        <v>1373</v>
      </c>
      <c r="C33" s="331"/>
      <c r="D33" s="331"/>
      <c r="E33" s="331"/>
      <c r="F33" s="331"/>
      <c r="G33" s="331"/>
      <c r="H33" s="331"/>
      <c r="I33" s="331"/>
      <c r="J33" s="331" t="n">
        <v>55740</v>
      </c>
      <c r="K33" s="331" t="n">
        <v>55737</v>
      </c>
      <c r="L33" s="331" t="n">
        <v>55735</v>
      </c>
      <c r="M33" s="331" t="n">
        <v>55734</v>
      </c>
    </row>
    <row r="34" customFormat="false" ht="14.4" hidden="false" customHeight="false" outlineLevel="0" collapsed="false">
      <c r="A34" s="331" t="n">
        <v>33</v>
      </c>
      <c r="B34" s="331" t="s">
        <v>1375</v>
      </c>
      <c r="C34" s="331"/>
      <c r="D34" s="331"/>
      <c r="E34" s="331"/>
      <c r="F34" s="331"/>
      <c r="G34" s="331"/>
      <c r="H34" s="331"/>
      <c r="I34" s="331"/>
      <c r="J34" s="331" t="n">
        <v>55098</v>
      </c>
      <c r="K34" s="331" t="n">
        <v>55099</v>
      </c>
      <c r="L34" s="331" t="n">
        <v>55102</v>
      </c>
      <c r="M34" s="331" t="n">
        <v>55101</v>
      </c>
    </row>
    <row r="35" customFormat="false" ht="14.4" hidden="false" customHeight="false" outlineLevel="0" collapsed="false">
      <c r="A35" s="331" t="n">
        <v>34</v>
      </c>
      <c r="B35" s="331" t="s">
        <v>1377</v>
      </c>
      <c r="C35" s="331"/>
      <c r="D35" s="331"/>
      <c r="E35" s="331"/>
      <c r="F35" s="331"/>
      <c r="G35" s="331"/>
      <c r="H35" s="331"/>
      <c r="I35" s="331"/>
      <c r="J35" s="331" t="n">
        <v>55340</v>
      </c>
      <c r="K35" s="331" t="n">
        <v>55339</v>
      </c>
      <c r="L35" s="331" t="n">
        <v>55337</v>
      </c>
      <c r="M35" s="331" t="n">
        <v>55336</v>
      </c>
    </row>
    <row r="36" customFormat="false" ht="14.4" hidden="false" customHeight="false" outlineLevel="0" collapsed="false">
      <c r="A36" s="331" t="n">
        <v>35</v>
      </c>
      <c r="B36" s="331" t="s">
        <v>1379</v>
      </c>
      <c r="C36" s="331"/>
      <c r="D36" s="331"/>
      <c r="E36" s="331"/>
      <c r="F36" s="331"/>
      <c r="G36" s="331"/>
      <c r="H36" s="331"/>
      <c r="I36" s="331"/>
      <c r="J36" s="331"/>
      <c r="K36" s="331" t="n">
        <v>55167</v>
      </c>
      <c r="L36" s="331" t="n">
        <v>55165</v>
      </c>
      <c r="M36" s="331" t="n">
        <v>55164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3" min="1" style="0" width="8.51"/>
    <col collapsed="false" customWidth="true" hidden="false" outlineLevel="0" max="7" min="4" style="0" width="9.11"/>
    <col collapsed="false" customWidth="true" hidden="false" outlineLevel="0" max="1025" min="8" style="0" width="8.51"/>
  </cols>
  <sheetData>
    <row r="1" customFormat="false" ht="43.2" hidden="false" customHeight="false" outlineLevel="0" collapsed="false">
      <c r="A1" s="333" t="s">
        <v>1295</v>
      </c>
      <c r="B1" s="333" t="s">
        <v>1296</v>
      </c>
      <c r="C1" s="333" t="s">
        <v>1297</v>
      </c>
      <c r="D1" s="333" t="n">
        <v>550</v>
      </c>
      <c r="E1" s="333" t="n">
        <v>300</v>
      </c>
      <c r="F1" s="333" t="n">
        <v>200</v>
      </c>
      <c r="G1" s="333" t="n">
        <v>173</v>
      </c>
      <c r="H1" s="333" t="s">
        <v>1302</v>
      </c>
      <c r="I1" s="333" t="s">
        <v>1303</v>
      </c>
      <c r="J1" s="333" t="s">
        <v>1304</v>
      </c>
      <c r="K1" s="333" t="s">
        <v>1210</v>
      </c>
      <c r="L1" s="333" t="s">
        <v>1212</v>
      </c>
      <c r="M1" s="333" t="s">
        <v>1305</v>
      </c>
    </row>
    <row r="2" customFormat="false" ht="14.4" hidden="false" customHeight="false" outlineLevel="0" collapsed="false">
      <c r="A2" s="334" t="n">
        <v>1</v>
      </c>
      <c r="B2" s="335" t="s">
        <v>1381</v>
      </c>
      <c r="C2" s="336" t="n">
        <v>0</v>
      </c>
      <c r="D2" s="336" t="n">
        <v>0</v>
      </c>
      <c r="E2" s="336" t="n">
        <v>0</v>
      </c>
      <c r="F2" s="336" t="n">
        <v>0</v>
      </c>
      <c r="G2" s="336" t="n">
        <v>0</v>
      </c>
      <c r="H2" s="336" t="n">
        <v>0</v>
      </c>
      <c r="I2" s="336" t="n">
        <v>0</v>
      </c>
      <c r="J2" s="336" t="n">
        <v>0</v>
      </c>
      <c r="K2" s="336" t="n">
        <v>0</v>
      </c>
      <c r="L2" s="336" t="n">
        <v>0</v>
      </c>
      <c r="M2" s="336" t="n">
        <v>0</v>
      </c>
    </row>
    <row r="3" customFormat="false" ht="14.4" hidden="false" customHeight="false" outlineLevel="0" collapsed="false">
      <c r="A3" s="334" t="n">
        <v>2</v>
      </c>
      <c r="B3" s="335" t="s">
        <v>1382</v>
      </c>
      <c r="C3" s="336" t="n">
        <v>0</v>
      </c>
      <c r="D3" s="336" t="n">
        <v>0</v>
      </c>
      <c r="E3" s="336" t="n">
        <v>0</v>
      </c>
      <c r="F3" s="336" t="n">
        <v>0</v>
      </c>
      <c r="G3" s="336" t="n">
        <v>0</v>
      </c>
      <c r="H3" s="336" t="n">
        <v>0</v>
      </c>
      <c r="I3" s="336" t="n">
        <v>0</v>
      </c>
      <c r="J3" s="336" t="n">
        <v>0</v>
      </c>
      <c r="K3" s="336" t="n">
        <v>0</v>
      </c>
      <c r="L3" s="336" t="n">
        <v>0</v>
      </c>
      <c r="M3" s="336" t="n">
        <v>0</v>
      </c>
    </row>
    <row r="4" customFormat="false" ht="14.4" hidden="false" customHeight="false" outlineLevel="0" collapsed="false">
      <c r="A4" s="334" t="n">
        <v>3</v>
      </c>
      <c r="B4" s="335" t="s">
        <v>1383</v>
      </c>
      <c r="C4" s="336" t="n">
        <v>0</v>
      </c>
      <c r="D4" s="336" t="n">
        <v>0</v>
      </c>
      <c r="E4" s="336" t="n">
        <v>0</v>
      </c>
      <c r="F4" s="336" t="n">
        <v>0</v>
      </c>
      <c r="G4" s="336" t="n">
        <v>0</v>
      </c>
      <c r="H4" s="336" t="n">
        <v>0</v>
      </c>
      <c r="I4" s="336" t="n">
        <v>0</v>
      </c>
      <c r="J4" s="336" t="n">
        <v>0</v>
      </c>
      <c r="K4" s="336" t="n">
        <v>0</v>
      </c>
      <c r="L4" s="336" t="n">
        <v>0</v>
      </c>
      <c r="M4" s="336" t="n">
        <v>0</v>
      </c>
    </row>
    <row r="5" customFormat="false" ht="14.4" hidden="false" customHeight="false" outlineLevel="0" collapsed="false">
      <c r="A5" s="334" t="n">
        <v>4</v>
      </c>
      <c r="B5" s="335" t="s">
        <v>208</v>
      </c>
      <c r="C5" s="336" t="n">
        <v>0.00273622429483421</v>
      </c>
      <c r="D5" s="336" t="n">
        <v>0</v>
      </c>
      <c r="E5" s="336" t="n">
        <v>0</v>
      </c>
      <c r="F5" s="336" t="n">
        <v>0</v>
      </c>
      <c r="G5" s="336" t="n">
        <v>0</v>
      </c>
      <c r="H5" s="336" t="n">
        <v>0.00273622429483421</v>
      </c>
      <c r="I5" s="336" t="n">
        <v>0.00250313524045876</v>
      </c>
      <c r="J5" s="336" t="n">
        <v>0.00212461773217806</v>
      </c>
      <c r="K5" s="336" t="n">
        <v>0.00102728569865783</v>
      </c>
      <c r="L5" s="336" t="n">
        <v>0.000426501138799958</v>
      </c>
      <c r="M5" s="336" t="n">
        <v>0.000255581200063443</v>
      </c>
    </row>
    <row r="6" customFormat="false" ht="14.4" hidden="false" customHeight="false" outlineLevel="0" collapsed="false">
      <c r="A6" s="334" t="n">
        <v>5</v>
      </c>
      <c r="B6" s="335" t="s">
        <v>1384</v>
      </c>
      <c r="C6" s="336" t="n">
        <v>0.00295866825970718</v>
      </c>
      <c r="D6" s="336" t="n">
        <v>0</v>
      </c>
      <c r="E6" s="336" t="n">
        <v>0</v>
      </c>
      <c r="F6" s="336" t="n">
        <v>0</v>
      </c>
      <c r="G6" s="336" t="n">
        <v>0</v>
      </c>
      <c r="H6" s="336" t="n">
        <v>0.00295866825970718</v>
      </c>
      <c r="I6" s="336" t="n">
        <v>0.00272325141581683</v>
      </c>
      <c r="J6" s="336" t="n">
        <v>0.00230133593284639</v>
      </c>
      <c r="K6" s="336" t="n">
        <v>0.00111616605268148</v>
      </c>
      <c r="L6" s="336" t="n">
        <v>0.000470531108560549</v>
      </c>
      <c r="M6" s="336" t="n">
        <v>0.000256332909069574</v>
      </c>
    </row>
    <row r="7" customFormat="false" ht="14.4" hidden="false" customHeight="false" outlineLevel="0" collapsed="false">
      <c r="A7" s="334" t="n">
        <v>6</v>
      </c>
      <c r="B7" s="335" t="s">
        <v>1385</v>
      </c>
      <c r="C7" s="336" t="n">
        <v>0.00497756561478664</v>
      </c>
      <c r="D7" s="336" t="n">
        <v>0</v>
      </c>
      <c r="E7" s="336" t="n">
        <v>0</v>
      </c>
      <c r="F7" s="336" t="n">
        <v>0</v>
      </c>
      <c r="G7" s="336" t="n">
        <v>0</v>
      </c>
      <c r="H7" s="336" t="n">
        <v>0.00497756561478664</v>
      </c>
      <c r="I7" s="336" t="n">
        <v>0.00456625304239379</v>
      </c>
      <c r="J7" s="336" t="n">
        <v>0.00386015651231527</v>
      </c>
      <c r="K7" s="336" t="n">
        <v>0.00188638457973642</v>
      </c>
      <c r="L7" s="336" t="n">
        <v>0.000789553035493505</v>
      </c>
      <c r="M7" s="336" t="n">
        <v>0.00045063826034862</v>
      </c>
    </row>
    <row r="8" customFormat="false" ht="14.4" hidden="false" customHeight="false" outlineLevel="0" collapsed="false">
      <c r="A8" s="334" t="n">
        <v>8</v>
      </c>
      <c r="B8" s="335" t="s">
        <v>220</v>
      </c>
      <c r="C8" s="336" t="n">
        <v>0.014069384809989</v>
      </c>
      <c r="D8" s="336" t="n">
        <v>0</v>
      </c>
      <c r="E8" s="336" t="n">
        <v>0</v>
      </c>
      <c r="F8" s="336" t="n">
        <v>0</v>
      </c>
      <c r="G8" s="336" t="n">
        <v>0</v>
      </c>
      <c r="H8" s="336" t="n">
        <v>0.014069384809989</v>
      </c>
      <c r="I8" s="336" t="n">
        <v>0.0131089966052793</v>
      </c>
      <c r="J8" s="336" t="n">
        <v>0.0110583100180901</v>
      </c>
      <c r="K8" s="336" t="n">
        <v>0.0054026504078852</v>
      </c>
      <c r="L8" s="336" t="n">
        <v>0.0023665708169482</v>
      </c>
      <c r="M8" s="336" t="n">
        <v>0.00128850344285172</v>
      </c>
    </row>
    <row r="9" customFormat="false" ht="14.4" hidden="false" customHeight="false" outlineLevel="0" collapsed="false">
      <c r="A9" s="334" t="n">
        <v>7</v>
      </c>
      <c r="B9" s="335" t="s">
        <v>1386</v>
      </c>
      <c r="C9" s="336" t="n">
        <v>0.019334985068918</v>
      </c>
      <c r="D9" s="336" t="n">
        <v>0</v>
      </c>
      <c r="E9" s="336" t="n">
        <v>0</v>
      </c>
      <c r="F9" s="336" t="n">
        <v>0</v>
      </c>
      <c r="G9" s="336" t="n">
        <v>0</v>
      </c>
      <c r="H9" s="336" t="n">
        <v>0.019334985068918</v>
      </c>
      <c r="I9" s="336" t="n">
        <v>0.0174602468181036</v>
      </c>
      <c r="J9" s="336" t="n">
        <v>0.0151965850091056</v>
      </c>
      <c r="K9" s="336" t="n">
        <v>0.00729817090768423</v>
      </c>
      <c r="L9" s="336" t="n">
        <v>0.00308234462794305</v>
      </c>
      <c r="M9" s="336" t="n">
        <v>0.00175795470819328</v>
      </c>
    </row>
    <row r="10" customFormat="false" ht="14.4" hidden="false" customHeight="false" outlineLevel="0" collapsed="false">
      <c r="A10" s="334" t="n">
        <v>9</v>
      </c>
      <c r="B10" s="335" t="s">
        <v>1387</v>
      </c>
      <c r="C10" s="336" t="n">
        <v>0.0341294867351535</v>
      </c>
      <c r="D10" s="336" t="n">
        <v>0</v>
      </c>
      <c r="E10" s="336" t="n">
        <v>0</v>
      </c>
      <c r="F10" s="336" t="n">
        <v>0</v>
      </c>
      <c r="G10" s="336" t="n">
        <v>0</v>
      </c>
      <c r="H10" s="336" t="n">
        <v>0.0341294867351535</v>
      </c>
      <c r="I10" s="336" t="n">
        <v>0.0314079163912011</v>
      </c>
      <c r="J10" s="336" t="n">
        <v>0.026680099039865</v>
      </c>
      <c r="K10" s="336" t="n">
        <v>0.0128803964918746</v>
      </c>
      <c r="L10" s="336" t="n">
        <v>0.00564281898171461</v>
      </c>
      <c r="M10" s="336" t="n">
        <v>0.00307155520563513</v>
      </c>
    </row>
    <row r="11" customFormat="false" ht="14.4" hidden="false" customHeight="false" outlineLevel="0" collapsed="false">
      <c r="A11" s="334" t="n">
        <v>10</v>
      </c>
      <c r="B11" s="335" t="s">
        <v>1388</v>
      </c>
      <c r="C11" s="336" t="n">
        <v>0.0421599542022485</v>
      </c>
      <c r="D11" s="336" t="n">
        <v>0</v>
      </c>
      <c r="E11" s="336" t="n">
        <v>0</v>
      </c>
      <c r="F11" s="336" t="n">
        <v>0</v>
      </c>
      <c r="G11" s="336" t="n">
        <v>0</v>
      </c>
      <c r="H11" s="336" t="n">
        <v>0.0421599542022485</v>
      </c>
      <c r="I11" s="336" t="n">
        <v>0.0388859917224395</v>
      </c>
      <c r="J11" s="336" t="n">
        <v>0.0332242742760583</v>
      </c>
      <c r="K11" s="336" t="n">
        <v>0.0164869075095994</v>
      </c>
      <c r="L11" s="336" t="n">
        <v>0.00718176961309132</v>
      </c>
      <c r="M11" s="336" t="n">
        <v>0.00358348107324099</v>
      </c>
    </row>
    <row r="12" customFormat="false" ht="14.4" hidden="false" customHeight="false" outlineLevel="0" collapsed="false">
      <c r="A12" s="334" t="n">
        <v>11</v>
      </c>
      <c r="B12" s="335" t="s">
        <v>232</v>
      </c>
      <c r="C12" s="336" t="n">
        <v>0.0559786517316636</v>
      </c>
      <c r="D12" s="336" t="n">
        <v>0</v>
      </c>
      <c r="E12" s="336" t="n">
        <v>0</v>
      </c>
      <c r="F12" s="336" t="n">
        <v>0</v>
      </c>
      <c r="G12" s="336" t="n">
        <v>0</v>
      </c>
      <c r="H12" s="336" t="n">
        <v>0.0559786517316636</v>
      </c>
      <c r="I12" s="336" t="n">
        <v>0.0516867414099239</v>
      </c>
      <c r="J12" s="336" t="n">
        <v>0.0442529725923786</v>
      </c>
      <c r="K12" s="336" t="n">
        <v>0.0220388171649302</v>
      </c>
      <c r="L12" s="336" t="n">
        <v>0.00960240927105648</v>
      </c>
      <c r="M12" s="336" t="n">
        <v>0.00479094770189141</v>
      </c>
    </row>
    <row r="13" customFormat="false" ht="14.4" hidden="false" customHeight="false" outlineLevel="0" collapsed="false">
      <c r="A13" s="334" t="n">
        <v>12</v>
      </c>
      <c r="B13" s="335" t="s">
        <v>1389</v>
      </c>
      <c r="C13" s="336" t="n">
        <v>0.119665132477035</v>
      </c>
      <c r="D13" s="336" t="n">
        <v>0</v>
      </c>
      <c r="E13" s="336" t="n">
        <v>0</v>
      </c>
      <c r="F13" s="336" t="n">
        <v>0</v>
      </c>
      <c r="G13" s="336" t="n">
        <v>0</v>
      </c>
      <c r="H13" s="336" t="n">
        <v>0.119665132477035</v>
      </c>
      <c r="I13" s="336" t="n">
        <v>0.111149428241984</v>
      </c>
      <c r="J13" s="336" t="n">
        <v>0.0957839532725026</v>
      </c>
      <c r="K13" s="336" t="n">
        <v>0.0492488992784499</v>
      </c>
      <c r="L13" s="336" t="n">
        <v>0.0208032803672661</v>
      </c>
      <c r="M13" s="336" t="n">
        <v>0.0113222335475678</v>
      </c>
    </row>
    <row r="14" customFormat="false" ht="14.4" hidden="false" customHeight="false" outlineLevel="0" collapsed="false">
      <c r="A14" s="334" t="n">
        <v>13</v>
      </c>
      <c r="B14" s="335" t="s">
        <v>243</v>
      </c>
      <c r="C14" s="336" t="n">
        <v>0.239458940702485</v>
      </c>
      <c r="D14" s="336" t="n">
        <v>0</v>
      </c>
      <c r="E14" s="336" t="n">
        <v>0</v>
      </c>
      <c r="F14" s="336" t="n">
        <v>0</v>
      </c>
      <c r="G14" s="336" t="n">
        <v>0</v>
      </c>
      <c r="H14" s="336" t="n">
        <v>0.239458940702485</v>
      </c>
      <c r="I14" s="336" t="n">
        <v>0.225299391655559</v>
      </c>
      <c r="J14" s="336" t="n">
        <v>0.195001186089407</v>
      </c>
      <c r="K14" s="336" t="n">
        <v>0.100235580578471</v>
      </c>
      <c r="L14" s="336" t="n">
        <v>0.0446200569211745</v>
      </c>
      <c r="M14" s="336" t="n">
        <v>0.022266119201168</v>
      </c>
    </row>
    <row r="15" customFormat="false" ht="14.4" hidden="false" customHeight="false" outlineLevel="0" collapsed="false">
      <c r="A15" s="334" t="n">
        <v>15</v>
      </c>
      <c r="B15" s="335" t="s">
        <v>875</v>
      </c>
      <c r="C15" s="336" t="n">
        <v>0.826075941592791</v>
      </c>
      <c r="D15" s="336" t="n">
        <v>0</v>
      </c>
      <c r="E15" s="336" t="n">
        <v>0</v>
      </c>
      <c r="F15" s="336" t="n">
        <v>0</v>
      </c>
      <c r="G15" s="336" t="n">
        <v>0</v>
      </c>
      <c r="H15" s="336" t="n">
        <v>0.826075941592791</v>
      </c>
      <c r="I15" s="336" t="n">
        <v>0.775247641313236</v>
      </c>
      <c r="J15" s="336" t="n">
        <v>0.686892810432732</v>
      </c>
      <c r="K15" s="336" t="n">
        <v>0.358972650774811</v>
      </c>
      <c r="L15" s="336" t="n">
        <v>0.15936854874949</v>
      </c>
      <c r="M15" s="336" t="n">
        <v>0.0837412275070337</v>
      </c>
    </row>
    <row r="16" customFormat="false" ht="14.4" hidden="false" customHeight="false" outlineLevel="0" collapsed="false">
      <c r="A16" s="334" t="n">
        <v>14</v>
      </c>
      <c r="B16" s="335" t="s">
        <v>1390</v>
      </c>
      <c r="C16" s="336" t="n">
        <v>0.935857879502116</v>
      </c>
      <c r="D16" s="336" t="n">
        <v>0</v>
      </c>
      <c r="E16" s="336" t="n">
        <v>0</v>
      </c>
      <c r="F16" s="336" t="n">
        <v>0</v>
      </c>
      <c r="G16" s="336" t="n">
        <v>0</v>
      </c>
      <c r="H16" s="336" t="n">
        <v>0.935857879502116</v>
      </c>
      <c r="I16" s="336" t="n">
        <v>0.929396647705793</v>
      </c>
      <c r="J16" s="336" t="n">
        <v>0.812836451397356</v>
      </c>
      <c r="K16" s="336" t="n">
        <v>0.442090078788669</v>
      </c>
      <c r="L16" s="336" t="n">
        <v>0.191976389464386</v>
      </c>
      <c r="M16" s="336" t="n">
        <v>0.102334364590157</v>
      </c>
    </row>
    <row r="17" customFormat="false" ht="14.4" hidden="false" customHeight="false" outlineLevel="0" collapsed="false">
      <c r="A17" s="334" t="n">
        <v>16</v>
      </c>
      <c r="B17" s="335" t="s">
        <v>1391</v>
      </c>
      <c r="C17" s="336" t="n">
        <v>1.9418340593622</v>
      </c>
      <c r="D17" s="336" t="n">
        <v>0</v>
      </c>
      <c r="E17" s="336" t="n">
        <v>0</v>
      </c>
      <c r="F17" s="336" t="n">
        <v>0</v>
      </c>
      <c r="G17" s="336" t="n">
        <v>0</v>
      </c>
      <c r="H17" s="336" t="n">
        <v>1.9418340593622</v>
      </c>
      <c r="I17" s="336" t="n">
        <v>1.94070157817637</v>
      </c>
      <c r="J17" s="336" t="n">
        <v>1.81339288129658</v>
      </c>
      <c r="K17" s="336" t="n">
        <v>1.01409005391988</v>
      </c>
      <c r="L17" s="336" t="n">
        <v>0.457393706115672</v>
      </c>
      <c r="M17" s="336" t="n">
        <v>0.261947649815966</v>
      </c>
    </row>
    <row r="18" customFormat="false" ht="14.4" hidden="false" customHeight="false" outlineLevel="0" collapsed="false">
      <c r="A18" s="334" t="n">
        <v>17</v>
      </c>
      <c r="B18" s="335" t="s">
        <v>1392</v>
      </c>
      <c r="C18" s="336" t="n">
        <v>3.62409700606138</v>
      </c>
      <c r="D18" s="336" t="n">
        <v>0</v>
      </c>
      <c r="E18" s="336" t="n">
        <v>0</v>
      </c>
      <c r="F18" s="336" t="n">
        <v>0</v>
      </c>
      <c r="G18" s="336" t="n">
        <v>0</v>
      </c>
      <c r="H18" s="336" t="n">
        <v>3.60199157924541</v>
      </c>
      <c r="I18" s="336" t="n">
        <v>3.62409700606138</v>
      </c>
      <c r="J18" s="336" t="n">
        <v>3.49974263187137</v>
      </c>
      <c r="K18" s="336" t="n">
        <v>2.05198918961318</v>
      </c>
      <c r="L18" s="336" t="n">
        <v>0.944155313509397</v>
      </c>
      <c r="M18" s="336" t="n">
        <v>0.498884984805698</v>
      </c>
    </row>
    <row r="19" customFormat="false" ht="14.4" hidden="false" customHeight="false" outlineLevel="0" collapsed="false">
      <c r="A19" s="334" t="n">
        <v>18</v>
      </c>
      <c r="B19" s="335" t="s">
        <v>879</v>
      </c>
      <c r="C19" s="336" t="n">
        <v>4.67733205094325</v>
      </c>
      <c r="D19" s="336" t="n">
        <v>0</v>
      </c>
      <c r="E19" s="336" t="n">
        <v>0</v>
      </c>
      <c r="F19" s="336" t="n">
        <v>0</v>
      </c>
      <c r="G19" s="336" t="n">
        <v>0</v>
      </c>
      <c r="H19" s="336" t="n">
        <v>4.64915421857343</v>
      </c>
      <c r="I19" s="336" t="n">
        <v>4.67733205094325</v>
      </c>
      <c r="J19" s="336" t="n">
        <v>4.52547925710738</v>
      </c>
      <c r="K19" s="336" t="n">
        <v>2.71605688020138</v>
      </c>
      <c r="L19" s="336" t="n">
        <v>1.22271289204432</v>
      </c>
      <c r="M19" s="336" t="n">
        <v>0.669824953667307</v>
      </c>
    </row>
    <row r="20" customFormat="false" ht="14.4" hidden="false" customHeight="false" outlineLevel="0" collapsed="false">
      <c r="A20" s="334" t="n">
        <v>19</v>
      </c>
      <c r="B20" s="335" t="s">
        <v>1393</v>
      </c>
      <c r="C20" s="336" t="n">
        <v>7.82953642625824</v>
      </c>
      <c r="D20" s="336" t="n">
        <v>0</v>
      </c>
      <c r="E20" s="336" t="n">
        <v>0</v>
      </c>
      <c r="F20" s="336" t="n">
        <v>0</v>
      </c>
      <c r="G20" s="336" t="n">
        <v>0</v>
      </c>
      <c r="H20" s="336" t="n">
        <v>7.80650536423789</v>
      </c>
      <c r="I20" s="336" t="n">
        <v>7.82953642625824</v>
      </c>
      <c r="J20" s="336" t="n">
        <v>7.54002843993449</v>
      </c>
      <c r="K20" s="336" t="n">
        <v>4.40526321240958</v>
      </c>
      <c r="L20" s="336" t="n">
        <v>1.95513235763252</v>
      </c>
      <c r="M20" s="336" t="n">
        <v>1.10389367000549</v>
      </c>
    </row>
    <row r="21" customFormat="false" ht="14.4" hidden="false" customHeight="false" outlineLevel="0" collapsed="false">
      <c r="A21" s="334" t="n">
        <v>21</v>
      </c>
      <c r="B21" s="335" t="s">
        <v>1394</v>
      </c>
      <c r="C21" s="336" t="n">
        <v>14.7137220142709</v>
      </c>
      <c r="D21" s="336" t="n">
        <v>0</v>
      </c>
      <c r="E21" s="336" t="n">
        <v>0</v>
      </c>
      <c r="F21" s="336" t="n">
        <v>0</v>
      </c>
      <c r="G21" s="336" t="n">
        <v>0</v>
      </c>
      <c r="H21" s="336" t="n">
        <v>9.59271803715928</v>
      </c>
      <c r="I21" s="336" t="n">
        <v>11.0385027348585</v>
      </c>
      <c r="J21" s="336" t="n">
        <v>14.7137220142709</v>
      </c>
      <c r="K21" s="336" t="n">
        <v>12.5922536637404</v>
      </c>
      <c r="L21" s="336" t="n">
        <v>6.21230520792968</v>
      </c>
      <c r="M21" s="336" t="n">
        <v>3.59114649771957</v>
      </c>
    </row>
    <row r="22" customFormat="false" ht="14.4" hidden="false" customHeight="false" outlineLevel="0" collapsed="false">
      <c r="A22" s="334" t="n">
        <v>20</v>
      </c>
      <c r="B22" s="335" t="s">
        <v>1395</v>
      </c>
      <c r="C22" s="336" t="n">
        <v>16.6483122642917</v>
      </c>
      <c r="D22" s="336" t="n">
        <v>0</v>
      </c>
      <c r="E22" s="336" t="n">
        <v>0</v>
      </c>
      <c r="F22" s="336" t="n">
        <v>0</v>
      </c>
      <c r="G22" s="336" t="n">
        <v>0</v>
      </c>
      <c r="H22" s="336" t="n">
        <v>12.8059160078573</v>
      </c>
      <c r="I22" s="336" t="n">
        <v>14.7272350810731</v>
      </c>
      <c r="J22" s="336" t="n">
        <v>16.6483122642917</v>
      </c>
      <c r="K22" s="336" t="n">
        <v>11.654646130232</v>
      </c>
      <c r="L22" s="336" t="n">
        <v>5.90657557563487</v>
      </c>
      <c r="M22" s="336" t="n">
        <v>2.99802548213944</v>
      </c>
    </row>
    <row r="23" customFormat="false" ht="14.4" hidden="false" customHeight="false" outlineLevel="0" collapsed="false">
      <c r="A23" s="334" t="n">
        <v>22</v>
      </c>
      <c r="B23" s="335" t="s">
        <v>1396</v>
      </c>
      <c r="C23" s="336" t="n">
        <v>21.0440163991719</v>
      </c>
      <c r="D23" s="336" t="n">
        <v>0</v>
      </c>
      <c r="E23" s="336" t="n">
        <v>0</v>
      </c>
      <c r="F23" s="336" t="n">
        <v>0</v>
      </c>
      <c r="G23" s="336" t="n">
        <v>0</v>
      </c>
      <c r="H23" s="336" t="n">
        <v>14.3422790219043</v>
      </c>
      <c r="I23" s="336" t="n">
        <v>16.4897059083549</v>
      </c>
      <c r="J23" s="336" t="n">
        <v>21.0440163991719</v>
      </c>
      <c r="K23" s="336" t="n">
        <v>15.9129043025867</v>
      </c>
      <c r="L23" s="336" t="n">
        <v>7.75487093273362</v>
      </c>
      <c r="M23" s="336" t="n">
        <v>4.28980052912815</v>
      </c>
    </row>
    <row r="24" customFormat="false" ht="14.4" hidden="false" customHeight="false" outlineLevel="0" collapsed="false">
      <c r="A24" s="334" t="n">
        <v>23</v>
      </c>
      <c r="B24" s="335" t="s">
        <v>1397</v>
      </c>
      <c r="C24" s="336" t="n">
        <v>37.8223808436136</v>
      </c>
      <c r="D24" s="336" t="n">
        <v>0</v>
      </c>
      <c r="E24" s="336" t="n">
        <v>0</v>
      </c>
      <c r="F24" s="336" t="n">
        <v>0</v>
      </c>
      <c r="G24" s="336" t="n">
        <v>0</v>
      </c>
      <c r="H24" s="336" t="n">
        <v>24.6832812426202</v>
      </c>
      <c r="I24" s="336" t="n">
        <v>28.4077303884579</v>
      </c>
      <c r="J24" s="336" t="n">
        <v>37.8223808436136</v>
      </c>
      <c r="K24" s="336" t="n">
        <v>30.8809463668438</v>
      </c>
      <c r="L24" s="336" t="n">
        <v>15.4798576773606</v>
      </c>
      <c r="M24" s="336" t="n">
        <v>8.61780374948882</v>
      </c>
    </row>
    <row r="25" customFormat="false" ht="14.4" hidden="false" customHeight="false" outlineLevel="0" collapsed="false">
      <c r="A25" s="334" t="n">
        <v>25</v>
      </c>
      <c r="B25" s="335" t="s">
        <v>258</v>
      </c>
      <c r="C25" s="336" t="n">
        <v>61.2060152874821</v>
      </c>
      <c r="D25" s="336" t="n">
        <v>0</v>
      </c>
      <c r="E25" s="336" t="n">
        <v>0</v>
      </c>
      <c r="F25" s="336" t="n">
        <v>0</v>
      </c>
      <c r="G25" s="336" t="n">
        <v>0</v>
      </c>
      <c r="H25" s="336" t="n">
        <v>0</v>
      </c>
      <c r="I25" s="336" t="n">
        <v>0</v>
      </c>
      <c r="J25" s="336" t="n">
        <v>55.979474403791</v>
      </c>
      <c r="K25" s="336" t="n">
        <v>61.2060152874821</v>
      </c>
      <c r="L25" s="336" t="n">
        <v>32.7701267711081</v>
      </c>
      <c r="M25" s="336" t="n">
        <v>18.443887177344</v>
      </c>
    </row>
    <row r="26" customFormat="false" ht="14.4" hidden="false" customHeight="false" outlineLevel="0" collapsed="false">
      <c r="A26" s="334" t="n">
        <v>24</v>
      </c>
      <c r="B26" s="335" t="s">
        <v>886</v>
      </c>
      <c r="C26" s="336" t="n">
        <v>71.0607143955184</v>
      </c>
      <c r="D26" s="336" t="n">
        <v>0</v>
      </c>
      <c r="E26" s="336" t="n">
        <v>0</v>
      </c>
      <c r="F26" s="336" t="n">
        <v>0</v>
      </c>
      <c r="G26" s="336" t="n">
        <v>0</v>
      </c>
      <c r="H26" s="336" t="n">
        <v>0</v>
      </c>
      <c r="I26" s="336" t="n">
        <v>56.4031881677931</v>
      </c>
      <c r="J26" s="336" t="n">
        <v>71.0607143955184</v>
      </c>
      <c r="K26" s="336" t="n">
        <v>53.2079930796929</v>
      </c>
      <c r="L26" s="336" t="n">
        <v>26.3092147180333</v>
      </c>
      <c r="M26" s="336" t="n">
        <v>14.5574418088985</v>
      </c>
    </row>
    <row r="27" customFormat="false" ht="14.4" hidden="false" customHeight="false" outlineLevel="0" collapsed="false">
      <c r="A27" s="334" t="n">
        <v>26</v>
      </c>
      <c r="B27" s="335" t="s">
        <v>889</v>
      </c>
      <c r="C27" s="336" t="n">
        <v>72.8856905287019</v>
      </c>
      <c r="D27" s="336" t="n">
        <v>0</v>
      </c>
      <c r="E27" s="336" t="n">
        <v>0</v>
      </c>
      <c r="F27" s="336" t="n">
        <v>0</v>
      </c>
      <c r="G27" s="336" t="n">
        <v>0</v>
      </c>
      <c r="H27" s="336" t="n">
        <v>0</v>
      </c>
      <c r="I27" s="336" t="n">
        <v>42.982432386418</v>
      </c>
      <c r="J27" s="336" t="n">
        <v>57.2729799083184</v>
      </c>
      <c r="K27" s="336" t="n">
        <v>72.8856905287019</v>
      </c>
      <c r="L27" s="336" t="n">
        <v>41.9804497808338</v>
      </c>
      <c r="M27" s="336" t="n">
        <v>23.5083052127883</v>
      </c>
    </row>
    <row r="28" customFormat="false" ht="14.4" hidden="false" customHeight="false" outlineLevel="0" collapsed="false">
      <c r="A28" s="334" t="n">
        <v>27</v>
      </c>
      <c r="B28" s="335" t="s">
        <v>891</v>
      </c>
      <c r="C28" s="336" t="n">
        <v>101.260730569617</v>
      </c>
      <c r="D28" s="336" t="n">
        <v>0</v>
      </c>
      <c r="E28" s="336" t="n">
        <v>0</v>
      </c>
      <c r="F28" s="336" t="n">
        <v>0</v>
      </c>
      <c r="G28" s="336" t="n">
        <v>0</v>
      </c>
      <c r="H28" s="336" t="n">
        <v>0</v>
      </c>
      <c r="I28" s="336" t="n">
        <v>0</v>
      </c>
      <c r="J28" s="336" t="n">
        <v>101.260730569617</v>
      </c>
      <c r="K28" s="336" t="n">
        <v>77.7166790354915</v>
      </c>
      <c r="L28" s="336" t="n">
        <v>38.570183377088</v>
      </c>
      <c r="M28" s="336" t="n">
        <v>21.0244793450376</v>
      </c>
    </row>
    <row r="29" customFormat="false" ht="14.4" hidden="false" customHeight="false" outlineLevel="0" collapsed="false">
      <c r="A29" s="334" t="n">
        <v>28</v>
      </c>
      <c r="B29" s="335" t="s">
        <v>893</v>
      </c>
      <c r="C29" s="336" t="n">
        <v>114.227455751291</v>
      </c>
      <c r="D29" s="336" t="n">
        <v>0</v>
      </c>
      <c r="E29" s="336" t="n">
        <v>0</v>
      </c>
      <c r="F29" s="336" t="n">
        <v>0</v>
      </c>
      <c r="G29" s="336" t="n">
        <v>0</v>
      </c>
      <c r="H29" s="336" t="n">
        <v>0</v>
      </c>
      <c r="I29" s="336" t="n">
        <v>0</v>
      </c>
      <c r="J29" s="336" t="n">
        <v>74.1730364130656</v>
      </c>
      <c r="K29" s="336" t="n">
        <v>114.227455751291</v>
      </c>
      <c r="L29" s="336" t="n">
        <v>72.3316781708932</v>
      </c>
      <c r="M29" s="336" t="n">
        <v>42.4899359610299</v>
      </c>
    </row>
    <row r="30" customFormat="false" ht="14.4" hidden="false" customHeight="false" outlineLevel="0" collapsed="false">
      <c r="A30" s="334" t="n">
        <v>29</v>
      </c>
      <c r="B30" s="335" t="s">
        <v>1398</v>
      </c>
      <c r="C30" s="336" t="n">
        <v>218.825940912448</v>
      </c>
      <c r="D30" s="336" t="n">
        <v>0</v>
      </c>
      <c r="E30" s="336" t="n">
        <v>0</v>
      </c>
      <c r="F30" s="336" t="n">
        <v>0</v>
      </c>
      <c r="G30" s="336" t="n">
        <v>0</v>
      </c>
      <c r="H30" s="336" t="n">
        <v>0</v>
      </c>
      <c r="I30" s="336" t="n">
        <v>0</v>
      </c>
      <c r="J30" s="336" t="n">
        <v>189.963687248879</v>
      </c>
      <c r="K30" s="336" t="n">
        <v>218.825940912448</v>
      </c>
      <c r="L30" s="336" t="n">
        <v>120.382407698447</v>
      </c>
      <c r="M30" s="336" t="n">
        <v>67.5404663926086</v>
      </c>
    </row>
    <row r="31" customFormat="false" ht="14.4" hidden="false" customHeight="false" outlineLevel="0" collapsed="false">
      <c r="A31" s="334" t="n">
        <v>31</v>
      </c>
      <c r="B31" s="335" t="s">
        <v>1399</v>
      </c>
      <c r="C31" s="336" t="n">
        <v>244.986443372918</v>
      </c>
      <c r="D31" s="336" t="n">
        <v>0</v>
      </c>
      <c r="E31" s="336" t="n">
        <v>0</v>
      </c>
      <c r="F31" s="336" t="n">
        <v>0</v>
      </c>
      <c r="G31" s="336" t="n">
        <v>0</v>
      </c>
      <c r="H31" s="336" t="n">
        <v>0</v>
      </c>
      <c r="I31" s="336" t="n">
        <v>0</v>
      </c>
      <c r="J31" s="336" t="n">
        <v>131.408521554836</v>
      </c>
      <c r="K31" s="336" t="n">
        <v>244.986443372918</v>
      </c>
      <c r="L31" s="336" t="n">
        <v>203.984649812688</v>
      </c>
      <c r="M31" s="336" t="n">
        <v>123.851095839385</v>
      </c>
    </row>
    <row r="32" customFormat="false" ht="14.4" hidden="false" customHeight="false" outlineLevel="0" collapsed="false">
      <c r="A32" s="334" t="n">
        <v>32</v>
      </c>
      <c r="B32" s="335" t="s">
        <v>1400</v>
      </c>
      <c r="C32" s="336" t="n">
        <v>307.769980556551</v>
      </c>
      <c r="D32" s="336" t="n">
        <v>0</v>
      </c>
      <c r="E32" s="336" t="n">
        <v>0</v>
      </c>
      <c r="F32" s="336" t="n">
        <v>0</v>
      </c>
      <c r="G32" s="336" t="n">
        <v>0</v>
      </c>
      <c r="H32" s="336" t="n">
        <v>0</v>
      </c>
      <c r="I32" s="336" t="n">
        <v>0</v>
      </c>
      <c r="J32" s="336" t="n">
        <v>165.550073685826</v>
      </c>
      <c r="K32" s="336" t="n">
        <v>307.769980556551</v>
      </c>
      <c r="L32" s="336" t="n">
        <v>251.975600005771</v>
      </c>
      <c r="M32" s="336" t="n">
        <v>154.973698623471</v>
      </c>
    </row>
    <row r="33" customFormat="false" ht="14.4" hidden="false" customHeight="false" outlineLevel="0" collapsed="false">
      <c r="A33" s="334" t="n">
        <v>33</v>
      </c>
      <c r="B33" s="335" t="s">
        <v>1401</v>
      </c>
      <c r="C33" s="336" t="n">
        <v>593.311636349736</v>
      </c>
      <c r="D33" s="336" t="n">
        <v>0</v>
      </c>
      <c r="E33" s="336" t="n">
        <v>0</v>
      </c>
      <c r="F33" s="336" t="n">
        <v>0</v>
      </c>
      <c r="G33" s="336" t="n">
        <v>0</v>
      </c>
      <c r="H33" s="336" t="n">
        <v>0</v>
      </c>
      <c r="I33" s="336" t="n">
        <v>0</v>
      </c>
      <c r="J33" s="336" t="n">
        <v>318.529688461973</v>
      </c>
      <c r="K33" s="336" t="n">
        <v>593.311636349736</v>
      </c>
      <c r="L33" s="336" t="n">
        <v>588.19710044473</v>
      </c>
      <c r="M33" s="336" t="n">
        <v>375.428067243766</v>
      </c>
    </row>
    <row r="34" customFormat="false" ht="14.4" hidden="false" customHeight="false" outlineLevel="0" collapsed="false">
      <c r="A34" s="334" t="n">
        <v>30</v>
      </c>
      <c r="B34" s="335" t="s">
        <v>896</v>
      </c>
      <c r="C34" s="336" t="n">
        <v>625.191627703356</v>
      </c>
      <c r="D34" s="336" t="n">
        <v>0</v>
      </c>
      <c r="E34" s="336" t="n">
        <v>0</v>
      </c>
      <c r="F34" s="336" t="n">
        <v>0</v>
      </c>
      <c r="G34" s="336" t="n">
        <v>0</v>
      </c>
      <c r="H34" s="336" t="n">
        <v>0</v>
      </c>
      <c r="I34" s="336" t="n">
        <v>0</v>
      </c>
      <c r="J34" s="336" t="n">
        <v>334.559957900367</v>
      </c>
      <c r="K34" s="336" t="n">
        <v>625.191627703356</v>
      </c>
      <c r="L34" s="336" t="n">
        <v>453.642067453561</v>
      </c>
      <c r="M34" s="336" t="n">
        <v>277.021107110859</v>
      </c>
    </row>
    <row r="35" customFormat="false" ht="14.4" hidden="false" customHeight="false" outlineLevel="0" collapsed="false">
      <c r="A35" s="334" t="n">
        <v>34</v>
      </c>
      <c r="B35" s="335" t="s">
        <v>1402</v>
      </c>
      <c r="C35" s="336" t="n">
        <v>2446.09493704353</v>
      </c>
      <c r="D35" s="336" t="n">
        <v>0</v>
      </c>
      <c r="E35" s="336" t="n">
        <v>0</v>
      </c>
      <c r="F35" s="336" t="n">
        <v>0</v>
      </c>
      <c r="G35" s="336" t="n">
        <v>0</v>
      </c>
      <c r="H35" s="336" t="n">
        <v>0</v>
      </c>
      <c r="I35" s="336" t="n">
        <v>0</v>
      </c>
      <c r="J35" s="336" t="n">
        <v>803.036532597617</v>
      </c>
      <c r="K35" s="336" t="n">
        <v>1501.39320990203</v>
      </c>
      <c r="L35" s="336" t="n">
        <v>2446.09493704353</v>
      </c>
      <c r="M35" s="336" t="n">
        <v>1822.9383160625</v>
      </c>
    </row>
    <row r="36" customFormat="false" ht="14.4" hidden="false" customHeight="false" outlineLevel="0" collapsed="false">
      <c r="A36" s="334" t="n">
        <v>35</v>
      </c>
      <c r="B36" s="335" t="s">
        <v>1403</v>
      </c>
      <c r="C36" s="336" t="n">
        <v>5877.03423668404</v>
      </c>
      <c r="D36" s="336" t="n">
        <v>0</v>
      </c>
      <c r="E36" s="336" t="n">
        <v>0</v>
      </c>
      <c r="F36" s="336" t="n">
        <v>0</v>
      </c>
      <c r="G36" s="336" t="n">
        <v>0</v>
      </c>
      <c r="H36" s="336" t="n">
        <v>0</v>
      </c>
      <c r="I36" s="336" t="n">
        <v>0</v>
      </c>
      <c r="J36" s="336" t="n">
        <v>1483.99234861029</v>
      </c>
      <c r="K36" s="336" t="n">
        <v>2765.7586365666</v>
      </c>
      <c r="L36" s="336" t="n">
        <v>5877.03423668404</v>
      </c>
      <c r="M36" s="336" t="n">
        <v>5447.2637583604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O17" activeCellId="0" sqref="O17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2" min="1" style="0" width="8.51"/>
    <col collapsed="false" customWidth="true" hidden="false" outlineLevel="0" max="7" min="3" style="0" width="9.11"/>
    <col collapsed="false" customWidth="true" hidden="false" outlineLevel="0" max="1025" min="8" style="0" width="8.51"/>
  </cols>
  <sheetData>
    <row r="1" customFormat="false" ht="28.8" hidden="false" customHeight="false" outlineLevel="0" collapsed="false">
      <c r="A1" s="333" t="s">
        <v>1295</v>
      </c>
      <c r="B1" s="333" t="s">
        <v>1296</v>
      </c>
      <c r="C1" s="333"/>
      <c r="D1" s="333" t="n">
        <v>550</v>
      </c>
      <c r="E1" s="333" t="n">
        <v>300</v>
      </c>
      <c r="F1" s="333" t="n">
        <v>200</v>
      </c>
      <c r="G1" s="333" t="n">
        <v>173</v>
      </c>
      <c r="H1" s="333" t="s">
        <v>1302</v>
      </c>
      <c r="I1" s="333" t="s">
        <v>1303</v>
      </c>
      <c r="J1" s="333" t="s">
        <v>1304</v>
      </c>
      <c r="K1" s="333" t="s">
        <v>1210</v>
      </c>
      <c r="L1" s="333" t="s">
        <v>1212</v>
      </c>
      <c r="M1" s="333" t="s">
        <v>1305</v>
      </c>
    </row>
    <row r="2" customFormat="false" ht="14.4" hidden="false" customHeight="false" outlineLevel="0" collapsed="false">
      <c r="A2" s="334" t="n">
        <v>1</v>
      </c>
      <c r="B2" s="335" t="s">
        <v>1381</v>
      </c>
      <c r="C2" s="335"/>
      <c r="D2" s="335"/>
      <c r="E2" s="335"/>
      <c r="F2" s="335"/>
      <c r="G2" s="335"/>
      <c r="H2" s="336"/>
      <c r="I2" s="336"/>
      <c r="J2" s="336"/>
      <c r="K2" s="336"/>
      <c r="L2" s="336"/>
      <c r="M2" s="336"/>
    </row>
    <row r="3" customFormat="false" ht="14.4" hidden="false" customHeight="false" outlineLevel="0" collapsed="false">
      <c r="A3" s="334" t="n">
        <v>2</v>
      </c>
      <c r="B3" s="335" t="s">
        <v>1382</v>
      </c>
      <c r="C3" s="335"/>
      <c r="D3" s="335"/>
      <c r="E3" s="335"/>
      <c r="F3" s="335"/>
      <c r="G3" s="335"/>
      <c r="H3" s="336"/>
      <c r="I3" s="336"/>
      <c r="J3" s="336"/>
      <c r="K3" s="336"/>
      <c r="L3" s="336"/>
      <c r="M3" s="336"/>
    </row>
    <row r="4" customFormat="false" ht="14.4" hidden="false" customHeight="false" outlineLevel="0" collapsed="false">
      <c r="A4" s="334" t="n">
        <v>3</v>
      </c>
      <c r="B4" s="335" t="s">
        <v>1383</v>
      </c>
      <c r="C4" s="335"/>
      <c r="D4" s="335"/>
      <c r="E4" s="335"/>
      <c r="F4" s="335"/>
      <c r="G4" s="335"/>
      <c r="H4" s="336"/>
      <c r="I4" s="336"/>
      <c r="J4" s="336"/>
      <c r="K4" s="336"/>
      <c r="L4" s="336"/>
      <c r="M4" s="336"/>
    </row>
    <row r="5" customFormat="false" ht="14.4" hidden="false" customHeight="false" outlineLevel="0" collapsed="false">
      <c r="A5" s="334" t="n">
        <v>4</v>
      </c>
      <c r="B5" s="337" t="s">
        <v>208</v>
      </c>
      <c r="C5" s="337"/>
      <c r="D5" s="337"/>
      <c r="E5" s="337"/>
      <c r="F5" s="337"/>
      <c r="G5" s="337"/>
      <c r="H5" s="336" t="n">
        <v>58018</v>
      </c>
      <c r="I5" s="336" t="n">
        <v>58019</v>
      </c>
      <c r="J5" s="336" t="n">
        <v>58020</v>
      </c>
      <c r="K5" s="336" t="n">
        <v>58021</v>
      </c>
      <c r="L5" s="336" t="n">
        <v>58022</v>
      </c>
      <c r="M5" s="336" t="n">
        <v>58023</v>
      </c>
    </row>
    <row r="6" customFormat="false" ht="14.4" hidden="false" customHeight="false" outlineLevel="0" collapsed="false">
      <c r="A6" s="334" t="n">
        <v>5</v>
      </c>
      <c r="B6" s="337" t="s">
        <v>1384</v>
      </c>
      <c r="C6" s="337"/>
      <c r="D6" s="337"/>
      <c r="E6" s="337"/>
      <c r="F6" s="337"/>
      <c r="G6" s="337"/>
      <c r="H6" s="336" t="n">
        <v>58238</v>
      </c>
      <c r="I6" s="336" t="n">
        <v>58239</v>
      </c>
      <c r="J6" s="336" t="n">
        <v>58240</v>
      </c>
      <c r="K6" s="336" t="n">
        <v>58241</v>
      </c>
      <c r="L6" s="336" t="n">
        <v>58241</v>
      </c>
      <c r="M6" s="336" t="n">
        <v>58243</v>
      </c>
    </row>
    <row r="7" customFormat="false" ht="14.4" hidden="false" customHeight="false" outlineLevel="0" collapsed="false">
      <c r="A7" s="334" t="n">
        <v>6</v>
      </c>
      <c r="B7" s="337" t="s">
        <v>1385</v>
      </c>
      <c r="C7" s="337"/>
      <c r="D7" s="337"/>
      <c r="E7" s="337"/>
      <c r="F7" s="337"/>
      <c r="G7" s="337"/>
      <c r="H7" s="336" t="n">
        <v>58268</v>
      </c>
      <c r="I7" s="336" t="n">
        <v>58269</v>
      </c>
      <c r="J7" s="336" t="n">
        <v>58270</v>
      </c>
      <c r="K7" s="336" t="n">
        <v>58271</v>
      </c>
      <c r="L7" s="336" t="n">
        <v>58272</v>
      </c>
      <c r="M7" s="336" t="n">
        <v>58273</v>
      </c>
    </row>
    <row r="8" customFormat="false" ht="14.4" hidden="false" customHeight="false" outlineLevel="0" collapsed="false">
      <c r="A8" s="334" t="n">
        <v>8</v>
      </c>
      <c r="B8" s="337" t="s">
        <v>220</v>
      </c>
      <c r="C8" s="337"/>
      <c r="D8" s="337"/>
      <c r="E8" s="337"/>
      <c r="F8" s="337"/>
      <c r="G8" s="337"/>
      <c r="H8" s="336" t="n">
        <v>58028</v>
      </c>
      <c r="I8" s="336" t="n">
        <v>58029</v>
      </c>
      <c r="J8" s="336" t="n">
        <v>58030</v>
      </c>
      <c r="K8" s="336" t="n">
        <v>58031</v>
      </c>
      <c r="L8" s="336" t="n">
        <v>58032</v>
      </c>
      <c r="M8" s="336" t="n">
        <v>58033</v>
      </c>
    </row>
    <row r="9" customFormat="false" ht="14.4" hidden="false" customHeight="false" outlineLevel="0" collapsed="false">
      <c r="A9" s="334" t="n">
        <v>7</v>
      </c>
      <c r="B9" s="337" t="s">
        <v>1386</v>
      </c>
      <c r="C9" s="337"/>
      <c r="D9" s="337"/>
      <c r="E9" s="337"/>
      <c r="F9" s="337"/>
      <c r="G9" s="337"/>
      <c r="H9" s="336" t="n">
        <v>58408</v>
      </c>
      <c r="I9" s="336" t="n">
        <v>58409</v>
      </c>
      <c r="J9" s="336" t="n">
        <v>58410</v>
      </c>
      <c r="K9" s="336" t="n">
        <v>58411</v>
      </c>
      <c r="L9" s="336" t="n">
        <v>58412</v>
      </c>
      <c r="M9" s="336" t="n">
        <v>58413</v>
      </c>
    </row>
    <row r="10" customFormat="false" ht="14.4" hidden="false" customHeight="false" outlineLevel="0" collapsed="false">
      <c r="A10" s="334" t="n">
        <v>9</v>
      </c>
      <c r="B10" s="337" t="s">
        <v>1387</v>
      </c>
      <c r="C10" s="337"/>
      <c r="D10" s="337"/>
      <c r="E10" s="337"/>
      <c r="F10" s="337"/>
      <c r="G10" s="337"/>
      <c r="H10" s="336" t="n">
        <v>58278</v>
      </c>
      <c r="I10" s="336" t="n">
        <v>58279</v>
      </c>
      <c r="J10" s="336" t="n">
        <v>58280</v>
      </c>
      <c r="K10" s="336" t="n">
        <v>58281</v>
      </c>
      <c r="L10" s="336" t="n">
        <v>58282</v>
      </c>
      <c r="M10" s="336" t="n">
        <v>58283</v>
      </c>
    </row>
    <row r="11" customFormat="false" ht="14.4" hidden="false" customHeight="false" outlineLevel="0" collapsed="false">
      <c r="A11" s="334" t="n">
        <v>10</v>
      </c>
      <c r="B11" s="337" t="s">
        <v>1388</v>
      </c>
      <c r="C11" s="337"/>
      <c r="D11" s="337"/>
      <c r="E11" s="337"/>
      <c r="F11" s="337"/>
      <c r="G11" s="337"/>
      <c r="H11" s="336" t="n">
        <v>58288</v>
      </c>
      <c r="I11" s="336" t="n">
        <v>58289</v>
      </c>
      <c r="J11" s="336" t="n">
        <v>58290</v>
      </c>
      <c r="K11" s="336" t="n">
        <v>58291</v>
      </c>
      <c r="L11" s="336" t="n">
        <v>58292</v>
      </c>
      <c r="M11" s="336" t="n">
        <v>58293</v>
      </c>
    </row>
    <row r="12" customFormat="false" ht="14.4" hidden="false" customHeight="false" outlineLevel="0" collapsed="false">
      <c r="A12" s="334" t="n">
        <v>11</v>
      </c>
      <c r="B12" s="337" t="s">
        <v>232</v>
      </c>
      <c r="C12" s="337"/>
      <c r="D12" s="337"/>
      <c r="E12" s="337"/>
      <c r="F12" s="337"/>
      <c r="G12" s="337"/>
      <c r="H12" s="336" t="n">
        <v>58038</v>
      </c>
      <c r="I12" s="336" t="n">
        <v>58039</v>
      </c>
      <c r="J12" s="336" t="n">
        <v>58040</v>
      </c>
      <c r="K12" s="336" t="n">
        <v>58041</v>
      </c>
      <c r="L12" s="336" t="n">
        <v>58042</v>
      </c>
      <c r="M12" s="336" t="n">
        <v>58043</v>
      </c>
    </row>
    <row r="13" customFormat="false" ht="14.4" hidden="false" customHeight="false" outlineLevel="0" collapsed="false">
      <c r="A13" s="334" t="n">
        <v>12</v>
      </c>
      <c r="B13" s="337" t="s">
        <v>1389</v>
      </c>
      <c r="C13" s="337"/>
      <c r="D13" s="337"/>
      <c r="E13" s="337"/>
      <c r="F13" s="337"/>
      <c r="G13" s="337"/>
      <c r="H13" s="336" t="n">
        <v>58128</v>
      </c>
      <c r="I13" s="336" t="n">
        <v>58129</v>
      </c>
      <c r="J13" s="336" t="n">
        <v>58130</v>
      </c>
      <c r="K13" s="336" t="n">
        <v>58131</v>
      </c>
      <c r="L13" s="336" t="n">
        <v>58132</v>
      </c>
      <c r="M13" s="336" t="n">
        <v>58133</v>
      </c>
    </row>
    <row r="14" customFormat="false" ht="14.4" hidden="false" customHeight="false" outlineLevel="0" collapsed="false">
      <c r="A14" s="334" t="n">
        <v>13</v>
      </c>
      <c r="B14" s="337" t="s">
        <v>243</v>
      </c>
      <c r="C14" s="337"/>
      <c r="D14" s="337"/>
      <c r="E14" s="337"/>
      <c r="F14" s="337"/>
      <c r="G14" s="337"/>
      <c r="H14" s="336" t="n">
        <v>58048</v>
      </c>
      <c r="I14" s="336" t="n">
        <v>58049</v>
      </c>
      <c r="J14" s="336" t="n">
        <v>58050</v>
      </c>
      <c r="K14" s="336" t="n">
        <v>58051</v>
      </c>
      <c r="L14" s="336" t="n">
        <v>58052</v>
      </c>
      <c r="M14" s="336" t="n">
        <v>58053</v>
      </c>
    </row>
    <row r="15" customFormat="false" ht="14.4" hidden="false" customHeight="false" outlineLevel="0" collapsed="false">
      <c r="A15" s="334" t="n">
        <v>15</v>
      </c>
      <c r="B15" s="337" t="s">
        <v>875</v>
      </c>
      <c r="C15" s="337"/>
      <c r="D15" s="337"/>
      <c r="E15" s="337"/>
      <c r="F15" s="337"/>
      <c r="G15" s="337"/>
      <c r="H15" s="336" t="n">
        <v>58378</v>
      </c>
      <c r="I15" s="336" t="n">
        <v>58379</v>
      </c>
      <c r="J15" s="336" t="n">
        <v>58380</v>
      </c>
      <c r="K15" s="336" t="n">
        <v>58381</v>
      </c>
      <c r="L15" s="336" t="n">
        <v>58382</v>
      </c>
      <c r="M15" s="336" t="n">
        <v>58383</v>
      </c>
    </row>
    <row r="16" customFormat="false" ht="14.4" hidden="false" customHeight="false" outlineLevel="0" collapsed="false">
      <c r="A16" s="334" t="n">
        <v>14</v>
      </c>
      <c r="B16" s="337" t="s">
        <v>1390</v>
      </c>
      <c r="C16" s="337"/>
      <c r="D16" s="337"/>
      <c r="E16" s="337"/>
      <c r="F16" s="337"/>
      <c r="G16" s="337"/>
      <c r="H16" s="336" t="n">
        <v>58118</v>
      </c>
      <c r="I16" s="336" t="n">
        <v>58119</v>
      </c>
      <c r="J16" s="336" t="n">
        <v>58120</v>
      </c>
      <c r="K16" s="336" t="n">
        <v>58121</v>
      </c>
      <c r="L16" s="336" t="n">
        <v>58122</v>
      </c>
      <c r="M16" s="336" t="n">
        <v>58123</v>
      </c>
    </row>
    <row r="17" customFormat="false" ht="14.4" hidden="false" customHeight="false" outlineLevel="0" collapsed="false">
      <c r="A17" s="334" t="n">
        <v>16</v>
      </c>
      <c r="B17" s="337" t="s">
        <v>1391</v>
      </c>
      <c r="C17" s="337"/>
      <c r="D17" s="337"/>
      <c r="E17" s="337"/>
      <c r="F17" s="337"/>
      <c r="G17" s="337"/>
      <c r="H17" s="336" t="n">
        <v>58204</v>
      </c>
      <c r="I17" s="336" t="n">
        <v>58205</v>
      </c>
      <c r="J17" s="336" t="n">
        <v>58206</v>
      </c>
      <c r="K17" s="336" t="n">
        <v>58848</v>
      </c>
      <c r="L17" s="336" t="n">
        <v>58208</v>
      </c>
      <c r="M17" s="336" t="n">
        <v>58209</v>
      </c>
    </row>
    <row r="18" customFormat="false" ht="14.4" hidden="false" customHeight="false" outlineLevel="0" collapsed="false">
      <c r="A18" s="334" t="n">
        <v>17</v>
      </c>
      <c r="B18" s="337" t="s">
        <v>1392</v>
      </c>
      <c r="C18" s="337"/>
      <c r="D18" s="337"/>
      <c r="E18" s="337"/>
      <c r="F18" s="337"/>
      <c r="G18" s="337"/>
      <c r="H18" s="336" t="n">
        <v>58308</v>
      </c>
      <c r="I18" s="336" t="n">
        <v>58309</v>
      </c>
      <c r="J18" s="336" t="n">
        <v>58310</v>
      </c>
      <c r="K18" s="336" t="n">
        <v>58059</v>
      </c>
      <c r="L18" s="336" t="n">
        <v>58312</v>
      </c>
      <c r="M18" s="336" t="n">
        <v>58313</v>
      </c>
    </row>
    <row r="19" customFormat="false" ht="14.4" hidden="false" customHeight="false" outlineLevel="0" collapsed="false">
      <c r="A19" s="334" t="n">
        <v>18</v>
      </c>
      <c r="B19" s="337" t="s">
        <v>879</v>
      </c>
      <c r="C19" s="337"/>
      <c r="D19" s="337"/>
      <c r="E19" s="337"/>
      <c r="F19" s="337"/>
      <c r="G19" s="337"/>
      <c r="H19" s="336" t="n">
        <v>58348</v>
      </c>
      <c r="I19" s="336" t="n">
        <v>58349</v>
      </c>
      <c r="J19" s="336" t="n">
        <v>58350</v>
      </c>
      <c r="K19" s="336" t="n">
        <v>58351</v>
      </c>
      <c r="L19" s="336" t="n">
        <v>58352</v>
      </c>
      <c r="M19" s="336" t="n">
        <v>58353</v>
      </c>
    </row>
    <row r="20" customFormat="false" ht="14.4" hidden="false" customHeight="false" outlineLevel="0" collapsed="false">
      <c r="A20" s="334" t="n">
        <v>19</v>
      </c>
      <c r="B20" s="337" t="s">
        <v>1393</v>
      </c>
      <c r="C20" s="337"/>
      <c r="D20" s="337"/>
      <c r="E20" s="337"/>
      <c r="F20" s="337"/>
      <c r="G20" s="337"/>
      <c r="H20" s="336" t="n">
        <v>58928</v>
      </c>
      <c r="I20" s="336" t="n">
        <v>58929</v>
      </c>
      <c r="J20" s="336" t="n">
        <v>58930</v>
      </c>
      <c r="K20" s="336" t="n">
        <v>58894</v>
      </c>
      <c r="L20" s="336" t="n">
        <v>58932</v>
      </c>
      <c r="M20" s="336" t="n">
        <v>58933</v>
      </c>
    </row>
    <row r="21" customFormat="false" ht="14.4" hidden="false" customHeight="false" outlineLevel="0" collapsed="false">
      <c r="A21" s="334" t="n">
        <v>21</v>
      </c>
      <c r="B21" s="337" t="s">
        <v>1394</v>
      </c>
      <c r="C21" s="337"/>
      <c r="D21" s="337"/>
      <c r="E21" s="337"/>
      <c r="F21" s="337"/>
      <c r="G21" s="337"/>
      <c r="H21" s="336" t="n">
        <v>58583</v>
      </c>
      <c r="I21" s="336" t="n">
        <v>58584</v>
      </c>
      <c r="J21" s="336" t="n">
        <v>58585</v>
      </c>
      <c r="K21" s="336" t="n">
        <v>58586</v>
      </c>
      <c r="L21" s="336" t="n">
        <v>58587</v>
      </c>
      <c r="M21" s="336" t="n">
        <v>58588</v>
      </c>
    </row>
    <row r="22" customFormat="false" ht="14.4" hidden="false" customHeight="false" outlineLevel="0" collapsed="false">
      <c r="A22" s="334" t="n">
        <v>20</v>
      </c>
      <c r="B22" s="337" t="s">
        <v>1395</v>
      </c>
      <c r="C22" s="337"/>
      <c r="D22" s="337"/>
      <c r="E22" s="337"/>
      <c r="F22" s="337"/>
      <c r="G22" s="337"/>
      <c r="H22" s="336" t="n">
        <v>58546</v>
      </c>
      <c r="I22" s="336" t="n">
        <v>58547</v>
      </c>
      <c r="J22" s="336" t="n">
        <v>58548</v>
      </c>
      <c r="K22" s="336" t="n">
        <v>58071</v>
      </c>
      <c r="L22" s="336" t="n">
        <v>58550</v>
      </c>
      <c r="M22" s="336" t="n">
        <v>58551</v>
      </c>
    </row>
    <row r="23" customFormat="false" ht="14.4" hidden="false" customHeight="false" outlineLevel="0" collapsed="false">
      <c r="A23" s="334" t="n">
        <v>22</v>
      </c>
      <c r="B23" s="337" t="s">
        <v>1396</v>
      </c>
      <c r="C23" s="337"/>
      <c r="D23" s="337"/>
      <c r="E23" s="337"/>
      <c r="F23" s="337"/>
      <c r="G23" s="337"/>
      <c r="H23" s="336" t="n">
        <v>58322</v>
      </c>
      <c r="I23" s="336" t="n">
        <v>58323</v>
      </c>
      <c r="J23" s="336" t="n">
        <v>58324</v>
      </c>
      <c r="K23" s="336" t="n">
        <v>58076</v>
      </c>
      <c r="L23" s="336" t="n">
        <v>58326</v>
      </c>
      <c r="M23" s="336" t="n">
        <v>58327</v>
      </c>
    </row>
    <row r="24" customFormat="false" ht="14.4" hidden="false" customHeight="false" outlineLevel="0" collapsed="false">
      <c r="A24" s="334" t="n">
        <v>23</v>
      </c>
      <c r="B24" s="337" t="s">
        <v>1397</v>
      </c>
      <c r="C24" s="337"/>
      <c r="D24" s="337"/>
      <c r="E24" s="337"/>
      <c r="F24" s="337"/>
      <c r="G24" s="337"/>
      <c r="H24" s="336" t="n">
        <v>58252</v>
      </c>
      <c r="I24" s="336" t="n">
        <v>58253</v>
      </c>
      <c r="J24" s="336" t="n">
        <v>58254</v>
      </c>
      <c r="K24" s="336" t="n">
        <v>58083</v>
      </c>
      <c r="L24" s="336" t="n">
        <v>58256</v>
      </c>
      <c r="M24" s="336" t="n">
        <v>58257</v>
      </c>
    </row>
    <row r="25" customFormat="false" ht="14.4" hidden="false" customHeight="false" outlineLevel="0" collapsed="false">
      <c r="A25" s="334" t="n">
        <v>25</v>
      </c>
      <c r="B25" s="337" t="s">
        <v>258</v>
      </c>
      <c r="C25" s="337"/>
      <c r="D25" s="337"/>
      <c r="E25" s="337"/>
      <c r="F25" s="337"/>
      <c r="G25" s="337"/>
      <c r="H25" s="336"/>
      <c r="I25" s="336"/>
      <c r="J25" s="336" t="n">
        <v>58089</v>
      </c>
      <c r="K25" s="336" t="n">
        <v>58090</v>
      </c>
      <c r="L25" s="336" t="n">
        <v>58091</v>
      </c>
      <c r="M25" s="336" t="n">
        <v>58092</v>
      </c>
    </row>
    <row r="26" customFormat="false" ht="14.4" hidden="false" customHeight="false" outlineLevel="0" collapsed="false">
      <c r="A26" s="334" t="n">
        <v>24</v>
      </c>
      <c r="B26" s="337" t="s">
        <v>886</v>
      </c>
      <c r="C26" s="337"/>
      <c r="D26" s="337"/>
      <c r="E26" s="337"/>
      <c r="F26" s="337"/>
      <c r="G26" s="337"/>
      <c r="H26" s="336"/>
      <c r="I26" s="336" t="n">
        <v>58437</v>
      </c>
      <c r="J26" s="336" t="n">
        <v>58438</v>
      </c>
      <c r="K26" s="336" t="n">
        <v>58439</v>
      </c>
      <c r="L26" s="336" t="n">
        <v>58440</v>
      </c>
      <c r="M26" s="336" t="n">
        <v>58441</v>
      </c>
    </row>
    <row r="27" customFormat="false" ht="14.4" hidden="false" customHeight="false" outlineLevel="0" collapsed="false">
      <c r="A27" s="334" t="n">
        <v>26</v>
      </c>
      <c r="B27" s="337" t="s">
        <v>889</v>
      </c>
      <c r="C27" s="337"/>
      <c r="D27" s="337"/>
      <c r="E27" s="337"/>
      <c r="F27" s="337"/>
      <c r="G27" s="337"/>
      <c r="H27" s="336"/>
      <c r="I27" s="336" t="n">
        <v>58714</v>
      </c>
      <c r="J27" s="336" t="n">
        <v>58715</v>
      </c>
      <c r="K27" s="336" t="n">
        <v>58716</v>
      </c>
      <c r="L27" s="336" t="n">
        <v>58717</v>
      </c>
      <c r="M27" s="336" t="n">
        <v>58718</v>
      </c>
    </row>
    <row r="28" customFormat="false" ht="14.4" hidden="false" customHeight="false" outlineLevel="0" collapsed="false">
      <c r="A28" s="334" t="n">
        <v>27</v>
      </c>
      <c r="B28" s="337" t="s">
        <v>891</v>
      </c>
      <c r="C28" s="337"/>
      <c r="D28" s="337"/>
      <c r="E28" s="337"/>
      <c r="F28" s="337"/>
      <c r="G28" s="337"/>
      <c r="H28" s="336"/>
      <c r="I28" s="336"/>
      <c r="J28" s="336" t="n">
        <v>58195</v>
      </c>
      <c r="K28" s="336" t="n">
        <v>58192</v>
      </c>
      <c r="L28" s="336" t="n">
        <v>58191</v>
      </c>
      <c r="M28" s="336" t="n">
        <v>58190</v>
      </c>
    </row>
    <row r="29" customFormat="false" ht="14.4" hidden="false" customHeight="false" outlineLevel="0" collapsed="false">
      <c r="A29" s="334" t="n">
        <v>28</v>
      </c>
      <c r="B29" s="337" t="s">
        <v>893</v>
      </c>
      <c r="C29" s="337"/>
      <c r="D29" s="337"/>
      <c r="E29" s="337"/>
      <c r="F29" s="337"/>
      <c r="G29" s="337"/>
      <c r="H29" s="336"/>
      <c r="I29" s="336"/>
      <c r="J29" s="336" t="n">
        <v>58109</v>
      </c>
      <c r="K29" s="336" t="n">
        <v>58110</v>
      </c>
      <c r="L29" s="336" t="n">
        <v>58111</v>
      </c>
      <c r="M29" s="336" t="n">
        <v>58112</v>
      </c>
    </row>
    <row r="30" customFormat="false" ht="14.4" hidden="false" customHeight="false" outlineLevel="0" collapsed="false">
      <c r="A30" s="334" t="n">
        <v>29</v>
      </c>
      <c r="B30" s="337" t="s">
        <v>1398</v>
      </c>
      <c r="C30" s="337"/>
      <c r="D30" s="337"/>
      <c r="E30" s="337"/>
      <c r="F30" s="337"/>
      <c r="G30" s="337"/>
      <c r="H30" s="336"/>
      <c r="I30" s="336"/>
      <c r="J30" s="336" t="n">
        <v>58620</v>
      </c>
      <c r="K30" s="336" t="n">
        <v>58617</v>
      </c>
      <c r="L30" s="336" t="n">
        <v>58615</v>
      </c>
      <c r="M30" s="336" t="n">
        <v>58614</v>
      </c>
    </row>
    <row r="31" customFormat="false" ht="14.4" hidden="false" customHeight="false" outlineLevel="0" collapsed="false">
      <c r="A31" s="334" t="n">
        <v>31</v>
      </c>
      <c r="B31" s="337" t="s">
        <v>1399</v>
      </c>
      <c r="C31" s="337"/>
      <c r="D31" s="337"/>
      <c r="E31" s="337"/>
      <c r="F31" s="337"/>
      <c r="G31" s="337"/>
      <c r="H31" s="336"/>
      <c r="I31" s="336"/>
      <c r="J31" s="336" t="n">
        <v>58866</v>
      </c>
      <c r="K31" s="336" t="n">
        <v>58867</v>
      </c>
      <c r="L31" s="336" t="n">
        <v>58868</v>
      </c>
      <c r="M31" s="336" t="n">
        <v>58869</v>
      </c>
    </row>
    <row r="32" customFormat="false" ht="14.4" hidden="false" customHeight="false" outlineLevel="0" collapsed="false">
      <c r="A32" s="334" t="n">
        <v>32</v>
      </c>
      <c r="B32" s="337" t="s">
        <v>1400</v>
      </c>
      <c r="C32" s="337"/>
      <c r="D32" s="337"/>
      <c r="E32" s="337"/>
      <c r="F32" s="337"/>
      <c r="G32" s="337"/>
      <c r="H32" s="336"/>
      <c r="I32" s="336"/>
      <c r="J32" s="336" t="n">
        <v>58906</v>
      </c>
      <c r="K32" s="336" t="n">
        <v>58907</v>
      </c>
      <c r="L32" s="336" t="n">
        <v>58908</v>
      </c>
      <c r="M32" s="336" t="n">
        <v>58909</v>
      </c>
    </row>
    <row r="33" customFormat="false" ht="14.4" hidden="false" customHeight="false" outlineLevel="0" collapsed="false">
      <c r="A33" s="334" t="n">
        <v>33</v>
      </c>
      <c r="B33" s="337" t="s">
        <v>1401</v>
      </c>
      <c r="C33" s="337"/>
      <c r="D33" s="337"/>
      <c r="E33" s="337"/>
      <c r="F33" s="337"/>
      <c r="G33" s="337"/>
      <c r="H33" s="336"/>
      <c r="I33" s="336"/>
      <c r="J33" s="336" t="n">
        <v>58098</v>
      </c>
      <c r="K33" s="336" t="n">
        <v>58099</v>
      </c>
      <c r="L33" s="336" t="n">
        <v>58102</v>
      </c>
      <c r="M33" s="336" t="n">
        <v>58101</v>
      </c>
    </row>
    <row r="34" customFormat="false" ht="14.4" hidden="false" customHeight="false" outlineLevel="0" collapsed="false">
      <c r="A34" s="334" t="n">
        <v>30</v>
      </c>
      <c r="B34" s="337" t="s">
        <v>896</v>
      </c>
      <c r="C34" s="337"/>
      <c r="D34" s="337"/>
      <c r="E34" s="337"/>
      <c r="F34" s="337"/>
      <c r="G34" s="337"/>
      <c r="H34" s="336"/>
      <c r="I34" s="336"/>
      <c r="J34" s="336" t="n">
        <v>58740</v>
      </c>
      <c r="K34" s="336" t="n">
        <v>58737</v>
      </c>
      <c r="L34" s="336" t="n">
        <v>58735</v>
      </c>
      <c r="M34" s="336" t="n">
        <v>58734</v>
      </c>
    </row>
    <row r="35" customFormat="false" ht="14.4" hidden="false" customHeight="false" outlineLevel="0" collapsed="false">
      <c r="A35" s="334" t="n">
        <v>34</v>
      </c>
      <c r="B35" s="337" t="s">
        <v>1402</v>
      </c>
      <c r="C35" s="337"/>
      <c r="D35" s="337"/>
      <c r="E35" s="337"/>
      <c r="F35" s="337"/>
      <c r="G35" s="337"/>
      <c r="H35" s="336"/>
      <c r="I35" s="336"/>
      <c r="J35" s="336" t="n">
        <v>58340</v>
      </c>
      <c r="K35" s="336" t="n">
        <v>58339</v>
      </c>
      <c r="L35" s="336" t="n">
        <v>58337</v>
      </c>
      <c r="M35" s="336" t="n">
        <v>58336</v>
      </c>
    </row>
    <row r="36" customFormat="false" ht="14.4" hidden="false" customHeight="false" outlineLevel="0" collapsed="false">
      <c r="A36" s="334" t="n">
        <v>35</v>
      </c>
      <c r="B36" s="337" t="s">
        <v>1403</v>
      </c>
      <c r="C36" s="337"/>
      <c r="D36" s="337"/>
      <c r="E36" s="337"/>
      <c r="F36" s="337"/>
      <c r="G36" s="337"/>
      <c r="H36" s="336"/>
      <c r="I36" s="336"/>
      <c r="J36" s="336"/>
      <c r="K36" s="336" t="n">
        <v>58167</v>
      </c>
      <c r="L36" s="336" t="n">
        <v>58165</v>
      </c>
      <c r="M36" s="336" t="n">
        <v>58164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O25" activeCellId="0" sqref="O25"/>
    </sheetView>
  </sheetViews>
  <sheetFormatPr defaultRowHeight="14.4" zeroHeight="false" outlineLevelRow="0" outlineLevelCol="0"/>
  <cols>
    <col collapsed="false" customWidth="true" hidden="false" outlineLevel="0" max="3" min="1" style="0" width="8.51"/>
    <col collapsed="false" customWidth="true" hidden="false" outlineLevel="0" max="6" min="4" style="0" width="9.11"/>
    <col collapsed="false" customWidth="true" hidden="false" outlineLevel="0" max="1025" min="7" style="0" width="8.51"/>
  </cols>
  <sheetData>
    <row r="1" customFormat="false" ht="43.2" hidden="false" customHeight="false" outlineLevel="0" collapsed="false">
      <c r="B1" s="338" t="s">
        <v>1296</v>
      </c>
      <c r="C1" s="308" t="s">
        <v>1404</v>
      </c>
      <c r="D1" s="308" t="n">
        <v>173</v>
      </c>
      <c r="E1" s="308" t="n">
        <v>160</v>
      </c>
      <c r="F1" s="308" t="n">
        <v>147</v>
      </c>
      <c r="G1" s="308" t="s">
        <v>1304</v>
      </c>
      <c r="H1" s="308" t="s">
        <v>1405</v>
      </c>
      <c r="I1" s="308" t="s">
        <v>1406</v>
      </c>
      <c r="J1" s="308" t="s">
        <v>1210</v>
      </c>
      <c r="K1" s="308" t="s">
        <v>1211</v>
      </c>
      <c r="L1" s="308" t="s">
        <v>1212</v>
      </c>
    </row>
    <row r="2" customFormat="false" ht="14.4" hidden="false" customHeight="false" outlineLevel="0" collapsed="false">
      <c r="B2" s="339" t="s">
        <v>1381</v>
      </c>
      <c r="C2" s="336" t="n">
        <v>0.000198557987476723</v>
      </c>
      <c r="D2" s="336" t="n">
        <v>0</v>
      </c>
      <c r="E2" s="336" t="n">
        <v>0</v>
      </c>
      <c r="F2" s="336" t="n">
        <v>0</v>
      </c>
      <c r="G2" s="336" t="n">
        <v>0.000198557987476723</v>
      </c>
      <c r="H2" s="336" t="n">
        <v>0.00014621228540714</v>
      </c>
      <c r="I2" s="336" t="n">
        <v>0.000124396501442369</v>
      </c>
      <c r="J2" s="336" t="n">
        <v>0.000101738133291612</v>
      </c>
      <c r="K2" s="336" t="n">
        <v>0</v>
      </c>
      <c r="L2" s="336" t="n">
        <v>0</v>
      </c>
    </row>
    <row r="3" customFormat="false" ht="14.4" hidden="false" customHeight="false" outlineLevel="0" collapsed="false">
      <c r="B3" s="339" t="s">
        <v>1382</v>
      </c>
      <c r="C3" s="336" t="n">
        <v>0.000786480926713359</v>
      </c>
      <c r="D3" s="336" t="n">
        <v>0</v>
      </c>
      <c r="E3" s="336" t="n">
        <v>0</v>
      </c>
      <c r="F3" s="336" t="n">
        <v>0</v>
      </c>
      <c r="G3" s="336" t="n">
        <v>0.000786480926713359</v>
      </c>
      <c r="H3" s="336" t="n">
        <v>0.000569898433807607</v>
      </c>
      <c r="I3" s="336" t="n">
        <v>0.000486100129018063</v>
      </c>
      <c r="J3" s="336" t="n">
        <v>0.000397562065747044</v>
      </c>
      <c r="K3" s="336" t="n">
        <v>0</v>
      </c>
      <c r="L3" s="336" t="n">
        <v>0</v>
      </c>
    </row>
    <row r="4" customFormat="false" ht="14.4" hidden="false" customHeight="false" outlineLevel="0" collapsed="false">
      <c r="B4" s="339" t="s">
        <v>1383</v>
      </c>
      <c r="C4" s="336" t="n">
        <v>0.000831196799093606</v>
      </c>
      <c r="D4" s="336" t="n">
        <v>0</v>
      </c>
      <c r="E4" s="336" t="n">
        <v>0</v>
      </c>
      <c r="F4" s="336" t="n">
        <v>0</v>
      </c>
      <c r="G4" s="336" t="n">
        <v>0.000831196799093606</v>
      </c>
      <c r="H4" s="336" t="n">
        <v>0.000600021562154019</v>
      </c>
      <c r="I4" s="336" t="n">
        <v>0.000506375172774036</v>
      </c>
      <c r="J4" s="336" t="n">
        <v>0.000408460085378395</v>
      </c>
      <c r="K4" s="336" t="n">
        <v>0</v>
      </c>
      <c r="L4" s="336" t="n">
        <v>0</v>
      </c>
    </row>
    <row r="5" customFormat="false" ht="14.4" hidden="false" customHeight="false" outlineLevel="0" collapsed="false">
      <c r="B5" s="339" t="s">
        <v>208</v>
      </c>
      <c r="C5" s="336" t="n">
        <v>0.00201038534143285</v>
      </c>
      <c r="D5" s="336" t="n">
        <v>0</v>
      </c>
      <c r="E5" s="336" t="n">
        <v>0</v>
      </c>
      <c r="F5" s="336" t="n">
        <v>0</v>
      </c>
      <c r="G5" s="336" t="n">
        <v>0.00201038534143285</v>
      </c>
      <c r="H5" s="336" t="n">
        <v>0.00146585238745857</v>
      </c>
      <c r="I5" s="336" t="n">
        <v>0.00123891304141912</v>
      </c>
      <c r="J5" s="336" t="n">
        <v>0.00100044342341683</v>
      </c>
      <c r="K5" s="336" t="n">
        <v>0</v>
      </c>
      <c r="L5" s="336" t="n">
        <v>0</v>
      </c>
    </row>
    <row r="6" customFormat="false" ht="14.4" hidden="false" customHeight="false" outlineLevel="0" collapsed="false">
      <c r="B6" s="339" t="s">
        <v>1384</v>
      </c>
      <c r="C6" s="336" t="n">
        <v>0.00217760209520803</v>
      </c>
      <c r="D6" s="336" t="n">
        <v>0</v>
      </c>
      <c r="E6" s="336" t="n">
        <v>0</v>
      </c>
      <c r="F6" s="336" t="n">
        <v>0</v>
      </c>
      <c r="G6" s="336" t="n">
        <v>0.00217760209520803</v>
      </c>
      <c r="H6" s="336" t="n">
        <v>0.00159267735865592</v>
      </c>
      <c r="I6" s="336" t="n">
        <v>0.00132539402809436</v>
      </c>
      <c r="J6" s="336" t="n">
        <v>0.00108700139435918</v>
      </c>
      <c r="K6" s="336" t="n">
        <v>0</v>
      </c>
      <c r="L6" s="336" t="n">
        <v>0</v>
      </c>
    </row>
    <row r="7" customFormat="false" ht="14.4" hidden="false" customHeight="false" outlineLevel="0" collapsed="false">
      <c r="B7" s="339" t="s">
        <v>1385</v>
      </c>
      <c r="C7" s="336" t="n">
        <v>0.00366666769795252</v>
      </c>
      <c r="D7" s="336" t="n">
        <v>0</v>
      </c>
      <c r="E7" s="336" t="n">
        <v>0</v>
      </c>
      <c r="F7" s="336" t="n">
        <v>0</v>
      </c>
      <c r="G7" s="336" t="n">
        <v>0.00366666769795252</v>
      </c>
      <c r="H7" s="336" t="n">
        <v>0.00266442681416481</v>
      </c>
      <c r="I7" s="336" t="n">
        <v>0.00226208222986702</v>
      </c>
      <c r="J7" s="336" t="n">
        <v>0.00184018864661295</v>
      </c>
      <c r="K7" s="336" t="n">
        <v>0</v>
      </c>
      <c r="L7" s="336" t="n">
        <v>0</v>
      </c>
    </row>
    <row r="8" customFormat="false" ht="14.4" hidden="false" customHeight="false" outlineLevel="0" collapsed="false">
      <c r="B8" s="339" t="s">
        <v>220</v>
      </c>
      <c r="C8" s="336" t="n">
        <v>0.00998605769254315</v>
      </c>
      <c r="D8" s="336" t="n">
        <v>0</v>
      </c>
      <c r="E8" s="336" t="n">
        <v>0</v>
      </c>
      <c r="F8" s="336" t="n">
        <v>0</v>
      </c>
      <c r="G8" s="336" t="n">
        <v>0.00998605769254315</v>
      </c>
      <c r="H8" s="336" t="n">
        <v>0.00732538692632045</v>
      </c>
      <c r="I8" s="336" t="n">
        <v>0.00628855960020719</v>
      </c>
      <c r="J8" s="336" t="n">
        <v>0.00516077976764181</v>
      </c>
      <c r="K8" s="336" t="n">
        <v>0</v>
      </c>
      <c r="L8" s="336" t="n">
        <v>0</v>
      </c>
    </row>
    <row r="9" customFormat="false" ht="14.4" hidden="false" customHeight="false" outlineLevel="0" collapsed="false">
      <c r="B9" s="339" t="s">
        <v>1386</v>
      </c>
      <c r="C9" s="336" t="n">
        <v>0.0135621814210545</v>
      </c>
      <c r="D9" s="336" t="n">
        <v>0</v>
      </c>
      <c r="E9" s="336" t="n">
        <v>0</v>
      </c>
      <c r="F9" s="336" t="n">
        <v>0</v>
      </c>
      <c r="G9" s="336" t="n">
        <v>0.0135621814210545</v>
      </c>
      <c r="H9" s="336" t="n">
        <v>0.0100385969518861</v>
      </c>
      <c r="I9" s="336" t="n">
        <v>0.00866096340282673</v>
      </c>
      <c r="J9" s="336" t="n">
        <v>0.00693934863140105</v>
      </c>
      <c r="K9" s="336" t="n">
        <v>0</v>
      </c>
      <c r="L9" s="336" t="n">
        <v>0</v>
      </c>
    </row>
    <row r="10" customFormat="false" ht="14.4" hidden="false" customHeight="false" outlineLevel="0" collapsed="false">
      <c r="B10" s="339" t="s">
        <v>1387</v>
      </c>
      <c r="C10" s="336" t="n">
        <v>0.0233085932906131</v>
      </c>
      <c r="D10" s="336" t="n">
        <v>0</v>
      </c>
      <c r="E10" s="336" t="n">
        <v>0</v>
      </c>
      <c r="F10" s="336" t="n">
        <v>0</v>
      </c>
      <c r="G10" s="336" t="n">
        <v>0.0233085932906131</v>
      </c>
      <c r="H10" s="336" t="n">
        <v>0.0174882618326304</v>
      </c>
      <c r="I10" s="336" t="n">
        <v>0.0151908027611301</v>
      </c>
      <c r="J10" s="336" t="n">
        <v>0.0121479004182649</v>
      </c>
      <c r="K10" s="336" t="n">
        <v>0</v>
      </c>
      <c r="L10" s="336" t="n">
        <v>0</v>
      </c>
    </row>
    <row r="11" customFormat="false" ht="14.4" hidden="false" customHeight="false" outlineLevel="0" collapsed="false">
      <c r="B11" s="339" t="s">
        <v>1388</v>
      </c>
      <c r="C11" s="336" t="n">
        <v>0.0290257954184993</v>
      </c>
      <c r="D11" s="336" t="n">
        <v>0</v>
      </c>
      <c r="E11" s="336" t="n">
        <v>0</v>
      </c>
      <c r="F11" s="336" t="n">
        <v>0</v>
      </c>
      <c r="G11" s="336" t="n">
        <v>0.0290257954184993</v>
      </c>
      <c r="H11" s="336" t="n">
        <v>0.0220904359991121</v>
      </c>
      <c r="I11" s="336" t="n">
        <v>0.0189885034514126</v>
      </c>
      <c r="J11" s="336" t="n">
        <v>0.0155493125353791</v>
      </c>
      <c r="K11" s="336" t="n">
        <v>0</v>
      </c>
      <c r="L11" s="336" t="n">
        <v>0</v>
      </c>
    </row>
    <row r="12" customFormat="false" ht="14.4" hidden="false" customHeight="false" outlineLevel="0" collapsed="false">
      <c r="B12" s="339" t="s">
        <v>232</v>
      </c>
      <c r="C12" s="336" t="n">
        <v>0.0380578661503808</v>
      </c>
      <c r="D12" s="336" t="n">
        <v>0</v>
      </c>
      <c r="E12" s="336" t="n">
        <v>0</v>
      </c>
      <c r="F12" s="336" t="n">
        <v>0</v>
      </c>
      <c r="G12" s="336" t="n">
        <v>0.0380578661503808</v>
      </c>
      <c r="H12" s="336" t="n">
        <v>0.0291847081747858</v>
      </c>
      <c r="I12" s="336" t="n">
        <v>0.0251636890006643</v>
      </c>
      <c r="J12" s="336" t="n">
        <v>0.0206641168803301</v>
      </c>
      <c r="K12" s="336" t="n">
        <v>0</v>
      </c>
      <c r="L12" s="336" t="n">
        <v>0</v>
      </c>
    </row>
    <row r="13" customFormat="false" ht="14.4" hidden="false" customHeight="false" outlineLevel="0" collapsed="false">
      <c r="B13" s="339" t="s">
        <v>1389</v>
      </c>
      <c r="C13" s="336" t="n">
        <v>0.076001737530448</v>
      </c>
      <c r="D13" s="336" t="n">
        <v>0</v>
      </c>
      <c r="E13" s="336" t="n">
        <v>0</v>
      </c>
      <c r="F13" s="336" t="n">
        <v>0</v>
      </c>
      <c r="G13" s="336" t="n">
        <v>0.076001737530448</v>
      </c>
      <c r="H13" s="336" t="n">
        <v>0.0599445635918849</v>
      </c>
      <c r="I13" s="336" t="n">
        <v>0.0530164485017413</v>
      </c>
      <c r="J13" s="336" t="n">
        <v>0.0448735273369676</v>
      </c>
      <c r="K13" s="336" t="n">
        <v>0</v>
      </c>
      <c r="L13" s="336" t="n">
        <v>0</v>
      </c>
    </row>
    <row r="14" customFormat="false" ht="14.4" hidden="false" customHeight="false" outlineLevel="0" collapsed="false">
      <c r="B14" s="339" t="s">
        <v>243</v>
      </c>
      <c r="C14" s="336" t="n">
        <v>0.145546188369455</v>
      </c>
      <c r="D14" s="336" t="n">
        <v>0</v>
      </c>
      <c r="E14" s="336" t="n">
        <v>0</v>
      </c>
      <c r="F14" s="336" t="n">
        <v>0</v>
      </c>
      <c r="G14" s="336" t="n">
        <v>0.145546188369455</v>
      </c>
      <c r="H14" s="336" t="n">
        <v>0.118439976309589</v>
      </c>
      <c r="I14" s="336" t="n">
        <v>0.10688305976758</v>
      </c>
      <c r="J14" s="336" t="n">
        <v>0.0894519057920859</v>
      </c>
      <c r="K14" s="336" t="n">
        <v>0</v>
      </c>
      <c r="L14" s="336" t="n">
        <v>0</v>
      </c>
    </row>
    <row r="15" customFormat="false" ht="14.4" hidden="false" customHeight="false" outlineLevel="0" collapsed="false">
      <c r="B15" s="339" t="s">
        <v>875</v>
      </c>
      <c r="C15" s="336" t="n">
        <v>0.488463530714541</v>
      </c>
      <c r="D15" s="336" t="n">
        <v>0</v>
      </c>
      <c r="E15" s="336" t="n">
        <v>0</v>
      </c>
      <c r="F15" s="336" t="n">
        <v>0</v>
      </c>
      <c r="G15" s="336" t="n">
        <v>0.488463530714541</v>
      </c>
      <c r="H15" s="336" t="n">
        <v>0.411887362844331</v>
      </c>
      <c r="I15" s="336" t="n">
        <v>0.365181886575507</v>
      </c>
      <c r="J15" s="336" t="n">
        <v>0.31521815139229</v>
      </c>
      <c r="K15" s="336" t="n">
        <v>0</v>
      </c>
      <c r="L15" s="336" t="n">
        <v>0</v>
      </c>
    </row>
    <row r="16" customFormat="false" ht="14.4" hidden="false" customHeight="false" outlineLevel="0" collapsed="false">
      <c r="B16" s="339" t="s">
        <v>1390</v>
      </c>
      <c r="C16" s="336" t="n">
        <v>0.52167343019674</v>
      </c>
      <c r="D16" s="336" t="n">
        <v>0</v>
      </c>
      <c r="E16" s="336" t="n">
        <v>0</v>
      </c>
      <c r="F16" s="336" t="n">
        <v>0</v>
      </c>
      <c r="G16" s="336" t="n">
        <v>0.52167343019674</v>
      </c>
      <c r="H16" s="336" t="n">
        <v>0.47064195573833</v>
      </c>
      <c r="I16" s="336" t="n">
        <v>0.424111490529542</v>
      </c>
      <c r="J16" s="336" t="n">
        <v>0.375133916524663</v>
      </c>
      <c r="K16" s="336" t="n">
        <v>0</v>
      </c>
      <c r="L16" s="336" t="n">
        <v>0</v>
      </c>
    </row>
    <row r="17" customFormat="false" ht="14.4" hidden="false" customHeight="false" outlineLevel="0" collapsed="false">
      <c r="B17" s="339" t="s">
        <v>1391</v>
      </c>
      <c r="C17" s="336" t="n">
        <v>0.990461411605911</v>
      </c>
      <c r="D17" s="336" t="n">
        <v>0</v>
      </c>
      <c r="E17" s="336" t="n">
        <v>0</v>
      </c>
      <c r="F17" s="336" t="n">
        <v>0</v>
      </c>
      <c r="G17" s="336" t="n">
        <v>0.876746048922305</v>
      </c>
      <c r="H17" s="336" t="n">
        <v>0.990461411605911</v>
      </c>
      <c r="I17" s="336" t="n">
        <v>0.928150010658654</v>
      </c>
      <c r="J17" s="336" t="n">
        <v>0.81562036844672</v>
      </c>
      <c r="K17" s="336" t="n">
        <v>0.604235351498299</v>
      </c>
      <c r="L17" s="336" t="n">
        <v>0</v>
      </c>
    </row>
    <row r="18" customFormat="false" ht="14.4" hidden="false" customHeight="false" outlineLevel="0" collapsed="false">
      <c r="B18" s="339" t="s">
        <v>1392</v>
      </c>
      <c r="C18" s="336" t="n">
        <v>1.86896337701933</v>
      </c>
      <c r="D18" s="336" t="n">
        <v>0</v>
      </c>
      <c r="E18" s="336" t="n">
        <v>0</v>
      </c>
      <c r="F18" s="336" t="n">
        <v>0</v>
      </c>
      <c r="G18" s="336" t="n">
        <v>1.43991868469584</v>
      </c>
      <c r="H18" s="336" t="n">
        <v>1.86896337701933</v>
      </c>
      <c r="I18" s="336" t="n">
        <v>1.76162349475079</v>
      </c>
      <c r="J18" s="336" t="n">
        <v>1.60800617036655</v>
      </c>
      <c r="K18" s="336" t="n">
        <v>1.24771328181073</v>
      </c>
      <c r="L18" s="336" t="n">
        <v>0.889177871119621</v>
      </c>
    </row>
    <row r="19" customFormat="false" ht="14.4" hidden="false" customHeight="false" outlineLevel="0" collapsed="false">
      <c r="B19" s="339" t="s">
        <v>879</v>
      </c>
      <c r="C19" s="336" t="n">
        <v>2.41019912948319</v>
      </c>
      <c r="D19" s="336" t="n">
        <v>0</v>
      </c>
      <c r="E19" s="336" t="n">
        <v>0</v>
      </c>
      <c r="F19" s="336" t="n">
        <v>0</v>
      </c>
      <c r="G19" s="336" t="n">
        <v>1.80664694595582</v>
      </c>
      <c r="H19" s="336" t="n">
        <v>2.41019912948319</v>
      </c>
      <c r="I19" s="336" t="n">
        <v>2.27279958500148</v>
      </c>
      <c r="J19" s="336" t="n">
        <v>2.11698973392407</v>
      </c>
      <c r="K19" s="336" t="n">
        <v>1.63027283297409</v>
      </c>
      <c r="L19" s="336" t="n">
        <v>1.1498409906886</v>
      </c>
    </row>
    <row r="20" customFormat="false" ht="14.4" hidden="false" customHeight="false" outlineLevel="0" collapsed="false">
      <c r="B20" s="339" t="s">
        <v>1393</v>
      </c>
      <c r="C20" s="336" t="n">
        <v>4.02273151806407</v>
      </c>
      <c r="D20" s="336" t="n">
        <v>0</v>
      </c>
      <c r="E20" s="336" t="n">
        <v>0</v>
      </c>
      <c r="F20" s="336" t="n">
        <v>0</v>
      </c>
      <c r="G20" s="336" t="n">
        <v>3.15047794021387</v>
      </c>
      <c r="H20" s="336" t="n">
        <v>4.02273151806407</v>
      </c>
      <c r="I20" s="336" t="n">
        <v>3.79163439576917</v>
      </c>
      <c r="J20" s="336" t="n">
        <v>3.46137858284084</v>
      </c>
      <c r="K20" s="336" t="n">
        <v>2.64967779645107</v>
      </c>
      <c r="L20" s="336" t="n">
        <v>1.84262063808054</v>
      </c>
    </row>
    <row r="21" customFormat="false" ht="14.4" hidden="false" customHeight="false" outlineLevel="0" collapsed="false">
      <c r="B21" s="339" t="s">
        <v>1394</v>
      </c>
      <c r="C21" s="336" t="n">
        <v>7.96575699811735</v>
      </c>
      <c r="D21" s="336" t="n">
        <v>0</v>
      </c>
      <c r="E21" s="336" t="n">
        <v>0</v>
      </c>
      <c r="F21" s="336" t="n">
        <v>0</v>
      </c>
      <c r="G21" s="336" t="n">
        <v>3.14921638197645</v>
      </c>
      <c r="H21" s="336" t="n">
        <v>4.8756679216944</v>
      </c>
      <c r="I21" s="336" t="n">
        <v>5.757662482047</v>
      </c>
      <c r="J21" s="336" t="n">
        <v>7.96575699811735</v>
      </c>
      <c r="K21" s="336" t="n">
        <v>7.17332150686334</v>
      </c>
      <c r="L21" s="336" t="n">
        <v>5.48795310522361</v>
      </c>
    </row>
    <row r="22" customFormat="false" ht="14.4" hidden="false" customHeight="false" outlineLevel="0" collapsed="false">
      <c r="B22" s="339" t="s">
        <v>1395</v>
      </c>
      <c r="C22" s="336" t="n">
        <v>8.09371964211706</v>
      </c>
      <c r="D22" s="336" t="n">
        <v>0</v>
      </c>
      <c r="E22" s="336" t="n">
        <v>0</v>
      </c>
      <c r="F22" s="336" t="n">
        <v>0</v>
      </c>
      <c r="G22" s="336" t="n">
        <v>4.18776083308882</v>
      </c>
      <c r="H22" s="336" t="n">
        <v>6.43877715151399</v>
      </c>
      <c r="I22" s="336" t="n">
        <v>7.70131125550005</v>
      </c>
      <c r="J22" s="336" t="n">
        <v>8.09371964211706</v>
      </c>
      <c r="K22" s="336" t="n">
        <v>6.88178102714262</v>
      </c>
      <c r="L22" s="336" t="n">
        <v>5.375188515276</v>
      </c>
    </row>
    <row r="23" customFormat="false" ht="14.4" hidden="false" customHeight="false" outlineLevel="0" collapsed="false">
      <c r="B23" s="339" t="s">
        <v>1396</v>
      </c>
      <c r="C23" s="336" t="n">
        <v>10.5221834439949</v>
      </c>
      <c r="D23" s="336" t="n">
        <v>0</v>
      </c>
      <c r="E23" s="336" t="n">
        <v>0</v>
      </c>
      <c r="F23" s="336" t="n">
        <v>0</v>
      </c>
      <c r="G23" s="336" t="n">
        <v>4.69534896409365</v>
      </c>
      <c r="H23" s="336" t="n">
        <v>7.23344446587871</v>
      </c>
      <c r="I23" s="336" t="n">
        <v>8.63282599839392</v>
      </c>
      <c r="J23" s="336" t="n">
        <v>10.5221834439949</v>
      </c>
      <c r="K23" s="336" t="n">
        <v>9.1620711839897</v>
      </c>
      <c r="L23" s="336" t="n">
        <v>6.95128568823855</v>
      </c>
    </row>
    <row r="24" customFormat="false" ht="14.4" hidden="false" customHeight="false" outlineLevel="0" collapsed="false">
      <c r="B24" s="339" t="s">
        <v>1397</v>
      </c>
      <c r="C24" s="336" t="n">
        <v>19.8130007580451</v>
      </c>
      <c r="D24" s="336" t="n">
        <v>0</v>
      </c>
      <c r="E24" s="336" t="n">
        <v>0</v>
      </c>
      <c r="F24" s="336" t="n">
        <v>0</v>
      </c>
      <c r="G24" s="336" t="n">
        <v>8.09522303347403</v>
      </c>
      <c r="H24" s="336" t="n">
        <v>12.5109059504738</v>
      </c>
      <c r="I24" s="336" t="n">
        <v>14.95594449574</v>
      </c>
      <c r="J24" s="336" t="n">
        <v>19.8130007580451</v>
      </c>
      <c r="K24" s="336" t="n">
        <v>17.8609571078487</v>
      </c>
      <c r="L24" s="336" t="n">
        <v>13.7402670554817</v>
      </c>
    </row>
    <row r="25" customFormat="false" ht="14.4" hidden="false" customHeight="false" outlineLevel="0" collapsed="false">
      <c r="B25" s="339" t="s">
        <v>258</v>
      </c>
      <c r="C25" s="336" t="n">
        <v>34.812356584819</v>
      </c>
      <c r="D25" s="336" t="n">
        <v>0</v>
      </c>
      <c r="E25" s="336" t="n">
        <v>0</v>
      </c>
      <c r="F25" s="336" t="n">
        <v>0</v>
      </c>
      <c r="G25" s="336" t="n">
        <v>11.9814332278307</v>
      </c>
      <c r="H25" s="336" t="n">
        <v>18.4876874859967</v>
      </c>
      <c r="I25" s="336" t="n">
        <v>22.1332648678918</v>
      </c>
      <c r="J25" s="336" t="n">
        <v>31.0997355215232</v>
      </c>
      <c r="K25" s="336" t="n">
        <v>34.812356584819</v>
      </c>
      <c r="L25" s="336" t="n">
        <v>28.1583278291344</v>
      </c>
    </row>
    <row r="26" customFormat="false" ht="14.4" hidden="false" customHeight="false" outlineLevel="0" collapsed="false">
      <c r="B26" s="339" t="s">
        <v>886</v>
      </c>
      <c r="C26" s="336" t="n">
        <v>35.4648641585166</v>
      </c>
      <c r="D26" s="336" t="n">
        <v>0</v>
      </c>
      <c r="E26" s="336" t="n">
        <v>0</v>
      </c>
      <c r="F26" s="336" t="n">
        <v>0</v>
      </c>
      <c r="G26" s="336" t="n">
        <v>16.1303660354804</v>
      </c>
      <c r="H26" s="336" t="n">
        <v>24.8813032467099</v>
      </c>
      <c r="I26" s="336" t="n">
        <v>29.812441311297</v>
      </c>
      <c r="J26" s="336" t="n">
        <v>35.4648641585166</v>
      </c>
      <c r="K26" s="336" t="n">
        <v>30.9495647922393</v>
      </c>
      <c r="L26" s="336" t="n">
        <v>23.6425851960161</v>
      </c>
    </row>
    <row r="27" customFormat="false" ht="14.4" hidden="false" customHeight="false" outlineLevel="0" collapsed="false">
      <c r="B27" s="339" t="s">
        <v>889</v>
      </c>
      <c r="C27" s="336" t="n">
        <v>41.7740131975631</v>
      </c>
      <c r="D27" s="336" t="n">
        <v>0</v>
      </c>
      <c r="E27" s="336" t="n">
        <v>0</v>
      </c>
      <c r="F27" s="336" t="n">
        <v>0</v>
      </c>
      <c r="G27" s="336" t="n">
        <v>12.2582855919765</v>
      </c>
      <c r="H27" s="336" t="n">
        <v>18.8623803274167</v>
      </c>
      <c r="I27" s="336" t="n">
        <v>22.5528002676781</v>
      </c>
      <c r="J27" s="336" t="n">
        <v>31.6284917490601</v>
      </c>
      <c r="K27" s="336" t="n">
        <v>41.7740131975631</v>
      </c>
      <c r="L27" s="336" t="n">
        <v>35.2270156142239</v>
      </c>
    </row>
    <row r="28" customFormat="false" ht="14.4" hidden="false" customHeight="false" outlineLevel="0" collapsed="false">
      <c r="B28" s="339" t="s">
        <v>891</v>
      </c>
      <c r="C28" s="336" t="n">
        <v>51.083862661524</v>
      </c>
      <c r="D28" s="336" t="n">
        <v>0</v>
      </c>
      <c r="E28" s="336" t="n">
        <v>0</v>
      </c>
      <c r="F28" s="336" t="n">
        <v>0</v>
      </c>
      <c r="G28" s="336" t="n">
        <v>22.3167661574836</v>
      </c>
      <c r="H28" s="336" t="n">
        <v>34.5385072617602</v>
      </c>
      <c r="I28" s="336" t="n">
        <v>41.1008446505078</v>
      </c>
      <c r="J28" s="336" t="n">
        <v>51.083862661524</v>
      </c>
      <c r="K28" s="336" t="n">
        <v>45.1086299831943</v>
      </c>
      <c r="L28" s="336" t="n">
        <v>34.5076702394645</v>
      </c>
    </row>
    <row r="29" customFormat="false" ht="14.4" hidden="false" customHeight="false" outlineLevel="0" collapsed="false">
      <c r="B29" s="339" t="s">
        <v>893</v>
      </c>
      <c r="C29" s="336" t="n">
        <v>64.7758169264063</v>
      </c>
      <c r="D29" s="336" t="n">
        <v>0</v>
      </c>
      <c r="E29" s="336" t="n">
        <v>0</v>
      </c>
      <c r="F29" s="336" t="n">
        <v>0</v>
      </c>
      <c r="G29" s="336" t="n">
        <v>15.8754488596702</v>
      </c>
      <c r="H29" s="336" t="n">
        <v>24.4570059809151</v>
      </c>
      <c r="I29" s="336" t="n">
        <v>29.3969451878229</v>
      </c>
      <c r="J29" s="336" t="n">
        <v>41.0045597432806</v>
      </c>
      <c r="K29" s="336" t="n">
        <v>64.7758169264063</v>
      </c>
      <c r="L29" s="336" t="n">
        <v>58.4290205796872</v>
      </c>
    </row>
    <row r="30" customFormat="false" ht="14.4" hidden="false" customHeight="false" outlineLevel="0" collapsed="false">
      <c r="B30" s="339" t="s">
        <v>1398</v>
      </c>
      <c r="C30" s="336" t="n">
        <v>124.939886838774</v>
      </c>
      <c r="D30" s="336" t="n">
        <v>0</v>
      </c>
      <c r="E30" s="336" t="n">
        <v>0</v>
      </c>
      <c r="F30" s="336" t="n">
        <v>0</v>
      </c>
      <c r="G30" s="336" t="n">
        <v>0</v>
      </c>
      <c r="H30" s="336" t="n">
        <v>62.8863685221039</v>
      </c>
      <c r="I30" s="336" t="n">
        <v>75.1580674148779</v>
      </c>
      <c r="J30" s="336" t="n">
        <v>104.781739356859</v>
      </c>
      <c r="K30" s="336" t="n">
        <v>124.939886838774</v>
      </c>
      <c r="L30" s="336" t="n">
        <v>102.587583010341</v>
      </c>
    </row>
    <row r="31" customFormat="false" ht="14.4" hidden="false" customHeight="false" outlineLevel="0" collapsed="false">
      <c r="B31" s="339" t="s">
        <v>1399</v>
      </c>
      <c r="C31" s="336" t="n">
        <v>151.302405893366</v>
      </c>
      <c r="D31" s="336" t="n">
        <v>0</v>
      </c>
      <c r="E31" s="336" t="n">
        <v>0</v>
      </c>
      <c r="F31" s="336" t="n">
        <v>0</v>
      </c>
      <c r="G31" s="336" t="n">
        <v>28.1257093487571</v>
      </c>
      <c r="H31" s="336" t="n">
        <v>0</v>
      </c>
      <c r="I31" s="336" t="n">
        <v>0</v>
      </c>
      <c r="J31" s="336" t="n">
        <v>72.3591618607139</v>
      </c>
      <c r="K31" s="336" t="n">
        <v>119.098684623034</v>
      </c>
      <c r="L31" s="336" t="n">
        <v>151.302405893366</v>
      </c>
    </row>
    <row r="32" customFormat="false" ht="14.4" hidden="false" customHeight="false" outlineLevel="0" collapsed="false">
      <c r="B32" s="339" t="s">
        <v>1400</v>
      </c>
      <c r="C32" s="336" t="n">
        <v>187.039439437709</v>
      </c>
      <c r="D32" s="336" t="n">
        <v>0</v>
      </c>
      <c r="E32" s="336" t="n">
        <v>0</v>
      </c>
      <c r="F32" s="336" t="n">
        <v>0</v>
      </c>
      <c r="G32" s="336" t="n">
        <v>35.4331149917844</v>
      </c>
      <c r="H32" s="336" t="n">
        <v>0</v>
      </c>
      <c r="I32" s="336" t="n">
        <v>0</v>
      </c>
      <c r="J32" s="336" t="n">
        <v>90.9028986761564</v>
      </c>
      <c r="K32" s="336" t="n">
        <v>151.615463577082</v>
      </c>
      <c r="L32" s="336" t="n">
        <v>187.039439437709</v>
      </c>
    </row>
    <row r="33" customFormat="false" ht="14.4" hidden="false" customHeight="false" outlineLevel="0" collapsed="false">
      <c r="B33" s="339" t="s">
        <v>896</v>
      </c>
      <c r="C33" s="336" t="n">
        <v>344.685461259624</v>
      </c>
      <c r="D33" s="336" t="n">
        <v>0</v>
      </c>
      <c r="E33" s="336" t="n">
        <v>0</v>
      </c>
      <c r="F33" s="336" t="n">
        <v>0</v>
      </c>
      <c r="G33" s="336" t="n">
        <v>0</v>
      </c>
      <c r="H33" s="336" t="n">
        <v>110.629325531941</v>
      </c>
      <c r="I33" s="336" t="n">
        <v>132.031665155102</v>
      </c>
      <c r="J33" s="336" t="n">
        <v>184.656512254797</v>
      </c>
      <c r="K33" s="336" t="n">
        <v>306.184502781461</v>
      </c>
      <c r="L33" s="336" t="n">
        <v>344.685461259624</v>
      </c>
    </row>
    <row r="34" customFormat="false" ht="14.4" hidden="false" customHeight="false" outlineLevel="0" collapsed="false">
      <c r="B34" s="339" t="s">
        <v>1401</v>
      </c>
      <c r="C34" s="336" t="n">
        <v>416.738351194842</v>
      </c>
      <c r="D34" s="336" t="n">
        <v>0</v>
      </c>
      <c r="E34" s="336" t="n">
        <v>0</v>
      </c>
      <c r="F34" s="336" t="n">
        <v>0</v>
      </c>
      <c r="G34" s="336" t="n">
        <v>68.1757418060072</v>
      </c>
      <c r="H34" s="336" t="n">
        <v>0</v>
      </c>
      <c r="I34" s="336" t="n">
        <v>0</v>
      </c>
      <c r="J34" s="336" t="n">
        <v>175.240442440014</v>
      </c>
      <c r="K34" s="336" t="n">
        <v>290.571434933539</v>
      </c>
      <c r="L34" s="336" t="n">
        <v>416.738351194842</v>
      </c>
    </row>
    <row r="35" customFormat="false" ht="14.4" hidden="false" customHeight="false" outlineLevel="0" collapsed="false">
      <c r="B35" s="339" t="s">
        <v>1402</v>
      </c>
      <c r="C35" s="336" t="n">
        <v>1196.56205634986</v>
      </c>
      <c r="D35" s="336" t="n">
        <v>0</v>
      </c>
      <c r="E35" s="336" t="n">
        <v>0</v>
      </c>
      <c r="F35" s="336" t="n">
        <v>0</v>
      </c>
      <c r="G35" s="336" t="n">
        <v>0</v>
      </c>
      <c r="H35" s="336" t="n">
        <v>0</v>
      </c>
      <c r="I35" s="336" t="n">
        <v>0</v>
      </c>
      <c r="J35" s="336" t="n">
        <v>443.451289778134</v>
      </c>
      <c r="K35" s="336" t="n">
        <v>732.97298902154</v>
      </c>
      <c r="L35" s="336" t="n">
        <v>1196.56205634986</v>
      </c>
    </row>
    <row r="36" customFormat="false" ht="14.4" hidden="false" customHeight="false" outlineLevel="0" collapsed="false">
      <c r="B36" s="339" t="s">
        <v>1403</v>
      </c>
      <c r="C36" s="336" t="n">
        <v>2219.34760383017</v>
      </c>
      <c r="D36" s="336" t="n">
        <v>0</v>
      </c>
      <c r="E36" s="336" t="n">
        <v>0</v>
      </c>
      <c r="F36" s="336" t="n">
        <v>0</v>
      </c>
      <c r="G36" s="336" t="n">
        <v>0</v>
      </c>
      <c r="H36" s="336" t="n">
        <v>0</v>
      </c>
      <c r="I36" s="336" t="n">
        <v>0</v>
      </c>
      <c r="J36" s="336" t="n">
        <v>0</v>
      </c>
      <c r="K36" s="336" t="n">
        <v>1354.51659207517</v>
      </c>
      <c r="L36" s="336" t="n">
        <v>2219.34760383017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4.4" zeroHeight="false" outlineLevelRow="0" outlineLevelCol="0"/>
  <cols>
    <col collapsed="false" customWidth="true" hidden="false" outlineLevel="0" max="2" min="1" style="0" width="8.51"/>
    <col collapsed="false" customWidth="true" hidden="false" outlineLevel="0" max="6" min="3" style="0" width="9.11"/>
    <col collapsed="false" customWidth="true" hidden="false" outlineLevel="0" max="1025" min="7" style="0" width="8.51"/>
  </cols>
  <sheetData>
    <row r="1" customFormat="false" ht="28.8" hidden="false" customHeight="false" outlineLevel="0" collapsed="false">
      <c r="B1" s="308" t="s">
        <v>1296</v>
      </c>
      <c r="C1" s="308" t="n">
        <v>200</v>
      </c>
      <c r="D1" s="308" t="n">
        <v>173</v>
      </c>
      <c r="E1" s="308" t="n">
        <v>160</v>
      </c>
      <c r="F1" s="308" t="n">
        <v>147</v>
      </c>
      <c r="G1" s="308" t="s">
        <v>1304</v>
      </c>
      <c r="H1" s="308" t="s">
        <v>1405</v>
      </c>
      <c r="I1" s="308" t="s">
        <v>1406</v>
      </c>
      <c r="J1" s="308" t="s">
        <v>1210</v>
      </c>
      <c r="K1" s="308" t="s">
        <v>1211</v>
      </c>
      <c r="L1" s="308" t="s">
        <v>1212</v>
      </c>
    </row>
    <row r="2" customFormat="false" ht="14.4" hidden="false" customHeight="false" outlineLevel="0" collapsed="false">
      <c r="B2" s="339" t="s">
        <v>1381</v>
      </c>
      <c r="C2" s="335"/>
      <c r="D2" s="335"/>
      <c r="E2" s="335"/>
      <c r="F2" s="335"/>
      <c r="G2" s="336" t="n">
        <v>77140</v>
      </c>
      <c r="H2" s="336" t="n">
        <v>77444</v>
      </c>
      <c r="I2" s="336" t="n">
        <v>77445</v>
      </c>
      <c r="J2" s="336" t="n">
        <v>77141</v>
      </c>
      <c r="K2" s="336"/>
      <c r="L2" s="336"/>
    </row>
    <row r="3" customFormat="false" ht="14.4" hidden="false" customHeight="false" outlineLevel="0" collapsed="false">
      <c r="B3" s="339" t="s">
        <v>1382</v>
      </c>
      <c r="C3" s="335"/>
      <c r="D3" s="335"/>
      <c r="E3" s="335"/>
      <c r="F3" s="335"/>
      <c r="G3" s="336" t="n">
        <v>77150</v>
      </c>
      <c r="H3" s="336" t="n">
        <v>77154</v>
      </c>
      <c r="I3" s="336" t="n">
        <v>77155</v>
      </c>
      <c r="J3" s="336" t="n">
        <v>77151</v>
      </c>
      <c r="K3" s="336"/>
      <c r="L3" s="336"/>
    </row>
    <row r="4" customFormat="false" ht="14.4" hidden="false" customHeight="false" outlineLevel="0" collapsed="false">
      <c r="B4" s="339" t="s">
        <v>1383</v>
      </c>
      <c r="C4" s="335"/>
      <c r="D4" s="335"/>
      <c r="E4" s="335"/>
      <c r="F4" s="335"/>
      <c r="G4" s="336" t="n">
        <v>77180</v>
      </c>
      <c r="H4" s="336" t="n">
        <v>77184</v>
      </c>
      <c r="I4" s="336" t="n">
        <v>77185</v>
      </c>
      <c r="J4" s="336" t="n">
        <v>77181</v>
      </c>
      <c r="K4" s="336"/>
      <c r="L4" s="336"/>
    </row>
    <row r="5" customFormat="false" ht="14.4" hidden="false" customHeight="false" outlineLevel="0" collapsed="false">
      <c r="B5" s="339" t="s">
        <v>208</v>
      </c>
      <c r="C5" s="335"/>
      <c r="D5" s="335"/>
      <c r="E5" s="335"/>
      <c r="F5" s="335"/>
      <c r="G5" s="336" t="n">
        <v>77020</v>
      </c>
      <c r="H5" s="336" t="n">
        <v>77824</v>
      </c>
      <c r="I5" s="336" t="n">
        <v>77825</v>
      </c>
      <c r="J5" s="336" t="n">
        <v>77021</v>
      </c>
      <c r="K5" s="336"/>
      <c r="L5" s="336"/>
    </row>
    <row r="6" customFormat="false" ht="14.4" hidden="false" customHeight="false" outlineLevel="0" collapsed="false">
      <c r="B6" s="339" t="s">
        <v>1384</v>
      </c>
      <c r="C6" s="335"/>
      <c r="D6" s="335"/>
      <c r="E6" s="335"/>
      <c r="F6" s="335"/>
      <c r="G6" s="336" t="n">
        <v>77240</v>
      </c>
      <c r="H6" s="336" t="n">
        <v>77244</v>
      </c>
      <c r="I6" s="336" t="n">
        <v>77245</v>
      </c>
      <c r="J6" s="336" t="n">
        <v>77241</v>
      </c>
      <c r="K6" s="336"/>
      <c r="L6" s="336"/>
    </row>
    <row r="7" customFormat="false" ht="14.4" hidden="false" customHeight="false" outlineLevel="0" collapsed="false">
      <c r="B7" s="339" t="s">
        <v>1385</v>
      </c>
      <c r="C7" s="335"/>
      <c r="D7" s="335"/>
      <c r="E7" s="335"/>
      <c r="F7" s="335"/>
      <c r="G7" s="336" t="n">
        <v>77270</v>
      </c>
      <c r="H7" s="336" t="n">
        <v>77874</v>
      </c>
      <c r="I7" s="336" t="n">
        <v>77875</v>
      </c>
      <c r="J7" s="336" t="n">
        <v>77271</v>
      </c>
      <c r="K7" s="336"/>
      <c r="L7" s="336"/>
    </row>
    <row r="8" customFormat="false" ht="14.4" hidden="false" customHeight="false" outlineLevel="0" collapsed="false">
      <c r="B8" s="339" t="s">
        <v>220</v>
      </c>
      <c r="C8" s="335"/>
      <c r="D8" s="335"/>
      <c r="E8" s="335"/>
      <c r="F8" s="335"/>
      <c r="G8" s="336" t="n">
        <v>77030</v>
      </c>
      <c r="H8" s="336" t="n">
        <v>77834</v>
      </c>
      <c r="I8" s="336" t="n">
        <v>77835</v>
      </c>
      <c r="J8" s="336" t="n">
        <v>77031</v>
      </c>
      <c r="K8" s="336"/>
      <c r="L8" s="336"/>
    </row>
    <row r="9" customFormat="false" ht="14.4" hidden="false" customHeight="false" outlineLevel="0" collapsed="false">
      <c r="B9" s="339" t="s">
        <v>1386</v>
      </c>
      <c r="C9" s="335"/>
      <c r="D9" s="335"/>
      <c r="E9" s="335"/>
      <c r="F9" s="335"/>
      <c r="G9" s="336" t="n">
        <v>77410</v>
      </c>
      <c r="H9" s="336" t="n">
        <v>77414</v>
      </c>
      <c r="I9" s="336" t="n">
        <v>77415</v>
      </c>
      <c r="J9" s="336" t="n">
        <v>77411</v>
      </c>
      <c r="K9" s="336"/>
      <c r="L9" s="336"/>
    </row>
    <row r="10" customFormat="false" ht="14.4" hidden="false" customHeight="false" outlineLevel="0" collapsed="false">
      <c r="B10" s="339" t="s">
        <v>1387</v>
      </c>
      <c r="C10" s="335"/>
      <c r="D10" s="335"/>
      <c r="E10" s="335"/>
      <c r="F10" s="335"/>
      <c r="G10" s="336" t="n">
        <v>77280</v>
      </c>
      <c r="H10" s="336" t="n">
        <v>77884</v>
      </c>
      <c r="I10" s="336" t="n">
        <v>77885</v>
      </c>
      <c r="J10" s="336" t="n">
        <v>77281</v>
      </c>
      <c r="K10" s="336"/>
      <c r="L10" s="336"/>
    </row>
    <row r="11" customFormat="false" ht="14.4" hidden="false" customHeight="false" outlineLevel="0" collapsed="false">
      <c r="B11" s="339" t="s">
        <v>1388</v>
      </c>
      <c r="C11" s="335"/>
      <c r="D11" s="335"/>
      <c r="E11" s="335"/>
      <c r="F11" s="335"/>
      <c r="G11" s="336" t="n">
        <v>77290</v>
      </c>
      <c r="H11" s="336" t="n">
        <v>77294</v>
      </c>
      <c r="I11" s="336" t="n">
        <v>77295</v>
      </c>
      <c r="J11" s="336" t="n">
        <v>77291</v>
      </c>
      <c r="K11" s="336"/>
      <c r="L11" s="336"/>
    </row>
    <row r="12" customFormat="false" ht="14.4" hidden="false" customHeight="false" outlineLevel="0" collapsed="false">
      <c r="B12" s="339" t="s">
        <v>232</v>
      </c>
      <c r="C12" s="335"/>
      <c r="D12" s="335"/>
      <c r="E12" s="335"/>
      <c r="F12" s="335"/>
      <c r="G12" s="336" t="n">
        <v>77040</v>
      </c>
      <c r="H12" s="336" t="n">
        <v>77844</v>
      </c>
      <c r="I12" s="336" t="n">
        <v>77845</v>
      </c>
      <c r="J12" s="336" t="n">
        <v>77041</v>
      </c>
      <c r="K12" s="336"/>
      <c r="L12" s="336"/>
    </row>
    <row r="13" customFormat="false" ht="14.4" hidden="false" customHeight="false" outlineLevel="0" collapsed="false">
      <c r="B13" s="339" t="s">
        <v>1389</v>
      </c>
      <c r="C13" s="335"/>
      <c r="D13" s="335"/>
      <c r="E13" s="335"/>
      <c r="F13" s="335"/>
      <c r="G13" s="336" t="n">
        <v>77130</v>
      </c>
      <c r="H13" s="336" t="n">
        <v>77334</v>
      </c>
      <c r="I13" s="336" t="n">
        <v>77335</v>
      </c>
      <c r="J13" s="336" t="n">
        <v>77131</v>
      </c>
      <c r="K13" s="336"/>
      <c r="L13" s="336"/>
    </row>
    <row r="14" customFormat="false" ht="14.4" hidden="false" customHeight="false" outlineLevel="0" collapsed="false">
      <c r="B14" s="339" t="s">
        <v>243</v>
      </c>
      <c r="C14" s="335"/>
      <c r="D14" s="335"/>
      <c r="E14" s="335"/>
      <c r="F14" s="335"/>
      <c r="G14" s="336" t="n">
        <v>77050</v>
      </c>
      <c r="H14" s="336" t="n">
        <v>77054</v>
      </c>
      <c r="I14" s="336" t="n">
        <v>77055</v>
      </c>
      <c r="J14" s="336" t="n">
        <v>77051</v>
      </c>
      <c r="K14" s="336"/>
      <c r="L14" s="336"/>
    </row>
    <row r="15" customFormat="false" ht="14.4" hidden="false" customHeight="false" outlineLevel="0" collapsed="false">
      <c r="B15" s="339" t="s">
        <v>875</v>
      </c>
      <c r="C15" s="335"/>
      <c r="D15" s="335"/>
      <c r="E15" s="335"/>
      <c r="F15" s="335"/>
      <c r="G15" s="336" t="n">
        <v>77380</v>
      </c>
      <c r="H15" s="336" t="n">
        <v>77384</v>
      </c>
      <c r="I15" s="336" t="n">
        <v>77385</v>
      </c>
      <c r="J15" s="336" t="n">
        <v>77381</v>
      </c>
      <c r="K15" s="336"/>
      <c r="L15" s="336"/>
    </row>
    <row r="16" customFormat="false" ht="14.4" hidden="false" customHeight="false" outlineLevel="0" collapsed="false">
      <c r="B16" s="339" t="s">
        <v>1390</v>
      </c>
      <c r="C16" s="335"/>
      <c r="D16" s="335"/>
      <c r="E16" s="335"/>
      <c r="F16" s="335"/>
      <c r="G16" s="336" t="n">
        <v>77120</v>
      </c>
      <c r="H16" s="336" t="n">
        <v>77224</v>
      </c>
      <c r="I16" s="336" t="n">
        <v>77225</v>
      </c>
      <c r="J16" s="336" t="n">
        <v>77121</v>
      </c>
      <c r="K16" s="336"/>
      <c r="L16" s="336"/>
    </row>
    <row r="17" customFormat="false" ht="14.4" hidden="false" customHeight="false" outlineLevel="0" collapsed="false">
      <c r="B17" s="339" t="s">
        <v>1391</v>
      </c>
      <c r="C17" s="335"/>
      <c r="D17" s="335"/>
      <c r="E17" s="335"/>
      <c r="F17" s="335"/>
      <c r="G17" s="336" t="n">
        <v>77206</v>
      </c>
      <c r="H17" s="336" t="n">
        <v>77210</v>
      </c>
      <c r="I17" s="336" t="n">
        <v>77211</v>
      </c>
      <c r="J17" s="336" t="n">
        <v>77848</v>
      </c>
      <c r="K17" s="336" t="n">
        <v>77847</v>
      </c>
      <c r="L17" s="336"/>
    </row>
    <row r="18" customFormat="false" ht="14.4" hidden="false" customHeight="false" outlineLevel="0" collapsed="false">
      <c r="B18" s="339" t="s">
        <v>1392</v>
      </c>
      <c r="C18" s="335"/>
      <c r="D18" s="335"/>
      <c r="E18" s="335"/>
      <c r="F18" s="335"/>
      <c r="G18" s="336" t="n">
        <v>77310</v>
      </c>
      <c r="H18" s="336" t="n">
        <v>77314</v>
      </c>
      <c r="I18" s="336" t="n">
        <v>77315</v>
      </c>
      <c r="J18" s="336" t="n">
        <v>77059</v>
      </c>
      <c r="K18" s="336" t="n">
        <v>77316</v>
      </c>
      <c r="L18" s="336" t="n">
        <v>77312</v>
      </c>
    </row>
    <row r="19" customFormat="false" ht="14.4" hidden="false" customHeight="false" outlineLevel="0" collapsed="false">
      <c r="B19" s="339" t="s">
        <v>879</v>
      </c>
      <c r="C19" s="335"/>
      <c r="D19" s="335"/>
      <c r="E19" s="335"/>
      <c r="F19" s="335"/>
      <c r="G19" s="336" t="n">
        <v>77350</v>
      </c>
      <c r="H19" s="336" t="n">
        <v>77354</v>
      </c>
      <c r="I19" s="336" t="n">
        <v>77355</v>
      </c>
      <c r="J19" s="336" t="n">
        <v>77351</v>
      </c>
      <c r="K19" s="336" t="n">
        <v>77356</v>
      </c>
      <c r="L19" s="336" t="n">
        <v>77352</v>
      </c>
    </row>
    <row r="20" customFormat="false" ht="14.4" hidden="false" customHeight="false" outlineLevel="0" collapsed="false">
      <c r="B20" s="339" t="s">
        <v>1393</v>
      </c>
      <c r="C20" s="335"/>
      <c r="D20" s="335"/>
      <c r="E20" s="335"/>
      <c r="F20" s="335"/>
      <c r="G20" s="336" t="n">
        <v>77930</v>
      </c>
      <c r="H20" s="336" t="n">
        <v>77934</v>
      </c>
      <c r="I20" s="336" t="n">
        <v>77935</v>
      </c>
      <c r="J20" s="336" t="n">
        <v>77894</v>
      </c>
      <c r="K20" s="336" t="n">
        <v>77936</v>
      </c>
      <c r="L20" s="336" t="n">
        <v>77932</v>
      </c>
    </row>
    <row r="21" customFormat="false" ht="14.4" hidden="false" customHeight="false" outlineLevel="0" collapsed="false">
      <c r="B21" s="339" t="s">
        <v>1394</v>
      </c>
      <c r="C21" s="335"/>
      <c r="D21" s="335"/>
      <c r="E21" s="335"/>
      <c r="F21" s="335"/>
      <c r="G21" s="336" t="n">
        <v>77585</v>
      </c>
      <c r="H21" s="336" t="n">
        <v>77589</v>
      </c>
      <c r="I21" s="336" t="n">
        <v>77590</v>
      </c>
      <c r="J21" s="336" t="n">
        <v>77586</v>
      </c>
      <c r="K21" s="336" t="n">
        <v>77591</v>
      </c>
      <c r="L21" s="336" t="n">
        <v>77587</v>
      </c>
    </row>
    <row r="22" customFormat="false" ht="14.4" hidden="false" customHeight="false" outlineLevel="0" collapsed="false">
      <c r="B22" s="339" t="s">
        <v>1395</v>
      </c>
      <c r="C22" s="335"/>
      <c r="D22" s="335"/>
      <c r="E22" s="335"/>
      <c r="F22" s="335"/>
      <c r="G22" s="336" t="n">
        <v>77548</v>
      </c>
      <c r="H22" s="336" t="n">
        <v>77552</v>
      </c>
      <c r="I22" s="336" t="n">
        <v>77553</v>
      </c>
      <c r="J22" s="336" t="n">
        <v>77071</v>
      </c>
      <c r="K22" s="336" t="n">
        <v>77555</v>
      </c>
      <c r="L22" s="336" t="n">
        <v>77550</v>
      </c>
    </row>
    <row r="23" customFormat="false" ht="14.4" hidden="false" customHeight="false" outlineLevel="0" collapsed="false">
      <c r="B23" s="339" t="s">
        <v>1396</v>
      </c>
      <c r="C23" s="335"/>
      <c r="D23" s="335"/>
      <c r="E23" s="335"/>
      <c r="F23" s="335"/>
      <c r="G23" s="336" t="n">
        <v>77324</v>
      </c>
      <c r="H23" s="336" t="n">
        <v>77328</v>
      </c>
      <c r="I23" s="336" t="n">
        <v>77329</v>
      </c>
      <c r="J23" s="336" t="n">
        <v>77076</v>
      </c>
      <c r="K23" s="336" t="n">
        <v>77330</v>
      </c>
      <c r="L23" s="336" t="n">
        <v>77326</v>
      </c>
    </row>
    <row r="24" customFormat="false" ht="14.4" hidden="false" customHeight="false" outlineLevel="0" collapsed="false">
      <c r="B24" s="339" t="s">
        <v>1397</v>
      </c>
      <c r="C24" s="335"/>
      <c r="D24" s="335"/>
      <c r="E24" s="335"/>
      <c r="F24" s="335"/>
      <c r="G24" s="336" t="n">
        <v>77254</v>
      </c>
      <c r="H24" s="336" t="n">
        <v>77258</v>
      </c>
      <c r="I24" s="336" t="n">
        <v>77259</v>
      </c>
      <c r="J24" s="336" t="n">
        <v>77083</v>
      </c>
      <c r="K24" s="336" t="n">
        <v>77260</v>
      </c>
      <c r="L24" s="336" t="n">
        <v>77256</v>
      </c>
    </row>
    <row r="25" customFormat="false" ht="14.4" hidden="false" customHeight="false" outlineLevel="0" collapsed="false">
      <c r="B25" s="339" t="s">
        <v>258</v>
      </c>
      <c r="C25" s="335"/>
      <c r="D25" s="335"/>
      <c r="E25" s="335"/>
      <c r="F25" s="335"/>
      <c r="G25" s="336" t="n">
        <v>77089</v>
      </c>
      <c r="H25" s="336" t="n">
        <v>77093</v>
      </c>
      <c r="I25" s="336" t="n">
        <v>77094</v>
      </c>
      <c r="J25" s="336" t="n">
        <v>77090</v>
      </c>
      <c r="K25" s="336" t="n">
        <v>77095</v>
      </c>
      <c r="L25" s="336" t="n">
        <v>77091</v>
      </c>
    </row>
    <row r="26" customFormat="false" ht="14.4" hidden="false" customHeight="false" outlineLevel="0" collapsed="false">
      <c r="B26" s="339" t="s">
        <v>886</v>
      </c>
      <c r="C26" s="335"/>
      <c r="D26" s="335"/>
      <c r="E26" s="335"/>
      <c r="F26" s="335"/>
      <c r="G26" s="336" t="n">
        <v>77438</v>
      </c>
      <c r="H26" s="336" t="n">
        <v>77442</v>
      </c>
      <c r="I26" s="336" t="n">
        <v>77443</v>
      </c>
      <c r="J26" s="336" t="n">
        <v>77439</v>
      </c>
      <c r="K26" s="336" t="n">
        <v>77431</v>
      </c>
      <c r="L26" s="336" t="n">
        <v>77440</v>
      </c>
    </row>
    <row r="27" customFormat="false" ht="14.4" hidden="false" customHeight="false" outlineLevel="0" collapsed="false">
      <c r="B27" s="339" t="s">
        <v>889</v>
      </c>
      <c r="C27" s="335"/>
      <c r="D27" s="335"/>
      <c r="E27" s="335"/>
      <c r="F27" s="335"/>
      <c r="G27" s="336" t="n">
        <v>77715</v>
      </c>
      <c r="H27" s="336" t="n">
        <v>77719</v>
      </c>
      <c r="I27" s="336" t="n">
        <v>77720</v>
      </c>
      <c r="J27" s="336" t="n">
        <v>77716</v>
      </c>
      <c r="K27" s="336" t="n">
        <v>77721</v>
      </c>
      <c r="L27" s="336" t="n">
        <v>77717</v>
      </c>
    </row>
    <row r="28" customFormat="false" ht="14.4" hidden="false" customHeight="false" outlineLevel="0" collapsed="false">
      <c r="B28" s="339" t="s">
        <v>891</v>
      </c>
      <c r="C28" s="335"/>
      <c r="D28" s="335"/>
      <c r="E28" s="335"/>
      <c r="F28" s="335"/>
      <c r="G28" s="336" t="n">
        <v>77195</v>
      </c>
      <c r="H28" s="336" t="n">
        <v>77194</v>
      </c>
      <c r="I28" s="336" t="n">
        <v>77193</v>
      </c>
      <c r="J28" s="336" t="n">
        <v>77192</v>
      </c>
      <c r="K28" s="336" t="n">
        <v>77189</v>
      </c>
      <c r="L28" s="336" t="n">
        <v>77191</v>
      </c>
    </row>
    <row r="29" customFormat="false" ht="14.4" hidden="false" customHeight="false" outlineLevel="0" collapsed="false">
      <c r="B29" s="339" t="s">
        <v>893</v>
      </c>
      <c r="C29" s="335"/>
      <c r="D29" s="335"/>
      <c r="E29" s="335"/>
      <c r="F29" s="335"/>
      <c r="G29" s="336" t="n">
        <v>77109</v>
      </c>
      <c r="H29" s="336" t="n">
        <v>77213</v>
      </c>
      <c r="I29" s="336" t="n">
        <v>77214</v>
      </c>
      <c r="J29" s="336" t="n">
        <v>77110</v>
      </c>
      <c r="K29" s="336" t="n">
        <v>77212</v>
      </c>
      <c r="L29" s="336" t="n">
        <v>77111</v>
      </c>
    </row>
    <row r="30" customFormat="false" ht="14.4" hidden="false" customHeight="false" outlineLevel="0" collapsed="false">
      <c r="B30" s="339" t="s">
        <v>1398</v>
      </c>
      <c r="C30" s="335"/>
      <c r="D30" s="335"/>
      <c r="E30" s="335"/>
      <c r="F30" s="335"/>
      <c r="G30" s="336"/>
      <c r="H30" s="336" t="n">
        <v>77619</v>
      </c>
      <c r="I30" s="336" t="n">
        <v>77618</v>
      </c>
      <c r="J30" s="336" t="n">
        <v>77617</v>
      </c>
      <c r="K30" s="336" t="n">
        <v>77616</v>
      </c>
      <c r="L30" s="336" t="n">
        <v>77615</v>
      </c>
    </row>
    <row r="31" customFormat="false" ht="14.4" hidden="false" customHeight="false" outlineLevel="0" collapsed="false">
      <c r="B31" s="339" t="s">
        <v>1399</v>
      </c>
      <c r="C31" s="335"/>
      <c r="D31" s="335"/>
      <c r="E31" s="335"/>
      <c r="F31" s="335"/>
      <c r="G31" s="336" t="n">
        <v>77866</v>
      </c>
      <c r="H31" s="336"/>
      <c r="I31" s="336"/>
      <c r="J31" s="336" t="n">
        <v>77867</v>
      </c>
      <c r="K31" s="336" t="n">
        <v>77872</v>
      </c>
      <c r="L31" s="336" t="n">
        <v>77868</v>
      </c>
    </row>
    <row r="32" customFormat="false" ht="14.4" hidden="false" customHeight="false" outlineLevel="0" collapsed="false">
      <c r="B32" s="339" t="s">
        <v>1400</v>
      </c>
      <c r="C32" s="335"/>
      <c r="D32" s="335"/>
      <c r="E32" s="335"/>
      <c r="F32" s="335"/>
      <c r="G32" s="336" t="n">
        <v>77906</v>
      </c>
      <c r="H32" s="336"/>
      <c r="I32" s="336"/>
      <c r="J32" s="336" t="n">
        <v>77907</v>
      </c>
      <c r="K32" s="336" t="n">
        <v>77912</v>
      </c>
      <c r="L32" s="336" t="n">
        <v>77908</v>
      </c>
    </row>
    <row r="33" customFormat="false" ht="14.4" hidden="false" customHeight="false" outlineLevel="0" collapsed="false">
      <c r="B33" s="339" t="s">
        <v>896</v>
      </c>
      <c r="C33" s="335"/>
      <c r="D33" s="335"/>
      <c r="E33" s="335"/>
      <c r="F33" s="335"/>
      <c r="G33" s="336"/>
      <c r="H33" s="336" t="n">
        <v>77739</v>
      </c>
      <c r="I33" s="336" t="n">
        <v>77738</v>
      </c>
      <c r="J33" s="336" t="n">
        <v>77737</v>
      </c>
      <c r="K33" s="336" t="n">
        <v>77736</v>
      </c>
      <c r="L33" s="336" t="n">
        <v>77735</v>
      </c>
    </row>
    <row r="34" customFormat="false" ht="14.4" hidden="false" customHeight="false" outlineLevel="0" collapsed="false">
      <c r="B34" s="339" t="s">
        <v>1401</v>
      </c>
      <c r="C34" s="335"/>
      <c r="D34" s="335"/>
      <c r="E34" s="335"/>
      <c r="F34" s="335"/>
      <c r="G34" s="336" t="n">
        <v>77098</v>
      </c>
      <c r="H34" s="336"/>
      <c r="I34" s="336"/>
      <c r="J34" s="336" t="n">
        <v>77099</v>
      </c>
      <c r="K34" s="336" t="n">
        <v>77100</v>
      </c>
      <c r="L34" s="336" t="n">
        <v>77102</v>
      </c>
    </row>
    <row r="35" customFormat="false" ht="14.4" hidden="false" customHeight="false" outlineLevel="0" collapsed="false">
      <c r="B35" s="339" t="s">
        <v>1402</v>
      </c>
      <c r="C35" s="335"/>
      <c r="D35" s="335"/>
      <c r="E35" s="335"/>
      <c r="F35" s="335"/>
      <c r="G35" s="336"/>
      <c r="H35" s="336"/>
      <c r="I35" s="336"/>
      <c r="J35" s="336" t="n">
        <v>77339</v>
      </c>
      <c r="K35" s="336" t="n">
        <v>77338</v>
      </c>
      <c r="L35" s="336" t="n">
        <v>77337</v>
      </c>
    </row>
    <row r="36" customFormat="false" ht="14.4" hidden="false" customHeight="false" outlineLevel="0" collapsed="false">
      <c r="B36" s="339" t="s">
        <v>1403</v>
      </c>
      <c r="C36" s="335"/>
      <c r="D36" s="335"/>
      <c r="E36" s="335"/>
      <c r="F36" s="335"/>
      <c r="G36" s="336"/>
      <c r="H36" s="336"/>
      <c r="I36" s="336"/>
      <c r="J36" s="336"/>
      <c r="K36" s="336" t="n">
        <v>77166</v>
      </c>
      <c r="L36" s="336" t="n">
        <v>77165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4.4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18.33"/>
    <col collapsed="false" customWidth="true" hidden="false" outlineLevel="0" max="3" min="3" style="0" width="6.55"/>
    <col collapsed="false" customWidth="true" hidden="false" outlineLevel="0" max="4" min="4" style="22" width="9.11"/>
    <col collapsed="false" customWidth="true" hidden="false" outlineLevel="0" max="5" min="5" style="31" width="9.11"/>
    <col collapsed="false" customWidth="true" hidden="false" outlineLevel="0" max="1025" min="6" style="0" width="8.51"/>
  </cols>
  <sheetData>
    <row r="1" customFormat="false" ht="14.4" hidden="false" customHeight="false" outlineLevel="0" collapsed="false">
      <c r="A1" s="340"/>
      <c r="B1" s="340"/>
      <c r="C1" s="340"/>
      <c r="D1" s="341" t="s">
        <v>1212</v>
      </c>
      <c r="E1" s="342" t="s">
        <v>1210</v>
      </c>
    </row>
    <row r="2" customFormat="false" ht="14.4" hidden="false" customHeight="false" outlineLevel="0" collapsed="false">
      <c r="B2" s="336" t="s">
        <v>1407</v>
      </c>
      <c r="C2" s="343" t="n">
        <v>0.0975044318889171</v>
      </c>
      <c r="D2" s="344" t="n">
        <v>0.0449331812731828</v>
      </c>
      <c r="E2" s="345" t="n">
        <v>0.0975044318889171</v>
      </c>
    </row>
    <row r="3" customFormat="false" ht="14.4" hidden="false" customHeight="false" outlineLevel="0" collapsed="false">
      <c r="B3" s="336" t="s">
        <v>1408</v>
      </c>
      <c r="C3" s="343" t="n">
        <v>0.34856639727383</v>
      </c>
      <c r="D3" s="344" t="n">
        <v>0.160669748439021</v>
      </c>
      <c r="E3" s="345" t="n">
        <v>0.34856639727383</v>
      </c>
    </row>
    <row r="4" customFormat="false" ht="14.4" hidden="false" customHeight="false" outlineLevel="0" collapsed="false">
      <c r="B4" s="336" t="s">
        <v>1409</v>
      </c>
      <c r="C4" s="343" t="n">
        <v>0.428158588338672</v>
      </c>
      <c r="D4" s="344" t="n">
        <v>0.193979134225661</v>
      </c>
      <c r="E4" s="345" t="n">
        <v>0.428158588338672</v>
      </c>
    </row>
    <row r="5" customFormat="false" ht="14.4" hidden="false" customHeight="false" outlineLevel="0" collapsed="false">
      <c r="B5" s="336" t="s">
        <v>1410</v>
      </c>
      <c r="C5" s="343" t="n">
        <v>0.980754402345479</v>
      </c>
      <c r="D5" s="344" t="n">
        <v>0.463617581009341</v>
      </c>
      <c r="E5" s="345" t="n">
        <v>0.980754402345479</v>
      </c>
    </row>
    <row r="6" customFormat="false" ht="14.4" hidden="false" customHeight="false" outlineLevel="0" collapsed="false">
      <c r="B6" s="336" t="s">
        <v>1411</v>
      </c>
      <c r="C6" s="343" t="n">
        <v>1.98506597965337</v>
      </c>
      <c r="D6" s="344" t="n">
        <v>0.958332972897749</v>
      </c>
      <c r="E6" s="345" t="n">
        <v>1.98506597965337</v>
      </c>
    </row>
    <row r="7" customFormat="false" ht="14.4" hidden="false" customHeight="false" outlineLevel="0" collapsed="false">
      <c r="B7" s="336" t="s">
        <v>1412</v>
      </c>
      <c r="C7" s="343" t="n">
        <v>2.62779559543937</v>
      </c>
      <c r="D7" s="344" t="n">
        <v>1.24141783080897</v>
      </c>
      <c r="E7" s="345" t="n">
        <v>2.62779559543937</v>
      </c>
    </row>
    <row r="8" customFormat="false" ht="14.4" hidden="false" customHeight="false" outlineLevel="0" collapsed="false">
      <c r="B8" s="336" t="s">
        <v>1413</v>
      </c>
      <c r="C8" s="343" t="n">
        <v>4.26136674896511</v>
      </c>
      <c r="D8" s="344" t="n">
        <v>1.98421395251771</v>
      </c>
      <c r="E8" s="345" t="n">
        <v>4.26136674896511</v>
      </c>
    </row>
    <row r="9" customFormat="false" ht="14.4" hidden="false" customHeight="false" outlineLevel="0" collapsed="false">
      <c r="B9" s="336" t="s">
        <v>1414</v>
      </c>
      <c r="C9" s="343" t="n">
        <v>11.3552171373445</v>
      </c>
      <c r="D9" s="344" t="n">
        <v>6.02930901966817</v>
      </c>
      <c r="E9" s="345" t="n">
        <v>11.3552171373445</v>
      </c>
    </row>
    <row r="10" customFormat="false" ht="14.4" hidden="false" customHeight="false" outlineLevel="0" collapsed="false">
      <c r="B10" s="336" t="s">
        <v>1415</v>
      </c>
      <c r="C10" s="343" t="n">
        <v>12.3957765628322</v>
      </c>
      <c r="D10" s="344" t="n">
        <v>6.36617770776451</v>
      </c>
      <c r="E10" s="345" t="n">
        <v>12.3957765628322</v>
      </c>
    </row>
    <row r="11" customFormat="false" ht="14.4" hidden="false" customHeight="false" outlineLevel="0" collapsed="false">
      <c r="B11" s="336" t="s">
        <v>1416</v>
      </c>
      <c r="C11" s="343" t="n">
        <v>15.5816028507803</v>
      </c>
      <c r="D11" s="344" t="n">
        <v>7.93240676814963</v>
      </c>
      <c r="E11" s="345" t="n">
        <v>15.5816028507803</v>
      </c>
    </row>
    <row r="12" customFormat="false" ht="14.4" hidden="false" customHeight="false" outlineLevel="0" collapsed="false">
      <c r="B12" s="336" t="s">
        <v>1417</v>
      </c>
      <c r="C12" s="343" t="n">
        <v>30.3452590141232</v>
      </c>
      <c r="D12" s="344" t="n">
        <v>15.8540176469942</v>
      </c>
      <c r="E12" s="345" t="n">
        <v>30.3452590141232</v>
      </c>
    </row>
    <row r="13" customFormat="false" ht="14.4" hidden="false" customHeight="false" outlineLevel="0" collapsed="false">
      <c r="B13" s="336" t="s">
        <v>1418</v>
      </c>
      <c r="C13" s="343" t="n">
        <v>52.0544538225447</v>
      </c>
      <c r="D13" s="344" t="n">
        <v>26.9025859221704</v>
      </c>
      <c r="E13" s="345" t="n">
        <v>52.0544538225447</v>
      </c>
    </row>
    <row r="14" customFormat="false" ht="14.4" hidden="false" customHeight="false" outlineLevel="0" collapsed="false">
      <c r="B14" s="336" t="s">
        <v>1419</v>
      </c>
      <c r="C14" s="343" t="n">
        <v>60.8849738279135</v>
      </c>
      <c r="D14" s="344" t="n">
        <v>33.6885150734249</v>
      </c>
      <c r="E14" s="345" t="n">
        <v>60.8849738279135</v>
      </c>
    </row>
    <row r="15" customFormat="false" ht="14.4" hidden="false" customHeight="false" outlineLevel="0" collapsed="false">
      <c r="B15" s="336" t="s">
        <v>1420</v>
      </c>
      <c r="C15" s="343" t="n">
        <v>73.1108116034556</v>
      </c>
      <c r="D15" s="344" t="n">
        <v>43.2657150144518</v>
      </c>
      <c r="E15" s="345" t="n">
        <v>73.1108116034556</v>
      </c>
    </row>
    <row r="16" customFormat="false" ht="14.4" hidden="false" customHeight="false" outlineLevel="0" collapsed="false">
      <c r="B16" s="336" t="s">
        <v>1421</v>
      </c>
      <c r="C16" s="343" t="n">
        <v>76.1498152339171</v>
      </c>
      <c r="D16" s="344" t="n">
        <v>39.462944441669</v>
      </c>
      <c r="E16" s="345" t="n">
        <v>76.1498152339171</v>
      </c>
    </row>
    <row r="17" customFormat="false" ht="14.4" hidden="false" customHeight="false" outlineLevel="0" collapsed="false">
      <c r="B17" s="336" t="s">
        <v>1422</v>
      </c>
      <c r="C17" s="343" t="n">
        <v>115.698201300825</v>
      </c>
      <c r="D17" s="344" t="n">
        <v>74.8364100648755</v>
      </c>
      <c r="E17" s="345" t="n">
        <v>115.698201300825</v>
      </c>
    </row>
    <row r="18" customFormat="false" ht="14.4" hidden="false" customHeight="false" outlineLevel="0" collapsed="false">
      <c r="B18" s="31" t="n">
        <v>78615</v>
      </c>
      <c r="C18" s="309" t="n">
        <v>123.866841025695</v>
      </c>
      <c r="D18" s="42" t="n">
        <v>123.866841025695</v>
      </c>
      <c r="E18" s="345"/>
    </row>
    <row r="19" customFormat="false" ht="14.4" hidden="false" customHeight="false" outlineLevel="0" collapsed="false">
      <c r="B19" s="336" t="s">
        <v>1423</v>
      </c>
      <c r="C19" s="343" t="n">
        <v>248.630956516342</v>
      </c>
      <c r="D19" s="344" t="n">
        <v>0</v>
      </c>
      <c r="E19" s="345" t="n">
        <v>248.630956516342</v>
      </c>
    </row>
    <row r="20" customFormat="false" ht="14.4" hidden="false" customHeight="false" outlineLevel="0" collapsed="false">
      <c r="B20" s="336" t="s">
        <v>1424</v>
      </c>
      <c r="C20" s="343" t="n">
        <v>312.348485896875</v>
      </c>
      <c r="D20" s="344" t="n">
        <v>0</v>
      </c>
      <c r="E20" s="345" t="n">
        <v>312.348485896875</v>
      </c>
    </row>
    <row r="21" customFormat="false" ht="14.4" hidden="false" customHeight="false" outlineLevel="0" collapsed="false">
      <c r="B21" s="31" t="n">
        <v>78735</v>
      </c>
      <c r="C21" s="309" t="n">
        <v>472.397562593817</v>
      </c>
      <c r="D21" s="42" t="n">
        <v>472.397562593817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>
    <row r="1" customFormat="false" ht="14.4" hidden="false" customHeight="false" outlineLevel="0" collapsed="false">
      <c r="A1" s="340"/>
      <c r="B1" s="340"/>
      <c r="C1" s="340"/>
      <c r="D1" s="340" t="s">
        <v>1212</v>
      </c>
      <c r="E1" s="340" t="s">
        <v>1210</v>
      </c>
    </row>
    <row r="2" customFormat="false" ht="14.4" hidden="false" customHeight="false" outlineLevel="0" collapsed="false">
      <c r="D2" s="0" t="n">
        <v>78052</v>
      </c>
      <c r="E2" s="336" t="n">
        <v>78051</v>
      </c>
    </row>
    <row r="3" customFormat="false" ht="14.4" hidden="false" customHeight="false" outlineLevel="0" collapsed="false">
      <c r="D3" s="0" t="n">
        <v>78382</v>
      </c>
      <c r="E3" s="336" t="n">
        <v>78381</v>
      </c>
    </row>
    <row r="4" customFormat="false" ht="14.4" hidden="false" customHeight="false" outlineLevel="0" collapsed="false">
      <c r="D4" s="0" t="n">
        <v>78122</v>
      </c>
      <c r="E4" s="336" t="n">
        <v>78121</v>
      </c>
    </row>
    <row r="5" customFormat="false" ht="14.4" hidden="false" customHeight="false" outlineLevel="0" collapsed="false">
      <c r="D5" s="0" t="n">
        <v>78208</v>
      </c>
      <c r="E5" s="336" t="n">
        <v>78848</v>
      </c>
    </row>
    <row r="6" customFormat="false" ht="14.4" hidden="false" customHeight="false" outlineLevel="0" collapsed="false">
      <c r="D6" s="0" t="n">
        <v>78312</v>
      </c>
      <c r="E6" s="336" t="n">
        <v>78059</v>
      </c>
    </row>
    <row r="7" customFormat="false" ht="14.4" hidden="false" customHeight="false" outlineLevel="0" collapsed="false">
      <c r="D7" s="0" t="n">
        <v>78352</v>
      </c>
      <c r="E7" s="336" t="n">
        <v>78351</v>
      </c>
    </row>
    <row r="8" customFormat="false" ht="14.4" hidden="false" customHeight="false" outlineLevel="0" collapsed="false">
      <c r="D8" s="0" t="n">
        <v>78932</v>
      </c>
      <c r="E8" s="336" t="n">
        <v>78894</v>
      </c>
    </row>
    <row r="9" customFormat="false" ht="14.4" hidden="false" customHeight="false" outlineLevel="0" collapsed="false">
      <c r="D9" s="0" t="n">
        <v>78550</v>
      </c>
      <c r="E9" s="336" t="n">
        <v>78071</v>
      </c>
    </row>
    <row r="10" customFormat="false" ht="14.4" hidden="false" customHeight="false" outlineLevel="0" collapsed="false">
      <c r="D10" s="0" t="n">
        <v>78587</v>
      </c>
      <c r="E10" s="336" t="n">
        <v>78586</v>
      </c>
    </row>
    <row r="11" customFormat="false" ht="14.4" hidden="false" customHeight="false" outlineLevel="0" collapsed="false">
      <c r="D11" s="0" t="n">
        <v>78326</v>
      </c>
      <c r="E11" s="336" t="n">
        <v>78076</v>
      </c>
    </row>
    <row r="12" customFormat="false" ht="14.4" hidden="false" customHeight="false" outlineLevel="0" collapsed="false">
      <c r="D12" s="0" t="n">
        <v>78256</v>
      </c>
      <c r="E12" s="336" t="n">
        <v>78083</v>
      </c>
    </row>
    <row r="13" customFormat="false" ht="14.4" hidden="false" customHeight="false" outlineLevel="0" collapsed="false">
      <c r="D13" s="0" t="n">
        <v>78440</v>
      </c>
      <c r="E13" s="336" t="n">
        <v>78439</v>
      </c>
    </row>
    <row r="14" customFormat="false" ht="14.4" hidden="false" customHeight="false" outlineLevel="0" collapsed="false">
      <c r="D14" s="0" t="n">
        <v>78091</v>
      </c>
      <c r="E14" s="336" t="n">
        <v>78090</v>
      </c>
    </row>
    <row r="15" customFormat="false" ht="14.4" hidden="false" customHeight="false" outlineLevel="0" collapsed="false">
      <c r="D15" s="0" t="n">
        <v>78717</v>
      </c>
      <c r="E15" s="336" t="n">
        <v>78716</v>
      </c>
    </row>
    <row r="16" customFormat="false" ht="14.4" hidden="false" customHeight="false" outlineLevel="0" collapsed="false">
      <c r="D16" s="0" t="n">
        <v>78191</v>
      </c>
      <c r="E16" s="336" t="n">
        <v>78192</v>
      </c>
    </row>
    <row r="17" customFormat="false" ht="14.4" hidden="false" customHeight="false" outlineLevel="0" collapsed="false">
      <c r="D17" s="0" t="n">
        <v>78111</v>
      </c>
      <c r="E17" s="336" t="n">
        <v>78110</v>
      </c>
    </row>
    <row r="18" customFormat="false" ht="14.4" hidden="false" customHeight="false" outlineLevel="0" collapsed="false">
      <c r="D18" s="0" t="n">
        <v>78615</v>
      </c>
      <c r="E18" s="336" t="n">
        <v>78617</v>
      </c>
    </row>
    <row r="19" customFormat="false" ht="14.4" hidden="false" customHeight="false" outlineLevel="0" collapsed="false">
      <c r="D19" s="0" t="n">
        <v>78868</v>
      </c>
      <c r="E19" s="336" t="n">
        <v>78867</v>
      </c>
    </row>
    <row r="20" customFormat="false" ht="14.4" hidden="false" customHeight="false" outlineLevel="0" collapsed="false">
      <c r="D20" s="0" t="n">
        <v>78908</v>
      </c>
      <c r="E20" s="336" t="n">
        <v>78907</v>
      </c>
    </row>
    <row r="21" customFormat="false" ht="14.4" hidden="false" customHeight="false" outlineLevel="0" collapsed="false">
      <c r="D21" s="0" t="n">
        <v>78735</v>
      </c>
      <c r="E21" s="336" t="n">
        <v>78737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2" activeCellId="0" sqref="Q42"/>
    </sheetView>
  </sheetViews>
  <sheetFormatPr defaultRowHeight="14.4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9.55"/>
    <col collapsed="false" customWidth="true" hidden="false" outlineLevel="0" max="3" min="3" style="0" width="9.33"/>
    <col collapsed="false" customWidth="true" hidden="false" outlineLevel="0" max="4" min="4" style="0" width="9.55"/>
    <col collapsed="false" customWidth="true" hidden="false" outlineLevel="0" max="5" min="5" style="0" width="8.51"/>
    <col collapsed="false" customWidth="true" hidden="false" outlineLevel="0" max="10" min="6" style="0" width="9.55"/>
    <col collapsed="false" customWidth="true" hidden="false" outlineLevel="0" max="11" min="11" style="0" width="14.44"/>
    <col collapsed="false" customWidth="true" hidden="false" outlineLevel="0" max="1025" min="12" style="0" width="8.51"/>
  </cols>
  <sheetData>
    <row r="2" customFormat="false" ht="78" hidden="false" customHeight="tru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/>
      <c r="F2" s="3" t="s">
        <v>4</v>
      </c>
      <c r="G2" s="3"/>
      <c r="H2" s="3"/>
      <c r="I2" s="3"/>
      <c r="J2" s="3"/>
      <c r="M2" s="5" t="s">
        <v>6</v>
      </c>
      <c r="N2" s="5" t="s">
        <v>7</v>
      </c>
    </row>
    <row r="3" customFormat="false" ht="15.6" hidden="false" customHeight="false" outlineLevel="0" collapsed="false">
      <c r="A3" s="6"/>
      <c r="B3" s="7"/>
      <c r="C3" s="6"/>
      <c r="D3" s="6"/>
      <c r="E3" s="6"/>
      <c r="F3" s="8" t="n">
        <v>200</v>
      </c>
      <c r="G3" s="8" t="n">
        <v>400</v>
      </c>
      <c r="H3" s="8" t="n">
        <v>500</v>
      </c>
      <c r="I3" s="8" t="n">
        <v>600</v>
      </c>
      <c r="J3" s="9" t="n">
        <v>800</v>
      </c>
      <c r="K3" s="10" t="s">
        <v>9</v>
      </c>
      <c r="L3" s="10" t="s">
        <v>10</v>
      </c>
    </row>
    <row r="4" customFormat="false" ht="15.6" hidden="false" customHeight="false" outlineLevel="0" collapsed="false">
      <c r="A4" s="6" t="n">
        <v>6</v>
      </c>
      <c r="B4" s="11" t="n">
        <v>26240</v>
      </c>
      <c r="C4" s="12" t="n">
        <v>0.421</v>
      </c>
      <c r="D4" s="12" t="n">
        <v>139.2</v>
      </c>
      <c r="E4" s="13" t="n">
        <f aca="false">D4*0.001</f>
        <v>0.1392</v>
      </c>
      <c r="F4" s="14" t="n">
        <v>26.5960621628695</v>
      </c>
      <c r="G4" s="14" t="n">
        <v>53.1921243257389</v>
      </c>
      <c r="H4" s="14" t="n">
        <v>66.4901554071736</v>
      </c>
      <c r="I4" s="14" t="n">
        <v>79.7881864886084</v>
      </c>
      <c r="J4" s="15" t="n">
        <v>106.384248651478</v>
      </c>
      <c r="K4" s="16" t="n">
        <v>12.5</v>
      </c>
      <c r="L4" s="16" t="n">
        <v>10.06</v>
      </c>
      <c r="M4" s="17" t="n">
        <v>0.162</v>
      </c>
      <c r="N4" s="18" t="n">
        <f aca="false">M4*25.4*0.5</f>
        <v>2.0574</v>
      </c>
    </row>
    <row r="5" customFormat="false" ht="15.6" hidden="false" customHeight="false" outlineLevel="0" collapsed="false">
      <c r="A5" s="6" t="n">
        <v>7</v>
      </c>
      <c r="B5" s="11" t="n">
        <v>20820</v>
      </c>
      <c r="C5" s="12" t="n">
        <v>0.376</v>
      </c>
      <c r="D5" s="12" t="n">
        <v>111</v>
      </c>
      <c r="E5" s="19" t="n">
        <f aca="false">D5*0.001</f>
        <v>0.111</v>
      </c>
      <c r="F5" s="14" t="n">
        <v>21.1018228328657</v>
      </c>
      <c r="G5" s="14" t="n">
        <v>42.2036456657314</v>
      </c>
      <c r="H5" s="14" t="n">
        <v>52.7545570821643</v>
      </c>
      <c r="I5" s="14" t="n">
        <v>63.3054684985971</v>
      </c>
      <c r="J5" s="15" t="n">
        <v>84.4072913314629</v>
      </c>
      <c r="K5" s="16" t="n">
        <v>15.75</v>
      </c>
      <c r="L5" s="16" t="n">
        <v>10.15</v>
      </c>
      <c r="M5" s="17" t="n">
        <v>0.1443</v>
      </c>
      <c r="N5" s="18" t="n">
        <f aca="false">M5*25.4*0.5</f>
        <v>1.83261</v>
      </c>
    </row>
    <row r="6" customFormat="false" ht="15.6" hidden="false" customHeight="false" outlineLevel="0" collapsed="false">
      <c r="A6" s="20" t="n">
        <v>8</v>
      </c>
      <c r="B6" s="11" t="n">
        <v>16510</v>
      </c>
      <c r="C6" s="21" t="n">
        <v>0.336</v>
      </c>
      <c r="D6" s="21" t="n">
        <v>88.7</v>
      </c>
      <c r="E6" s="19" t="n">
        <f aca="false">D6*0.001</f>
        <v>0.0887</v>
      </c>
      <c r="F6" s="14" t="n">
        <v>16.7337611434553</v>
      </c>
      <c r="G6" s="14" t="n">
        <v>33.4675222869106</v>
      </c>
      <c r="H6" s="14" t="n">
        <v>41.8344028586383</v>
      </c>
      <c r="I6" s="14" t="n">
        <v>50.2012834303659</v>
      </c>
      <c r="J6" s="15" t="n">
        <v>66.9350445738213</v>
      </c>
      <c r="K6" s="16" t="n">
        <v>19.85</v>
      </c>
      <c r="L6" s="16" t="n">
        <v>10.27</v>
      </c>
      <c r="M6" s="17" t="n">
        <v>0.1285</v>
      </c>
      <c r="N6" s="18" t="n">
        <f aca="false">M6*25.4*0.5</f>
        <v>1.63195</v>
      </c>
    </row>
    <row r="7" customFormat="false" ht="15.6" hidden="false" customHeight="false" outlineLevel="0" collapsed="false">
      <c r="A7" s="20" t="n">
        <v>9</v>
      </c>
      <c r="B7" s="11" t="n">
        <v>13090</v>
      </c>
      <c r="C7" s="21" t="n">
        <v>0.299</v>
      </c>
      <c r="D7" s="21" t="n">
        <v>70.2</v>
      </c>
      <c r="E7" s="19" t="n">
        <f aca="false">D7*0.001</f>
        <v>0.0702</v>
      </c>
      <c r="F7" s="14" t="n">
        <v>13.2629263872829</v>
      </c>
      <c r="G7" s="14" t="n">
        <v>26.5258527745657</v>
      </c>
      <c r="H7" s="14" t="n">
        <v>33.1573159682071</v>
      </c>
      <c r="I7" s="14" t="n">
        <v>39.7887791618486</v>
      </c>
      <c r="J7" s="15" t="n">
        <v>53.0517055491314</v>
      </c>
      <c r="K7" s="16" t="n">
        <v>25</v>
      </c>
      <c r="L7" s="16" t="n">
        <v>10.31</v>
      </c>
      <c r="M7" s="17" t="n">
        <v>0.1144</v>
      </c>
      <c r="N7" s="18" t="n">
        <f aca="false">M7*25.4*0.5</f>
        <v>1.45288</v>
      </c>
    </row>
    <row r="8" customFormat="false" ht="15.6" hidden="false" customHeight="false" outlineLevel="0" collapsed="false">
      <c r="A8" s="20" t="n">
        <v>10</v>
      </c>
      <c r="B8" s="11" t="n">
        <v>10380</v>
      </c>
      <c r="C8" s="21" t="n">
        <v>0.267</v>
      </c>
      <c r="D8" s="21" t="n">
        <v>56</v>
      </c>
      <c r="E8" s="19" t="n">
        <f aca="false">D8*0.001</f>
        <v>0.056</v>
      </c>
      <c r="F8" s="14" t="n">
        <v>10.5229056940631</v>
      </c>
      <c r="G8" s="14" t="n">
        <v>21.0458113881263</v>
      </c>
      <c r="H8" s="14" t="n">
        <v>26.3072642351578</v>
      </c>
      <c r="I8" s="14" t="n">
        <v>31.5687170821894</v>
      </c>
      <c r="J8" s="15" t="n">
        <v>42.0916227762525</v>
      </c>
      <c r="K8" s="16" t="n">
        <v>31.5</v>
      </c>
      <c r="L8" s="16" t="n">
        <v>7.57</v>
      </c>
      <c r="M8" s="17" t="n">
        <v>0.1019</v>
      </c>
      <c r="N8" s="18" t="n">
        <f aca="false">M8*25.4*0.5</f>
        <v>1.29413</v>
      </c>
    </row>
    <row r="9" customFormat="false" ht="15.6" hidden="false" customHeight="false" outlineLevel="0" collapsed="false">
      <c r="A9" s="20" t="n">
        <v>11</v>
      </c>
      <c r="B9" s="11" t="n">
        <v>8226</v>
      </c>
      <c r="C9" s="21" t="n">
        <v>0.238</v>
      </c>
      <c r="D9" s="21" t="n">
        <v>44.5</v>
      </c>
      <c r="E9" s="19" t="n">
        <f aca="false">D9*0.001</f>
        <v>0.0445</v>
      </c>
      <c r="F9" s="14" t="n">
        <v>8.33684801944155</v>
      </c>
      <c r="G9" s="14" t="n">
        <v>16.6736960388831</v>
      </c>
      <c r="H9" s="14" t="n">
        <v>20.8421200486039</v>
      </c>
      <c r="I9" s="14" t="n">
        <v>25.0105440583246</v>
      </c>
      <c r="J9" s="15" t="n">
        <v>33.3473920777662</v>
      </c>
      <c r="K9" s="16" t="n">
        <v>39</v>
      </c>
      <c r="L9" s="16" t="n">
        <v>7.58</v>
      </c>
      <c r="M9" s="17" t="n">
        <v>0.0907</v>
      </c>
      <c r="N9" s="18" t="n">
        <f aca="false">M9*25.4*0.5</f>
        <v>1.15189</v>
      </c>
    </row>
    <row r="10" customFormat="false" ht="15.6" hidden="false" customHeight="false" outlineLevel="0" collapsed="false">
      <c r="A10" s="20" t="n">
        <v>12</v>
      </c>
      <c r="B10" s="11" t="n">
        <v>6529</v>
      </c>
      <c r="C10" s="21" t="n">
        <v>0.213</v>
      </c>
      <c r="D10" s="21" t="n">
        <v>35.6</v>
      </c>
      <c r="E10" s="19" t="n">
        <f aca="false">D10*0.001</f>
        <v>0.0356</v>
      </c>
      <c r="F10" s="14" t="n">
        <v>6.61622143267018</v>
      </c>
      <c r="G10" s="14" t="n">
        <v>13.2324428653404</v>
      </c>
      <c r="H10" s="14" t="n">
        <v>16.5405535816754</v>
      </c>
      <c r="I10" s="14" t="n">
        <v>19.8486642980105</v>
      </c>
      <c r="J10" s="15" t="n">
        <v>26.4648857306807</v>
      </c>
      <c r="K10" s="16" t="n">
        <v>49.9</v>
      </c>
      <c r="L10" s="16" t="n">
        <v>7.59</v>
      </c>
      <c r="M10" s="17" t="n">
        <v>0.0808</v>
      </c>
      <c r="N10" s="18" t="n">
        <f aca="false">M10*25.4*0.5</f>
        <v>1.02616</v>
      </c>
    </row>
    <row r="11" customFormat="false" ht="15.6" hidden="false" customHeight="false" outlineLevel="0" collapsed="false">
      <c r="A11" s="20" t="n">
        <v>13</v>
      </c>
      <c r="B11" s="11" t="n">
        <v>5184</v>
      </c>
      <c r="C11" s="21" t="n">
        <v>0.1902</v>
      </c>
      <c r="D11" s="21" t="n">
        <v>28.4</v>
      </c>
      <c r="E11" s="19" t="n">
        <f aca="false">D11*0.001</f>
        <v>0.0284</v>
      </c>
      <c r="F11" s="14" t="n">
        <v>5.25354314328286</v>
      </c>
      <c r="G11" s="14" t="n">
        <v>10.5070862865657</v>
      </c>
      <c r="H11" s="14" t="n">
        <v>13.1338578582071</v>
      </c>
      <c r="I11" s="14" t="n">
        <v>15.7606294298486</v>
      </c>
      <c r="J11" s="15" t="n">
        <v>21.0141725731314</v>
      </c>
      <c r="K11" s="16" t="n">
        <v>62.9</v>
      </c>
      <c r="L11" s="16" t="n">
        <v>7.6</v>
      </c>
      <c r="M11" s="17" t="n">
        <v>0.072</v>
      </c>
      <c r="N11" s="18" t="n">
        <f aca="false">M11*25.4*0.5</f>
        <v>0.9144</v>
      </c>
    </row>
    <row r="12" customFormat="false" ht="15.6" hidden="false" customHeight="false" outlineLevel="0" collapsed="false">
      <c r="A12" s="20" t="n">
        <v>14</v>
      </c>
      <c r="B12" s="11" t="n">
        <v>4109</v>
      </c>
      <c r="C12" s="21" t="n">
        <v>0.1715</v>
      </c>
      <c r="D12" s="21" t="n">
        <v>23.1</v>
      </c>
      <c r="E12" s="19" t="n">
        <f aca="false">D12*0.001</f>
        <v>0.0231</v>
      </c>
      <c r="F12" s="14" t="n">
        <v>4.16392951438118</v>
      </c>
      <c r="G12" s="14" t="n">
        <v>8.32785902876236</v>
      </c>
      <c r="H12" s="14" t="n">
        <v>10.409823785953</v>
      </c>
      <c r="I12" s="14" t="n">
        <v>12.4917885431435</v>
      </c>
      <c r="J12" s="15" t="n">
        <v>16.6557180575247</v>
      </c>
      <c r="K12" s="16" t="n">
        <v>79.18</v>
      </c>
      <c r="L12" s="16" t="n">
        <v>7.94</v>
      </c>
      <c r="M12" s="17" t="n">
        <v>0.0641</v>
      </c>
      <c r="N12" s="18" t="n">
        <f aca="false">M12*25.4*0.5</f>
        <v>0.81407</v>
      </c>
    </row>
    <row r="13" customFormat="false" ht="15.6" hidden="false" customHeight="false" outlineLevel="0" collapsed="false">
      <c r="A13" s="20" t="n">
        <v>15</v>
      </c>
      <c r="B13" s="11" t="n">
        <v>3260</v>
      </c>
      <c r="C13" s="21" t="n">
        <v>0.1529</v>
      </c>
      <c r="D13" s="21" t="n">
        <v>18.4</v>
      </c>
      <c r="E13" s="13" t="n">
        <f aca="false">D13*0.001</f>
        <v>0.0184</v>
      </c>
      <c r="F13" s="14" t="n">
        <v>3.30414826384854</v>
      </c>
      <c r="G13" s="14" t="n">
        <v>6.60829652769709</v>
      </c>
      <c r="H13" s="14" t="n">
        <v>8.26037065962136</v>
      </c>
      <c r="I13" s="14" t="n">
        <v>9.91244479154564</v>
      </c>
      <c r="J13" s="15" t="n">
        <v>13.2165930553942</v>
      </c>
      <c r="K13" s="16" t="n">
        <v>99.7</v>
      </c>
      <c r="L13" s="16" t="n">
        <v>7.98</v>
      </c>
      <c r="M13" s="17" t="n">
        <v>0.0571</v>
      </c>
      <c r="N13" s="18" t="n">
        <f aca="false">M13*25.4*0.5</f>
        <v>0.72517</v>
      </c>
    </row>
    <row r="14" customFormat="false" ht="15.6" hidden="false" customHeight="false" outlineLevel="0" collapsed="false">
      <c r="A14" s="20" t="n">
        <v>16</v>
      </c>
      <c r="B14" s="11" t="n">
        <v>2581</v>
      </c>
      <c r="C14" s="21" t="n">
        <v>0.1369</v>
      </c>
      <c r="D14" s="21" t="n">
        <v>14.72</v>
      </c>
      <c r="E14" s="13" t="n">
        <f aca="false">D14*0.001</f>
        <v>0.01472</v>
      </c>
      <c r="F14" s="14" t="n">
        <v>2.61525917771633</v>
      </c>
      <c r="G14" s="14" t="n">
        <v>5.23051835543267</v>
      </c>
      <c r="H14" s="14" t="n">
        <v>6.53814794429083</v>
      </c>
      <c r="I14" s="14" t="n">
        <v>7.845777533149</v>
      </c>
      <c r="J14" s="15" t="n">
        <v>10.4610367108653</v>
      </c>
      <c r="K14" s="16" t="n">
        <v>125.6</v>
      </c>
      <c r="L14" s="16" t="n">
        <v>8.08</v>
      </c>
      <c r="M14" s="17" t="n">
        <v>0.0508</v>
      </c>
      <c r="N14" s="18" t="n">
        <f aca="false">M14*25.4*0.5</f>
        <v>0.64516</v>
      </c>
    </row>
    <row r="15" customFormat="false" ht="15.6" hidden="false" customHeight="false" outlineLevel="0" collapsed="false">
      <c r="A15" s="20" t="n">
        <v>17</v>
      </c>
      <c r="B15" s="11" t="n">
        <v>2052</v>
      </c>
      <c r="C15" s="21" t="n">
        <v>0.1224</v>
      </c>
      <c r="D15" s="21" t="n">
        <v>11.77</v>
      </c>
      <c r="E15" s="13" t="n">
        <f aca="false">D15*0.001</f>
        <v>0.01177</v>
      </c>
      <c r="F15" s="14" t="n">
        <v>2.07961870156237</v>
      </c>
      <c r="G15" s="14" t="n">
        <v>4.15923740312474</v>
      </c>
      <c r="H15" s="14" t="n">
        <v>5.19904675390592</v>
      </c>
      <c r="I15" s="14" t="n">
        <v>6.2388561046871</v>
      </c>
      <c r="J15" s="15" t="n">
        <v>8.31847480624947</v>
      </c>
      <c r="K15" s="16" t="n">
        <v>157.7</v>
      </c>
      <c r="L15" s="16" t="n">
        <v>8.19</v>
      </c>
      <c r="M15" s="17" t="n">
        <v>0.0453</v>
      </c>
      <c r="N15" s="18" t="n">
        <f aca="false">M15*25.4*0.5</f>
        <v>0.57531</v>
      </c>
    </row>
    <row r="16" customFormat="false" ht="15.6" hidden="false" customHeight="false" outlineLevel="0" collapsed="false">
      <c r="A16" s="20" t="n">
        <v>18</v>
      </c>
      <c r="B16" s="11" t="n">
        <v>1624</v>
      </c>
      <c r="C16" s="21" t="n">
        <v>0.1095</v>
      </c>
      <c r="D16" s="21" t="n">
        <v>9.42</v>
      </c>
      <c r="E16" s="13" t="n">
        <f aca="false">D16*0.001</f>
        <v>0.00942</v>
      </c>
      <c r="F16" s="14" t="n">
        <v>1.64587709945491</v>
      </c>
      <c r="G16" s="14" t="n">
        <v>3.29175419890982</v>
      </c>
      <c r="H16" s="14" t="n">
        <v>4.11469274863728</v>
      </c>
      <c r="I16" s="14" t="n">
        <v>4.93763129836473</v>
      </c>
      <c r="J16" s="15" t="n">
        <v>6.58350839781964</v>
      </c>
      <c r="K16" s="16" t="n">
        <v>199.2</v>
      </c>
      <c r="L16" s="16" t="n">
        <v>8.3</v>
      </c>
      <c r="M16" s="17" t="n">
        <v>0.0403</v>
      </c>
      <c r="N16" s="18" t="n">
        <f aca="false">M16*25.4*0.5</f>
        <v>0.51181</v>
      </c>
    </row>
    <row r="17" customFormat="false" ht="15.6" hidden="false" customHeight="false" outlineLevel="0" collapsed="false">
      <c r="A17" s="20" t="n">
        <v>19</v>
      </c>
      <c r="B17" s="11" t="n">
        <v>1289</v>
      </c>
      <c r="C17" s="21" t="n">
        <v>0.098</v>
      </c>
      <c r="D17" s="21" t="n">
        <v>7.54</v>
      </c>
      <c r="E17" s="13" t="n">
        <f aca="false">D17*0.001</f>
        <v>0.00754</v>
      </c>
      <c r="F17" s="14" t="n">
        <v>1.30609933227129</v>
      </c>
      <c r="G17" s="14" t="n">
        <v>2.61219866454258</v>
      </c>
      <c r="H17" s="14" t="n">
        <v>3.26524833067823</v>
      </c>
      <c r="I17" s="14" t="n">
        <v>3.91829799681388</v>
      </c>
      <c r="J17" s="15" t="n">
        <v>5.22439732908517</v>
      </c>
      <c r="K17" s="16" t="n">
        <v>250.6</v>
      </c>
      <c r="L17" s="16" t="n">
        <v>8.38</v>
      </c>
      <c r="M17" s="17" t="n">
        <v>0.0359</v>
      </c>
      <c r="N17" s="18" t="n">
        <f aca="false">M17*25.4*0.5</f>
        <v>0.45593</v>
      </c>
    </row>
    <row r="18" customFormat="false" ht="15.6" hidden="false" customHeight="false" outlineLevel="0" collapsed="false">
      <c r="A18" s="20" t="n">
        <v>20</v>
      </c>
      <c r="B18" s="11" t="n">
        <v>1024</v>
      </c>
      <c r="C18" s="21" t="n">
        <v>0.0879</v>
      </c>
      <c r="D18" s="21" t="n">
        <v>6.07</v>
      </c>
      <c r="E18" s="13" t="n">
        <f aca="false">D18*0.001</f>
        <v>0.00607</v>
      </c>
      <c r="F18" s="14" t="n">
        <v>1.03773691719168</v>
      </c>
      <c r="G18" s="14" t="n">
        <v>2.07547383438335</v>
      </c>
      <c r="H18" s="14" t="n">
        <v>2.59434229297919</v>
      </c>
      <c r="I18" s="14" t="n">
        <v>3.11321075157503</v>
      </c>
      <c r="J18" s="15" t="n">
        <v>4.1509476687667</v>
      </c>
      <c r="K18" s="16" t="n">
        <v>314.5</v>
      </c>
      <c r="L18" s="16" t="n">
        <v>8.27</v>
      </c>
      <c r="M18" s="17" t="n">
        <v>0.032</v>
      </c>
      <c r="N18" s="18" t="n">
        <f aca="false">M18*25.4*0.5</f>
        <v>0.4064</v>
      </c>
    </row>
    <row r="19" customFormat="false" ht="15.6" hidden="false" customHeight="false" outlineLevel="0" collapsed="false">
      <c r="A19" s="20" t="n">
        <v>21</v>
      </c>
      <c r="B19" s="11" t="n">
        <v>812.3</v>
      </c>
      <c r="C19" s="21" t="n">
        <v>0.0785</v>
      </c>
      <c r="D19" s="21" t="n">
        <v>4.84</v>
      </c>
      <c r="E19" s="13" t="n">
        <f aca="false">D19*0.001</f>
        <v>0.00484</v>
      </c>
      <c r="F19" s="14" t="n">
        <v>0.823146299793885</v>
      </c>
      <c r="G19" s="14" t="n">
        <v>1.64629259958777</v>
      </c>
      <c r="H19" s="14" t="n">
        <v>2.05786574948471</v>
      </c>
      <c r="I19" s="14" t="n">
        <v>2.46943889938166</v>
      </c>
      <c r="J19" s="15" t="n">
        <v>3.29258519917554</v>
      </c>
      <c r="K19" s="16" t="n">
        <v>395.3</v>
      </c>
      <c r="L19" s="16" t="n">
        <v>8.37</v>
      </c>
      <c r="M19" s="17" t="n">
        <v>0.0285</v>
      </c>
      <c r="N19" s="18" t="n">
        <f aca="false">M19*25.4*0.5</f>
        <v>0.36195</v>
      </c>
    </row>
    <row r="20" customFormat="false" ht="15.6" hidden="false" customHeight="false" outlineLevel="0" collapsed="false">
      <c r="A20" s="20" t="n">
        <v>22</v>
      </c>
      <c r="B20" s="11" t="n">
        <v>640.1</v>
      </c>
      <c r="C20" s="21" t="n">
        <v>0.0701</v>
      </c>
      <c r="D20" s="21" t="n">
        <v>3.86</v>
      </c>
      <c r="E20" s="13" t="n">
        <f aca="false">D20*0.001</f>
        <v>0.00386</v>
      </c>
      <c r="F20" s="14" t="n">
        <v>0.648676780591035</v>
      </c>
      <c r="G20" s="14" t="n">
        <v>1.29735356118207</v>
      </c>
      <c r="H20" s="14" t="n">
        <v>1.62169195147759</v>
      </c>
      <c r="I20" s="14" t="n">
        <v>1.9460303417731</v>
      </c>
      <c r="J20" s="15" t="n">
        <v>2.59470712236414</v>
      </c>
      <c r="K20" s="16" t="n">
        <v>502.5</v>
      </c>
      <c r="L20" s="16" t="n">
        <v>8.53</v>
      </c>
      <c r="M20" s="17" t="n">
        <v>0.0253</v>
      </c>
      <c r="N20" s="18" t="n">
        <f aca="false">M20*25.4*0.5</f>
        <v>0.32131</v>
      </c>
    </row>
    <row r="21" customFormat="false" ht="15.6" hidden="false" customHeight="false" outlineLevel="0" collapsed="false">
      <c r="A21" s="20" t="n">
        <v>23</v>
      </c>
      <c r="B21" s="11" t="n">
        <v>510.8</v>
      </c>
      <c r="C21" s="21" t="n">
        <v>0.0632</v>
      </c>
      <c r="D21" s="21" t="n">
        <v>3.14</v>
      </c>
      <c r="E21" s="13" t="n">
        <f aca="false">D21*0.001</f>
        <v>0.00314</v>
      </c>
      <c r="F21" s="14" t="n">
        <v>0.517611824047676</v>
      </c>
      <c r="G21" s="14" t="n">
        <v>1.03522364809535</v>
      </c>
      <c r="H21" s="14" t="n">
        <v>1.29402956011919</v>
      </c>
      <c r="I21" s="14" t="n">
        <v>1.55283547214303</v>
      </c>
      <c r="J21" s="15" t="n">
        <v>2.0704472961907</v>
      </c>
      <c r="K21" s="16" t="n">
        <v>625</v>
      </c>
      <c r="L21" s="16" t="n">
        <v>8.8</v>
      </c>
      <c r="M21" s="17" t="n">
        <v>0.0226</v>
      </c>
      <c r="N21" s="18" t="n">
        <f aca="false">M21*25.4*0.5</f>
        <v>0.28702</v>
      </c>
    </row>
    <row r="22" customFormat="false" ht="15.6" hidden="false" customHeight="false" outlineLevel="0" collapsed="false">
      <c r="A22" s="20" t="n">
        <v>24</v>
      </c>
      <c r="B22" s="11" t="n">
        <v>404</v>
      </c>
      <c r="C22" s="21" t="n">
        <v>0.0566</v>
      </c>
      <c r="D22" s="21" t="n">
        <v>2.52</v>
      </c>
      <c r="E22" s="13" t="n">
        <f aca="false">D22*0.001</f>
        <v>0.00252</v>
      </c>
      <c r="F22" s="14" t="n">
        <v>0.40942977726036</v>
      </c>
      <c r="G22" s="14" t="n">
        <v>0.81885955452072</v>
      </c>
      <c r="H22" s="14" t="n">
        <v>1.0235744431509</v>
      </c>
      <c r="I22" s="14" t="n">
        <v>1.22828933178108</v>
      </c>
      <c r="J22" s="15" t="n">
        <v>1.63771910904144</v>
      </c>
      <c r="K22" s="16" t="n">
        <v>790.5</v>
      </c>
      <c r="L22" s="16" t="n">
        <v>9.01</v>
      </c>
      <c r="M22" s="17" t="n">
        <v>0.0201</v>
      </c>
      <c r="N22" s="18" t="n">
        <f aca="false">M22*25.4*0.5</f>
        <v>0.25527</v>
      </c>
    </row>
    <row r="23" customFormat="false" ht="15.6" hidden="false" customHeight="false" outlineLevel="0" collapsed="false">
      <c r="A23" s="20" t="n">
        <v>25</v>
      </c>
      <c r="B23" s="11" t="n">
        <v>320.4</v>
      </c>
      <c r="C23" s="21" t="n">
        <v>0.0505</v>
      </c>
      <c r="D23" s="21" t="n">
        <v>2</v>
      </c>
      <c r="E23" s="13" t="n">
        <f aca="false">D23*0.001</f>
        <v>0.002</v>
      </c>
      <c r="F23" s="14" t="n">
        <v>0.324708286755258</v>
      </c>
      <c r="G23" s="14" t="n">
        <v>0.649416573510517</v>
      </c>
      <c r="H23" s="14" t="n">
        <v>0.811770716888146</v>
      </c>
      <c r="I23" s="14" t="n">
        <v>0.974124860265775</v>
      </c>
      <c r="J23" s="15" t="n">
        <v>1.29883314702103</v>
      </c>
      <c r="K23" s="16" t="n">
        <v>992.1</v>
      </c>
      <c r="L23" s="16" t="n">
        <v>9.32</v>
      </c>
      <c r="M23" s="17" t="n">
        <v>0.0179</v>
      </c>
      <c r="N23" s="18" t="n">
        <f aca="false">M23*25.4*0.5</f>
        <v>0.22733</v>
      </c>
    </row>
    <row r="24" customFormat="false" ht="15.6" hidden="false" customHeight="false" outlineLevel="0" collapsed="false">
      <c r="A24" s="20" t="n">
        <v>26</v>
      </c>
      <c r="B24" s="11" t="n">
        <v>252.8</v>
      </c>
      <c r="C24" s="21" t="n">
        <v>0.0452</v>
      </c>
      <c r="D24" s="21" t="n">
        <v>1.6</v>
      </c>
      <c r="E24" s="13" t="n">
        <f aca="false">D24*0.001</f>
        <v>0.0016</v>
      </c>
      <c r="F24" s="14" t="n">
        <v>0.256201435581277</v>
      </c>
      <c r="G24" s="14" t="n">
        <v>0.512402871162554</v>
      </c>
      <c r="H24" s="14" t="n">
        <v>0.640503588953192</v>
      </c>
      <c r="I24" s="14" t="n">
        <v>0.768604306743831</v>
      </c>
      <c r="J24" s="15" t="n">
        <v>1.02480574232511</v>
      </c>
      <c r="K24" s="16" t="n">
        <v>1254</v>
      </c>
      <c r="L24" s="16" t="n">
        <v>9.06</v>
      </c>
      <c r="M24" s="17" t="n">
        <v>0.0159</v>
      </c>
      <c r="N24" s="18" t="n">
        <f aca="false">M24*25.4*0.5</f>
        <v>0.20193</v>
      </c>
    </row>
    <row r="25" customFormat="false" ht="15.6" hidden="false" customHeight="false" outlineLevel="0" collapsed="false">
      <c r="A25" s="20" t="n">
        <v>27</v>
      </c>
      <c r="B25" s="11" t="n">
        <v>201.6</v>
      </c>
      <c r="C25" s="21" t="n">
        <v>0.0409</v>
      </c>
      <c r="D25" s="21" t="n">
        <v>1.31</v>
      </c>
      <c r="E25" s="13" t="n">
        <f aca="false">D25*0.001</f>
        <v>0.00131</v>
      </c>
      <c r="F25" s="14" t="n">
        <v>0.204344992170439</v>
      </c>
      <c r="G25" s="14" t="n">
        <v>0.408689984340878</v>
      </c>
      <c r="H25" s="14" t="n">
        <v>0.510862480426097</v>
      </c>
      <c r="I25" s="14" t="n">
        <v>0.613034976511317</v>
      </c>
      <c r="J25" s="15" t="n">
        <v>0.817379968681755</v>
      </c>
      <c r="K25" s="16" t="n">
        <v>1571</v>
      </c>
      <c r="L25" s="16" t="n">
        <v>9</v>
      </c>
      <c r="M25" s="17" t="n">
        <v>0.0142</v>
      </c>
      <c r="N25" s="18" t="n">
        <f aca="false">M25*25.4*0.5</f>
        <v>0.18034</v>
      </c>
    </row>
    <row r="26" customFormat="false" ht="15.6" hidden="false" customHeight="false" outlineLevel="0" collapsed="false">
      <c r="A26" s="20" t="n">
        <v>28</v>
      </c>
      <c r="B26" s="11" t="n">
        <v>158.8</v>
      </c>
      <c r="C26" s="21" t="n">
        <v>0.0366</v>
      </c>
      <c r="D26" s="21" t="n">
        <v>1.05</v>
      </c>
      <c r="E26" s="13" t="n">
        <f aca="false">D26*0.001</f>
        <v>0.00105</v>
      </c>
      <c r="F26" s="14" t="n">
        <v>0.160889758763037</v>
      </c>
      <c r="G26" s="14" t="n">
        <v>0.321779517526075</v>
      </c>
      <c r="H26" s="14" t="n">
        <v>0.402224396907594</v>
      </c>
      <c r="I26" s="14" t="n">
        <v>0.482669276289112</v>
      </c>
      <c r="J26" s="15" t="n">
        <v>0.64355903505215</v>
      </c>
      <c r="K26" s="16" t="n">
        <v>1987</v>
      </c>
      <c r="L26" s="16" t="n">
        <v>9</v>
      </c>
      <c r="M26" s="17" t="n">
        <v>0.0126</v>
      </c>
      <c r="N26" s="18" t="n">
        <f aca="false">M26*25.4*0.5</f>
        <v>0.16002</v>
      </c>
    </row>
    <row r="27" customFormat="false" ht="15.6" hidden="false" customHeight="false" outlineLevel="0" collapsed="false">
      <c r="A27" s="20" t="n">
        <v>29</v>
      </c>
      <c r="B27" s="11" t="n">
        <v>127.7</v>
      </c>
      <c r="C27" s="21" t="n">
        <v>0.033</v>
      </c>
      <c r="D27" s="21" t="n">
        <v>0.855</v>
      </c>
      <c r="E27" s="13" t="n">
        <f aca="false">D27*0.001</f>
        <v>0.000855</v>
      </c>
      <c r="F27" s="14" t="n">
        <v>0.129402956011919</v>
      </c>
      <c r="G27" s="14" t="n">
        <v>0.258805912023838</v>
      </c>
      <c r="H27" s="14" t="n">
        <v>0.323507390029797</v>
      </c>
      <c r="I27" s="14" t="n">
        <v>0.388208868035757</v>
      </c>
      <c r="J27" s="15" t="n">
        <v>0.517611824047676</v>
      </c>
      <c r="K27" s="16" t="n">
        <v>2463</v>
      </c>
      <c r="L27" s="16" t="n">
        <v>9</v>
      </c>
      <c r="M27" s="17" t="n">
        <v>0.0113</v>
      </c>
      <c r="N27" s="18" t="n">
        <f aca="false">M27*25.4*0.5</f>
        <v>0.14351</v>
      </c>
    </row>
    <row r="28" customFormat="false" ht="15.6" hidden="false" customHeight="false" outlineLevel="0" collapsed="false">
      <c r="A28" s="20" t="n">
        <v>30</v>
      </c>
      <c r="B28" s="11" t="n">
        <v>100</v>
      </c>
      <c r="C28" s="21" t="n">
        <v>0.0295</v>
      </c>
      <c r="D28" s="21" t="n">
        <v>0.683</v>
      </c>
      <c r="E28" s="13" t="n">
        <f aca="false">D28*0.001</f>
        <v>0.000683</v>
      </c>
      <c r="F28" s="14" t="n">
        <v>0.1013414958195</v>
      </c>
      <c r="G28" s="14" t="n">
        <v>0.202682991638999</v>
      </c>
      <c r="H28" s="14" t="n">
        <v>0.253353739548749</v>
      </c>
      <c r="I28" s="14" t="n">
        <v>0.304024487458499</v>
      </c>
      <c r="J28" s="15" t="n">
        <v>0.405365983277998</v>
      </c>
      <c r="K28" s="16" t="n">
        <v>3136</v>
      </c>
      <c r="L28" s="16" t="n">
        <v>9</v>
      </c>
      <c r="M28" s="17" t="n">
        <v>0.01</v>
      </c>
      <c r="N28" s="18" t="n">
        <f aca="false">M28*25.4*0.5</f>
        <v>0.127</v>
      </c>
    </row>
    <row r="29" customFormat="false" ht="15.6" hidden="false" customHeight="false" outlineLevel="0" collapsed="false">
      <c r="A29" s="20" t="n">
        <v>31</v>
      </c>
      <c r="B29" s="11" t="n">
        <v>79.21</v>
      </c>
      <c r="C29" s="21" t="n">
        <v>0.0267</v>
      </c>
      <c r="D29" s="21" t="n">
        <v>0.56</v>
      </c>
      <c r="E29" s="13" t="n">
        <f aca="false">D29*0.001</f>
        <v>0.00056</v>
      </c>
      <c r="F29" s="14" t="n">
        <v>0.0802725988386256</v>
      </c>
      <c r="G29" s="14" t="n">
        <v>0.160545197677251</v>
      </c>
      <c r="H29" s="14" t="n">
        <v>0.200681497096564</v>
      </c>
      <c r="I29" s="14" t="n">
        <v>0.240817796515877</v>
      </c>
      <c r="J29" s="15" t="n">
        <v>0.321090395354502</v>
      </c>
      <c r="K29" s="16" t="n">
        <v>3948</v>
      </c>
      <c r="L29" s="16" t="n">
        <v>9</v>
      </c>
      <c r="M29" s="17" t="n">
        <v>0.0089</v>
      </c>
      <c r="N29" s="18" t="n">
        <f aca="false">M29*25.4*0.5</f>
        <v>0.11303</v>
      </c>
    </row>
    <row r="30" customFormat="false" ht="15.6" hidden="false" customHeight="false" outlineLevel="0" collapsed="false">
      <c r="A30" s="20" t="n">
        <v>32</v>
      </c>
      <c r="B30" s="11" t="n">
        <v>64</v>
      </c>
      <c r="C30" s="21" t="n">
        <v>0.0241</v>
      </c>
      <c r="D30" s="21" t="n">
        <v>0.456</v>
      </c>
      <c r="E30" s="13" t="n">
        <f aca="false">D30*0.001</f>
        <v>0.000456</v>
      </c>
      <c r="F30" s="14" t="n">
        <v>0.0648585573244797</v>
      </c>
      <c r="G30" s="14" t="n">
        <v>0.129717114648959</v>
      </c>
      <c r="H30" s="14" t="n">
        <v>0.162146393311199</v>
      </c>
      <c r="I30" s="14" t="n">
        <v>0.194575671973439</v>
      </c>
      <c r="J30" s="15" t="n">
        <v>0.259434229297919</v>
      </c>
      <c r="K30" s="16" t="n">
        <v>4873</v>
      </c>
      <c r="L30" s="16" t="n">
        <v>9</v>
      </c>
      <c r="M30" s="17" t="n">
        <v>0.008</v>
      </c>
      <c r="N30" s="18" t="n">
        <f aca="false">M30*25.4*0.5</f>
        <v>0.1016</v>
      </c>
    </row>
    <row r="31" customFormat="false" ht="15.6" hidden="false" customHeight="false" outlineLevel="0" collapsed="false">
      <c r="A31" s="20" t="n">
        <v>33</v>
      </c>
      <c r="B31" s="11" t="n">
        <v>50.41</v>
      </c>
      <c r="C31" s="21" t="n">
        <v>0.0216</v>
      </c>
      <c r="D31" s="21" t="n">
        <v>0.366</v>
      </c>
      <c r="E31" s="13" t="n">
        <f aca="false">D31*0.001</f>
        <v>0.000366</v>
      </c>
      <c r="F31" s="14" t="n">
        <v>0.0510862480426097</v>
      </c>
      <c r="G31" s="14" t="n">
        <v>0.102172496085219</v>
      </c>
      <c r="H31" s="14" t="n">
        <v>0.127715620106524</v>
      </c>
      <c r="I31" s="14" t="n">
        <v>0.153258744127829</v>
      </c>
      <c r="J31" s="15" t="n">
        <v>0.204344992170439</v>
      </c>
      <c r="K31" s="16" t="n">
        <v>6161</v>
      </c>
      <c r="L31" s="16" t="n">
        <v>9</v>
      </c>
      <c r="M31" s="17" t="n">
        <v>0.0071</v>
      </c>
      <c r="N31" s="18" t="n">
        <f aca="false">M31*25.4*0.5</f>
        <v>0.09017</v>
      </c>
    </row>
    <row r="32" customFormat="false" ht="15.6" hidden="false" customHeight="false" outlineLevel="0" collapsed="false">
      <c r="A32" s="20" t="n">
        <v>34</v>
      </c>
      <c r="B32" s="11" t="n">
        <v>39.69</v>
      </c>
      <c r="C32" s="21" t="n">
        <v>0.01905</v>
      </c>
      <c r="D32" s="21" t="n">
        <v>0.285</v>
      </c>
      <c r="E32" s="13" t="n">
        <f aca="false">D32*0.001</f>
        <v>0.000285</v>
      </c>
      <c r="F32" s="14" t="n">
        <v>0.0402224396907594</v>
      </c>
      <c r="G32" s="14" t="n">
        <v>0.0804448793815187</v>
      </c>
      <c r="H32" s="14" t="n">
        <v>0.100556099226898</v>
      </c>
      <c r="I32" s="14" t="n">
        <v>0.120667319072278</v>
      </c>
      <c r="J32" s="15" t="n">
        <v>0.160889758763037</v>
      </c>
      <c r="K32" s="16" t="n">
        <v>7837</v>
      </c>
      <c r="L32" s="16" t="n">
        <v>9</v>
      </c>
      <c r="M32" s="17" t="n">
        <v>0.0063</v>
      </c>
      <c r="N32" s="18" t="n">
        <f aca="false">M32*25.4*0.5</f>
        <v>0.08001</v>
      </c>
    </row>
    <row r="33" customFormat="false" ht="15.6" hidden="false" customHeight="false" outlineLevel="0" collapsed="false">
      <c r="A33" s="20" t="n">
        <v>35</v>
      </c>
      <c r="B33" s="11" t="n">
        <v>31.36</v>
      </c>
      <c r="C33" s="21" t="n">
        <v>0.01702</v>
      </c>
      <c r="D33" s="21" t="n">
        <v>0.228</v>
      </c>
      <c r="E33" s="13" t="n">
        <f aca="false">D33*0.001</f>
        <v>0.000228</v>
      </c>
      <c r="F33" s="14" t="n">
        <v>0.0317806930889951</v>
      </c>
      <c r="G33" s="14" t="n">
        <v>0.0635613861779901</v>
      </c>
      <c r="H33" s="14" t="n">
        <v>0.0794517327224876</v>
      </c>
      <c r="I33" s="14" t="n">
        <v>0.0953420792669852</v>
      </c>
      <c r="J33" s="15" t="n">
        <v>0.12712277235598</v>
      </c>
      <c r="K33" s="16" t="n">
        <v>9891</v>
      </c>
      <c r="L33" s="16" t="n">
        <v>9</v>
      </c>
      <c r="M33" s="17" t="n">
        <v>0.0056</v>
      </c>
      <c r="N33" s="18" t="n">
        <f aca="false">M33*25.4*0.5</f>
        <v>0.07112</v>
      </c>
    </row>
    <row r="34" customFormat="false" ht="15.6" hidden="false" customHeight="false" outlineLevel="0" collapsed="false">
      <c r="A34" s="20" t="n">
        <v>36</v>
      </c>
      <c r="B34" s="11" t="n">
        <v>25</v>
      </c>
      <c r="C34" s="21" t="n">
        <v>0.01524</v>
      </c>
      <c r="D34" s="21" t="n">
        <v>0.182</v>
      </c>
      <c r="E34" s="13" t="n">
        <f aca="false">D34*0.001</f>
        <v>0.000182</v>
      </c>
      <c r="F34" s="14" t="n">
        <v>0.0253353739548749</v>
      </c>
      <c r="G34" s="14" t="n">
        <v>0.0506707479097498</v>
      </c>
      <c r="H34" s="14" t="n">
        <v>0.0633384348871872</v>
      </c>
      <c r="I34" s="14" t="n">
        <v>0.0760061218646247</v>
      </c>
      <c r="J34" s="15" t="n">
        <v>0.1013414958195</v>
      </c>
      <c r="K34" s="16" t="n">
        <v>12380</v>
      </c>
      <c r="L34" s="16" t="n">
        <v>9</v>
      </c>
      <c r="M34" s="17" t="n">
        <v>0.005</v>
      </c>
      <c r="N34" s="18" t="n">
        <f aca="false">M34*25.4*0.5</f>
        <v>0.0635</v>
      </c>
    </row>
    <row r="35" customFormat="false" ht="15.6" hidden="false" customHeight="false" outlineLevel="0" collapsed="false">
      <c r="A35" s="20" t="n">
        <v>37</v>
      </c>
      <c r="B35" s="11" t="n">
        <v>20.25</v>
      </c>
      <c r="C35" s="21" t="n">
        <v>0.01397</v>
      </c>
      <c r="D35" s="21" t="n">
        <v>0.153</v>
      </c>
      <c r="E35" s="13" t="n">
        <f aca="false">D35*0.001</f>
        <v>0.000153</v>
      </c>
      <c r="F35" s="14" t="n">
        <v>0.0205216529034487</v>
      </c>
      <c r="G35" s="14" t="n">
        <v>0.0410433058068973</v>
      </c>
      <c r="H35" s="14" t="n">
        <v>0.0513041322586216</v>
      </c>
      <c r="I35" s="14" t="n">
        <v>0.061564958710346</v>
      </c>
      <c r="J35" s="15" t="n">
        <v>0.0820866116137946</v>
      </c>
      <c r="K35" s="16" t="n">
        <v>15290</v>
      </c>
      <c r="L35" s="16" t="n">
        <v>9</v>
      </c>
      <c r="M35" s="17" t="n">
        <v>0.0045</v>
      </c>
      <c r="N35" s="18" t="n">
        <f aca="false">M35*25.4*0.5</f>
        <v>0.05715</v>
      </c>
    </row>
    <row r="36" customFormat="false" ht="15.6" hidden="false" customHeight="false" outlineLevel="0" collapsed="false">
      <c r="A36" s="20" t="n">
        <v>38</v>
      </c>
      <c r="B36" s="11" t="n">
        <v>16</v>
      </c>
      <c r="C36" s="21" t="n">
        <v>0.01245</v>
      </c>
      <c r="D36" s="21" t="n">
        <v>0.122</v>
      </c>
      <c r="E36" s="13" t="n">
        <f aca="false">D36*0.001</f>
        <v>0.000122</v>
      </c>
      <c r="F36" s="14" t="n">
        <v>0.0162146393311199</v>
      </c>
      <c r="G36" s="14" t="n">
        <v>0.0324292786622399</v>
      </c>
      <c r="H36" s="14" t="n">
        <v>0.0405365983277998</v>
      </c>
      <c r="I36" s="14" t="n">
        <v>0.0486439179933598</v>
      </c>
      <c r="J36" s="15" t="n">
        <v>0.0648585573244797</v>
      </c>
      <c r="K36" s="16" t="n">
        <v>19360</v>
      </c>
      <c r="L36" s="16" t="n">
        <v>9</v>
      </c>
      <c r="M36" s="17" t="n">
        <v>0.004</v>
      </c>
      <c r="N36" s="18" t="n">
        <f aca="false">M36*25.4*0.5</f>
        <v>0.0508</v>
      </c>
    </row>
    <row r="37" customFormat="false" ht="15.6" hidden="false" customHeight="false" outlineLevel="0" collapsed="false">
      <c r="A37" s="20" t="n">
        <v>39</v>
      </c>
      <c r="B37" s="11" t="n">
        <v>12.25</v>
      </c>
      <c r="C37" s="21" t="n">
        <v>0.01092</v>
      </c>
      <c r="D37" s="21" t="n">
        <v>0.094</v>
      </c>
      <c r="E37" s="13" t="n">
        <f aca="false">D37*0.001</f>
        <v>9.4E-005</v>
      </c>
      <c r="F37" s="14" t="n">
        <v>0.0124143332378887</v>
      </c>
      <c r="G37" s="14" t="n">
        <v>0.0248286664757774</v>
      </c>
      <c r="H37" s="14" t="n">
        <v>0.0310358330947217</v>
      </c>
      <c r="I37" s="14" t="n">
        <v>0.0372429997136661</v>
      </c>
      <c r="J37" s="15" t="n">
        <v>0.0496573329515548</v>
      </c>
      <c r="K37" s="16" t="n">
        <v>25270</v>
      </c>
      <c r="L37" s="16" t="n">
        <v>9</v>
      </c>
      <c r="M37" s="17" t="n">
        <v>0.0035</v>
      </c>
      <c r="N37" s="18" t="n">
        <f aca="false">M37*25.4*0.5</f>
        <v>0.04445</v>
      </c>
    </row>
    <row r="38" customFormat="false" ht="15.6" hidden="false" customHeight="false" outlineLevel="0" collapsed="false">
      <c r="A38" s="20" t="n">
        <v>40</v>
      </c>
      <c r="B38" s="11" t="n">
        <v>9.61</v>
      </c>
      <c r="C38" s="21" t="n">
        <v>0.00965</v>
      </c>
      <c r="D38" s="21" t="n">
        <v>0.073</v>
      </c>
      <c r="E38" s="13" t="n">
        <f aca="false">D38*0.001</f>
        <v>7.3E-005</v>
      </c>
      <c r="F38" s="14" t="n">
        <v>0.0097389177482539</v>
      </c>
      <c r="G38" s="14" t="n">
        <v>0.0194778354965078</v>
      </c>
      <c r="H38" s="14" t="n">
        <v>0.0243472943706348</v>
      </c>
      <c r="I38" s="14" t="n">
        <v>0.0292167532447617</v>
      </c>
      <c r="J38" s="15" t="n">
        <v>0.0389556709930156</v>
      </c>
      <c r="K38" s="16" t="n">
        <v>31940</v>
      </c>
      <c r="L38" s="16" t="n">
        <v>9</v>
      </c>
      <c r="M38" s="17" t="n">
        <v>0.0031</v>
      </c>
      <c r="N38" s="18" t="n">
        <f aca="false">M38*25.4*0.5</f>
        <v>0.03937</v>
      </c>
    </row>
    <row r="39" customFormat="false" ht="15.6" hidden="false" customHeight="false" outlineLevel="0" collapsed="false">
      <c r="A39" s="20" t="n">
        <v>41</v>
      </c>
      <c r="B39" s="11" t="n">
        <v>7.84</v>
      </c>
      <c r="C39" s="21" t="n">
        <v>0.00864</v>
      </c>
      <c r="D39" s="21" t="n">
        <v>0.059</v>
      </c>
      <c r="E39" s="13" t="n">
        <f aca="false">D39*0.001</f>
        <v>5.9E-005</v>
      </c>
      <c r="F39" s="14" t="n">
        <v>0.00794517327224876</v>
      </c>
      <c r="G39" s="14" t="n">
        <v>0.0158903465444975</v>
      </c>
      <c r="H39" s="14" t="n">
        <v>0.0198629331806219</v>
      </c>
      <c r="I39" s="14" t="n">
        <v>0.0238355198167463</v>
      </c>
      <c r="J39" s="15" t="n">
        <v>0.0317806930889951</v>
      </c>
      <c r="K39" s="16" t="n">
        <v>39340</v>
      </c>
      <c r="L39" s="16" t="n">
        <v>9</v>
      </c>
      <c r="M39" s="17" t="n">
        <v>0.0028</v>
      </c>
      <c r="N39" s="18" t="n">
        <f aca="false">M39*25.4*0.5</f>
        <v>0.03556</v>
      </c>
    </row>
    <row r="40" customFormat="false" ht="15.6" hidden="false" customHeight="false" outlineLevel="0" collapsed="false">
      <c r="A40" s="20" t="n">
        <v>42</v>
      </c>
      <c r="B40" s="11" t="n">
        <v>6.25</v>
      </c>
      <c r="C40" s="21" t="n">
        <v>0.00762</v>
      </c>
      <c r="D40" s="21" t="n">
        <v>0.046</v>
      </c>
      <c r="E40" s="13" t="n">
        <f aca="false">D40*0.001</f>
        <v>4.6E-005</v>
      </c>
      <c r="F40" s="14" t="n">
        <v>0.00633384348871872</v>
      </c>
      <c r="G40" s="14" t="n">
        <v>0.0126676869774374</v>
      </c>
      <c r="H40" s="14" t="n">
        <v>0.0158346087217968</v>
      </c>
      <c r="I40" s="14" t="n">
        <v>0.0190015304661562</v>
      </c>
      <c r="J40" s="15" t="n">
        <v>0.0253353739548749</v>
      </c>
      <c r="K40" s="16" t="n">
        <v>49600</v>
      </c>
      <c r="L40" s="16" t="n">
        <v>9</v>
      </c>
      <c r="M40" s="17" t="n">
        <v>0.0025</v>
      </c>
      <c r="N40" s="18" t="n">
        <f aca="false">M40*25.4*0.5</f>
        <v>0.03175</v>
      </c>
    </row>
    <row r="41" customFormat="false" ht="15.6" hidden="false" customHeight="false" outlineLevel="0" collapsed="false">
      <c r="A41" s="20" t="n">
        <v>43</v>
      </c>
      <c r="B41" s="11" t="n">
        <v>4.84</v>
      </c>
      <c r="C41" s="21" t="n">
        <v>0.00686</v>
      </c>
      <c r="D41" s="21" t="n">
        <v>0.037</v>
      </c>
      <c r="E41" s="13" t="n">
        <f aca="false">D41*0.001</f>
        <v>3.7E-005</v>
      </c>
      <c r="F41" s="14" t="n">
        <v>0.00490492839766378</v>
      </c>
      <c r="G41" s="14" t="n">
        <v>0.00980985679532756</v>
      </c>
      <c r="H41" s="14" t="n">
        <v>0.0122623209941594</v>
      </c>
      <c r="I41" s="14" t="n">
        <v>0.0147147851929913</v>
      </c>
      <c r="J41" s="15" t="n">
        <v>0.0196197135906551</v>
      </c>
      <c r="K41" s="16" t="n">
        <v>63170</v>
      </c>
      <c r="L41" s="16" t="n">
        <v>9</v>
      </c>
      <c r="M41" s="17" t="n">
        <v>0.0022</v>
      </c>
      <c r="N41" s="18" t="n">
        <f aca="false">M41*25.4*0.5</f>
        <v>0.02794</v>
      </c>
    </row>
    <row r="42" customFormat="false" ht="15.6" hidden="false" customHeight="false" outlineLevel="0" collapsed="false">
      <c r="A42" s="20" t="n">
        <v>44</v>
      </c>
      <c r="B42" s="11" t="n">
        <v>4</v>
      </c>
      <c r="C42" s="21" t="n">
        <v>0.00635</v>
      </c>
      <c r="D42" s="21" t="n">
        <v>0.032</v>
      </c>
      <c r="E42" s="13" t="n">
        <f aca="false">D42*0.001</f>
        <v>3.2E-005</v>
      </c>
      <c r="F42" s="14" t="n">
        <v>0.00405365983277998</v>
      </c>
      <c r="G42" s="14" t="n">
        <v>0.00810731966555997</v>
      </c>
      <c r="H42" s="14" t="n">
        <v>0.01013414958195</v>
      </c>
      <c r="I42" s="14" t="n">
        <v>0.0121609794983399</v>
      </c>
      <c r="J42" s="15" t="n">
        <v>0.0162146393311199</v>
      </c>
      <c r="K42" s="16" t="n">
        <v>76160</v>
      </c>
      <c r="L42" s="16" t="n">
        <v>9</v>
      </c>
      <c r="M42" s="17" t="n">
        <v>0.002</v>
      </c>
      <c r="N42" s="18" t="n">
        <f aca="false">M42*25.4*0.5</f>
        <v>0.0254</v>
      </c>
    </row>
    <row r="43" customFormat="false" ht="15.6" hidden="false" customHeight="false" outlineLevel="0" collapsed="false">
      <c r="A43" s="20" t="n">
        <v>45</v>
      </c>
      <c r="B43" s="11" t="n">
        <v>3.1</v>
      </c>
      <c r="C43" s="21" t="n">
        <v>0.00546</v>
      </c>
      <c r="D43" s="21" t="n">
        <v>0.023</v>
      </c>
      <c r="E43" s="13" t="n">
        <f aca="false">D43*0.001</f>
        <v>2.3E-005</v>
      </c>
      <c r="F43" s="14" t="n">
        <v>0.00313915417450482</v>
      </c>
      <c r="G43" s="14" t="n">
        <v>0.00627830834900964</v>
      </c>
      <c r="H43" s="14" t="n">
        <v>0.00784788543626205</v>
      </c>
      <c r="I43" s="14" t="n">
        <v>0.00941746252351446</v>
      </c>
      <c r="J43" s="15" t="n">
        <v>0.0125566166980193</v>
      </c>
      <c r="K43" s="16" t="n">
        <v>99110</v>
      </c>
      <c r="L43" s="16" t="n">
        <v>9</v>
      </c>
      <c r="M43" s="17" t="n">
        <v>0.00176</v>
      </c>
      <c r="N43" s="18" t="n">
        <f aca="false">M43*25.4*0.5</f>
        <v>0.022352</v>
      </c>
    </row>
    <row r="44" customFormat="false" ht="15.6" hidden="false" customHeight="false" outlineLevel="0" collapsed="false">
      <c r="A44" s="20" t="n">
        <v>46</v>
      </c>
      <c r="B44" s="11" t="n">
        <v>2.47</v>
      </c>
      <c r="C44" s="21" t="n">
        <v>0.00498</v>
      </c>
      <c r="D44" s="21" t="n">
        <v>0.019</v>
      </c>
      <c r="E44" s="13" t="n">
        <f aca="false">D44*0.001</f>
        <v>1.9E-005</v>
      </c>
      <c r="F44" s="14" t="n">
        <v>0.00249796653045484</v>
      </c>
      <c r="G44" s="14" t="n">
        <v>0.00499593306090969</v>
      </c>
      <c r="H44" s="14" t="n">
        <v>0.00624491632613711</v>
      </c>
      <c r="I44" s="14" t="n">
        <v>0.00749389959136453</v>
      </c>
      <c r="J44" s="15" t="n">
        <v>0.00999186612181938</v>
      </c>
      <c r="K44" s="16" t="n">
        <v>123800</v>
      </c>
      <c r="L44" s="16" t="n">
        <v>9</v>
      </c>
      <c r="M44" s="17" t="n">
        <v>0.00157</v>
      </c>
      <c r="N44" s="18" t="n">
        <f aca="false">M44*25.4*0.5</f>
        <v>0.019939</v>
      </c>
    </row>
    <row r="45" customFormat="false" ht="15.6" hidden="false" customHeight="false" outlineLevel="0" collapsed="false">
      <c r="A45" s="20" t="n">
        <v>47</v>
      </c>
      <c r="B45" s="11" t="n">
        <v>1.96</v>
      </c>
      <c r="C45" s="21" t="n">
        <v>0.00452</v>
      </c>
      <c r="D45" s="21" t="n">
        <v>0.016</v>
      </c>
      <c r="E45" s="13" t="n">
        <f aca="false">D45*0.001</f>
        <v>1.6E-005</v>
      </c>
      <c r="F45" s="14" t="n">
        <v>0.00198629331806219</v>
      </c>
      <c r="G45" s="14" t="n">
        <v>0.00397258663612438</v>
      </c>
      <c r="H45" s="14" t="n">
        <v>0.00496573329515548</v>
      </c>
      <c r="I45" s="14" t="n">
        <v>0.00595887995418657</v>
      </c>
      <c r="J45" s="15" t="n">
        <v>0.00794517327224876</v>
      </c>
      <c r="K45" s="16" t="n">
        <v>154600</v>
      </c>
      <c r="L45" s="16" t="n">
        <v>9</v>
      </c>
      <c r="M45" s="17" t="n">
        <v>0.0014</v>
      </c>
      <c r="N45" s="18" t="n">
        <f aca="false">M45*25.4*0.5</f>
        <v>0.01778</v>
      </c>
    </row>
    <row r="46" customFormat="false" ht="15.6" hidden="false" customHeight="false" outlineLevel="0" collapsed="false">
      <c r="A46" s="20" t="n">
        <v>48</v>
      </c>
      <c r="B46" s="11" t="n">
        <v>1.54</v>
      </c>
      <c r="C46" s="21" t="n">
        <v>0.00394</v>
      </c>
      <c r="D46" s="21" t="n">
        <v>0.012</v>
      </c>
      <c r="E46" s="13" t="n">
        <f aca="false">D46*0.001</f>
        <v>1.2E-005</v>
      </c>
      <c r="F46" s="14" t="n">
        <v>0.00155822683972063</v>
      </c>
      <c r="G46" s="14" t="n">
        <v>0.00311645367944125</v>
      </c>
      <c r="H46" s="14" t="n">
        <v>0.00389556709930156</v>
      </c>
      <c r="I46" s="14" t="n">
        <v>0.00467468051916188</v>
      </c>
      <c r="J46" s="15" t="n">
        <v>0.0062329073588825</v>
      </c>
      <c r="K46" s="16" t="n">
        <v>196600</v>
      </c>
      <c r="L46" s="16" t="n">
        <v>9</v>
      </c>
      <c r="M46" s="17" t="n">
        <v>0.00124</v>
      </c>
      <c r="N46" s="18" t="n">
        <f aca="false">M46*25.4*0.5</f>
        <v>0.015748</v>
      </c>
    </row>
    <row r="47" customFormat="false" ht="15.6" hidden="false" customHeight="false" outlineLevel="0" collapsed="false">
      <c r="A47" s="20" t="n">
        <v>49</v>
      </c>
      <c r="B47" s="11" t="n">
        <v>1.23</v>
      </c>
      <c r="C47" s="21" t="n">
        <v>0.00353</v>
      </c>
      <c r="D47" s="21" t="n">
        <v>0.01</v>
      </c>
      <c r="E47" s="13" t="n">
        <f aca="false">D47*0.001</f>
        <v>1E-005</v>
      </c>
      <c r="F47" s="14" t="n">
        <v>0.00124862856999205</v>
      </c>
      <c r="G47" s="14" t="n">
        <v>0.00249725713998411</v>
      </c>
      <c r="H47" s="14" t="n">
        <v>0.00312157142498013</v>
      </c>
      <c r="I47" s="14" t="n">
        <v>0.00374588570997616</v>
      </c>
      <c r="J47" s="15" t="n">
        <v>0.00499451427996822</v>
      </c>
      <c r="K47" s="16" t="n">
        <v>247500</v>
      </c>
      <c r="L47" s="16" t="n">
        <v>9</v>
      </c>
      <c r="M47" s="17" t="n">
        <v>0.00111</v>
      </c>
      <c r="N47" s="18" t="n">
        <f aca="false">M47*25.4*0.5</f>
        <v>0.014097</v>
      </c>
    </row>
  </sheetData>
  <mergeCells count="1">
    <mergeCell ref="F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>
    <row r="1" customFormat="false" ht="14.4" hidden="false" customHeight="false" outlineLevel="0" collapsed="false">
      <c r="A1" s="346" t="s">
        <v>1425</v>
      </c>
      <c r="B1" s="347" t="n">
        <v>0</v>
      </c>
      <c r="C1" s="348" t="n">
        <v>0.004</v>
      </c>
      <c r="D1" s="346" t="s">
        <v>1426</v>
      </c>
      <c r="E1" s="346" t="s">
        <v>1427</v>
      </c>
      <c r="F1" s="346" t="s">
        <v>1428</v>
      </c>
      <c r="G1" s="346" t="s">
        <v>1429</v>
      </c>
      <c r="H1" s="346" t="s">
        <v>1430</v>
      </c>
    </row>
    <row r="2" customFormat="false" ht="14.4" hidden="false" customHeight="false" outlineLevel="0" collapsed="false">
      <c r="A2" s="349" t="n">
        <v>140</v>
      </c>
      <c r="B2" s="31" t="n">
        <v>48.4</v>
      </c>
      <c r="C2" s="31" t="n">
        <v>65.2</v>
      </c>
      <c r="D2" s="31" t="n">
        <f aca="false">SLOPE(B2:C2,$B$1:$C$1)</f>
        <v>4200</v>
      </c>
      <c r="E2" s="31" t="n">
        <f aca="false">INTERCEPT(B2:C2,$B$1:$C$1)</f>
        <v>48.4</v>
      </c>
      <c r="F2" s="0" t="n">
        <f aca="false">D2*(0.01*'Toroid Design'!$Q$18)+'Surface Area'!E2</f>
        <v>80.5138461538462</v>
      </c>
      <c r="G2" s="0" t="n">
        <f aca="false">D2*(0.01*'Toroid Design'!$V$18)+'Surface Area'!E2</f>
        <v>358.157046979866</v>
      </c>
      <c r="H2" s="0" t="n">
        <f aca="false">D2*(0.01*'Toroid Design'!$AA$18)+'Surface Area'!E2</f>
        <v>48.4</v>
      </c>
    </row>
    <row r="3" customFormat="false" ht="14.4" hidden="false" customHeight="false" outlineLevel="0" collapsed="false">
      <c r="A3" s="349" t="n">
        <v>150</v>
      </c>
      <c r="B3" s="31" t="n">
        <v>76.1</v>
      </c>
      <c r="C3" s="31" t="n">
        <v>120</v>
      </c>
      <c r="D3" s="31" t="n">
        <f aca="false">SLOPE(B3:C3,$B$1:$C$1)</f>
        <v>10975</v>
      </c>
      <c r="E3" s="31" t="n">
        <f aca="false">INTERCEPT(B3:C3,$B$1:$C$1)</f>
        <v>76.1</v>
      </c>
      <c r="F3" s="0" t="n">
        <f aca="false">D3*(0.01*'Toroid Design'!$Q$18)+'Surface Area'!E3</f>
        <v>160.016538461538</v>
      </c>
      <c r="G3" s="0" t="n">
        <f aca="false">D3*(0.01*'Toroid Design'!$V$18)+'Surface Area'!E3</f>
        <v>885.52466442953</v>
      </c>
      <c r="H3" s="0" t="n">
        <f aca="false">D3*(0.01*'Toroid Design'!$AA$18)+'Surface Area'!E3</f>
        <v>76.1</v>
      </c>
    </row>
    <row r="4" customFormat="false" ht="14.4" hidden="false" customHeight="false" outlineLevel="0" collapsed="false">
      <c r="A4" s="349" t="n">
        <v>180</v>
      </c>
      <c r="B4" s="31" t="n">
        <v>111</v>
      </c>
      <c r="C4" s="31" t="n">
        <v>150</v>
      </c>
      <c r="D4" s="31" t="n">
        <f aca="false">SLOPE(B4:C4,$B$1:$C$1)</f>
        <v>9750</v>
      </c>
      <c r="E4" s="31" t="n">
        <f aca="false">INTERCEPT(B4:C4,$B$1:$C$1)</f>
        <v>111</v>
      </c>
      <c r="F4" s="0" t="n">
        <f aca="false">D4*(0.01*'Toroid Design'!$Q$18)+'Surface Area'!E4</f>
        <v>185.55</v>
      </c>
      <c r="G4" s="0" t="n">
        <f aca="false">D4*(0.01*'Toroid Design'!$V$18)+'Surface Area'!E4</f>
        <v>830.078859060403</v>
      </c>
      <c r="H4" s="0" t="n">
        <f aca="false">D4*(0.01*'Toroid Design'!$AA$18)+'Surface Area'!E4</f>
        <v>111</v>
      </c>
    </row>
    <row r="5" customFormat="false" ht="14.4" hidden="false" customHeight="false" outlineLevel="0" collapsed="false">
      <c r="A5" s="350" t="n">
        <v>20</v>
      </c>
      <c r="B5" s="31" t="n">
        <v>168</v>
      </c>
      <c r="C5" s="31" t="n">
        <v>220</v>
      </c>
      <c r="D5" s="31" t="n">
        <f aca="false">SLOPE(B5:C5,$B$1:$C$1)</f>
        <v>13000</v>
      </c>
      <c r="E5" s="31" t="n">
        <f aca="false">INTERCEPT(B5:C5,$B$1:$C$1)</f>
        <v>168</v>
      </c>
      <c r="F5" s="0" t="n">
        <f aca="false">D5*(0.01*'Toroid Design'!$Q$18)+'Surface Area'!E5</f>
        <v>267.4</v>
      </c>
      <c r="G5" s="0" t="n">
        <f aca="false">D5*(0.01*'Toroid Design'!$V$18)+'Surface Area'!E5</f>
        <v>1126.77181208054</v>
      </c>
      <c r="H5" s="0" t="n">
        <f aca="false">D5*(0.01*'Toroid Design'!$AA$18)+'Surface Area'!E5</f>
        <v>168</v>
      </c>
      <c r="L5" s="0" t="s">
        <v>1431</v>
      </c>
    </row>
    <row r="6" customFormat="false" ht="14.4" hidden="false" customHeight="false" outlineLevel="0" collapsed="false">
      <c r="A6" s="349" t="n">
        <v>240</v>
      </c>
      <c r="B6" s="31" t="n">
        <v>170</v>
      </c>
      <c r="C6" s="31" t="n">
        <v>230</v>
      </c>
      <c r="D6" s="31" t="n">
        <f aca="false">SLOPE(B6:C6,$B$1:$C$1)</f>
        <v>15000</v>
      </c>
      <c r="E6" s="31" t="n">
        <f aca="false">INTERCEPT(B6:C6,$B$1:$C$1)</f>
        <v>170</v>
      </c>
      <c r="F6" s="0" t="n">
        <f aca="false">D6*(0.01*'Toroid Design'!$Q$18)+'Surface Area'!E6</f>
        <v>284.692307692308</v>
      </c>
      <c r="G6" s="0" t="n">
        <f aca="false">D6*(0.01*'Toroid Design'!$V$18)+'Surface Area'!E6</f>
        <v>1276.27516778524</v>
      </c>
      <c r="H6" s="0" t="n">
        <f aca="false">D6*(0.01*'Toroid Design'!$AA$18)+'Surface Area'!E6</f>
        <v>170</v>
      </c>
    </row>
    <row r="7" customFormat="false" ht="14.4" hidden="false" customHeight="false" outlineLevel="0" collapsed="false">
      <c r="A7" s="349" t="n">
        <v>270</v>
      </c>
      <c r="B7" s="31" t="n">
        <v>242</v>
      </c>
      <c r="C7" s="31" t="n">
        <v>290</v>
      </c>
      <c r="D7" s="31" t="n">
        <f aca="false">SLOPE(B7:C7,$B$1:$C$1)</f>
        <v>12000</v>
      </c>
      <c r="E7" s="31" t="n">
        <f aca="false">INTERCEPT(B7:C7,$B$1:$C$1)</f>
        <v>242</v>
      </c>
      <c r="F7" s="0" t="n">
        <f aca="false">D7*(0.01*'Toroid Design'!$Q$18)+'Surface Area'!E7</f>
        <v>333.753846153846</v>
      </c>
      <c r="G7" s="0" t="n">
        <f aca="false">D7*(0.01*'Toroid Design'!$V$18)+'Surface Area'!E7</f>
        <v>1127.02013422819</v>
      </c>
      <c r="H7" s="0" t="n">
        <f aca="false">D7*(0.01*'Toroid Design'!$AA$18)+'Surface Area'!E7</f>
        <v>242</v>
      </c>
    </row>
    <row r="8" customFormat="false" ht="14.4" hidden="false" customHeight="false" outlineLevel="0" collapsed="false">
      <c r="A8" s="349" t="n">
        <v>410</v>
      </c>
      <c r="B8" s="31" t="n">
        <v>270</v>
      </c>
      <c r="C8" s="31" t="n">
        <v>320</v>
      </c>
      <c r="D8" s="31" t="n">
        <f aca="false">SLOPE(B8:C8,$B$1:$C$1)</f>
        <v>12500</v>
      </c>
      <c r="E8" s="31" t="n">
        <f aca="false">INTERCEPT(B8:C8,$B$1:$C$1)</f>
        <v>270</v>
      </c>
      <c r="F8" s="0" t="n">
        <f aca="false">D8*(0.01*'Toroid Design'!$Q$18)+'Surface Area'!E8</f>
        <v>365.576923076923</v>
      </c>
      <c r="G8" s="0" t="n">
        <f aca="false">D8*(0.01*'Toroid Design'!$V$18)+'Surface Area'!E8</f>
        <v>1191.89597315436</v>
      </c>
      <c r="H8" s="0" t="n">
        <f aca="false">D8*(0.01*'Toroid Design'!$AA$18)+'Surface Area'!E8</f>
        <v>270</v>
      </c>
    </row>
    <row r="9" customFormat="false" ht="14.4" hidden="false" customHeight="false" outlineLevel="0" collapsed="false">
      <c r="A9" s="350" t="n">
        <v>30</v>
      </c>
      <c r="B9" s="31" t="n">
        <v>238</v>
      </c>
      <c r="C9" s="31" t="n">
        <v>320</v>
      </c>
      <c r="D9" s="31" t="n">
        <f aca="false">SLOPE(B9:C9,$B$1:$C$1)</f>
        <v>20500</v>
      </c>
      <c r="E9" s="31" t="n">
        <f aca="false">INTERCEPT(B9:C9,$B$1:$C$1)</f>
        <v>238</v>
      </c>
      <c r="F9" s="0" t="n">
        <f aca="false">D9*(0.01*'Toroid Design'!$Q$18)+'Surface Area'!E9</f>
        <v>394.746153846154</v>
      </c>
      <c r="G9" s="0" t="n">
        <f aca="false">D9*(0.01*'Toroid Design'!$V$18)+'Surface Area'!E9</f>
        <v>1749.90939597315</v>
      </c>
      <c r="H9" s="0" t="n">
        <f aca="false">D9*(0.01*'Toroid Design'!$AA$18)+'Surface Area'!E9</f>
        <v>238</v>
      </c>
    </row>
    <row r="10" customFormat="false" ht="14.4" hidden="false" customHeight="false" outlineLevel="0" collapsed="false">
      <c r="A10" s="349" t="n">
        <v>280</v>
      </c>
      <c r="B10" s="31" t="n">
        <v>312</v>
      </c>
      <c r="C10" s="31" t="n">
        <v>440</v>
      </c>
      <c r="D10" s="31" t="n">
        <f aca="false">SLOPE(B10:C10,$B$1:$C$1)</f>
        <v>32000</v>
      </c>
      <c r="E10" s="31" t="n">
        <f aca="false">INTERCEPT(B10:C10,$B$1:$C$1)</f>
        <v>312</v>
      </c>
      <c r="F10" s="0" t="n">
        <f aca="false">D10*(0.01*'Toroid Design'!$Q$18)+'Surface Area'!E10</f>
        <v>556.676923076923</v>
      </c>
      <c r="G10" s="0" t="n">
        <f aca="false">D10*(0.01*'Toroid Design'!$V$18)+'Surface Area'!E10</f>
        <v>2672.05369127517</v>
      </c>
      <c r="H10" s="0" t="n">
        <f aca="false">D10*(0.01*'Toroid Design'!$AA$18)+'Surface Area'!E10</f>
        <v>312</v>
      </c>
    </row>
    <row r="11" customFormat="false" ht="14.4" hidden="false" customHeight="false" outlineLevel="0" collapsed="false">
      <c r="A11" s="349" t="n">
        <v>290</v>
      </c>
      <c r="B11" s="31" t="n">
        <v>346</v>
      </c>
      <c r="C11" s="31" t="n">
        <v>470</v>
      </c>
      <c r="D11" s="31" t="n">
        <f aca="false">SLOPE(B11:C11,$B$1:$C$1)</f>
        <v>31000</v>
      </c>
      <c r="E11" s="31" t="n">
        <f aca="false">INTERCEPT(B11:C11,$B$1:$C$1)</f>
        <v>346</v>
      </c>
      <c r="F11" s="0" t="n">
        <f aca="false">D11*(0.01*'Toroid Design'!$Q$18)+'Surface Area'!E11</f>
        <v>583.030769230769</v>
      </c>
      <c r="G11" s="0" t="n">
        <f aca="false">D11*(0.01*'Toroid Design'!$V$18)+'Surface Area'!E11</f>
        <v>2632.30201342282</v>
      </c>
      <c r="H11" s="0" t="n">
        <f aca="false">D11*(0.01*'Toroid Design'!$AA$18)+'Surface Area'!E11</f>
        <v>346</v>
      </c>
    </row>
    <row r="12" customFormat="false" ht="14.4" hidden="false" customHeight="false" outlineLevel="0" collapsed="false">
      <c r="A12" s="350" t="n">
        <v>40</v>
      </c>
      <c r="B12" s="31" t="n">
        <v>370</v>
      </c>
      <c r="C12" s="31" t="n">
        <v>510</v>
      </c>
      <c r="D12" s="31" t="n">
        <f aca="false">SLOPE(B12:C12,$B$1:$C$1)</f>
        <v>35000</v>
      </c>
      <c r="E12" s="31" t="n">
        <f aca="false">INTERCEPT(B12:C12,$B$1:$C$1)</f>
        <v>370</v>
      </c>
      <c r="F12" s="0" t="n">
        <f aca="false">D12*(0.01*'Toroid Design'!$Q$18)+'Surface Area'!E12</f>
        <v>637.615384615385</v>
      </c>
      <c r="G12" s="0" t="n">
        <f aca="false">D12*(0.01*'Toroid Design'!$V$18)+'Surface Area'!E12</f>
        <v>2951.30872483222</v>
      </c>
      <c r="H12" s="0" t="n">
        <f aca="false">D12*(0.01*'Toroid Design'!$AA$18)+'Surface Area'!E12</f>
        <v>370</v>
      </c>
    </row>
    <row r="13" customFormat="false" ht="14.4" hidden="false" customHeight="false" outlineLevel="0" collapsed="false">
      <c r="A13" s="349" t="n">
        <v>130</v>
      </c>
      <c r="B13" s="31" t="n">
        <v>431</v>
      </c>
      <c r="C13" s="31" t="n">
        <v>604</v>
      </c>
      <c r="D13" s="31" t="n">
        <f aca="false">SLOPE(B13:C13,$B$1:$C$1)</f>
        <v>43250</v>
      </c>
      <c r="E13" s="31" t="n">
        <f aca="false">INTERCEPT(B13:C13,$B$1:$C$1)</f>
        <v>431</v>
      </c>
      <c r="F13" s="0" t="n">
        <f aca="false">D13*(0.01*'Toroid Design'!$Q$18)+'Surface Area'!E13</f>
        <v>761.696153846154</v>
      </c>
      <c r="G13" s="0" t="n">
        <f aca="false">D13*(0.01*'Toroid Design'!$V$18)+'Surface Area'!E13</f>
        <v>3620.76006711409</v>
      </c>
      <c r="H13" s="0" t="n">
        <f aca="false">D13*(0.01*'Toroid Design'!$AA$18)+'Surface Area'!E13</f>
        <v>431</v>
      </c>
    </row>
    <row r="14" customFormat="false" ht="14.4" hidden="false" customHeight="false" outlineLevel="0" collapsed="false">
      <c r="A14" s="350" t="n">
        <v>50</v>
      </c>
      <c r="B14" s="31" t="n">
        <v>561</v>
      </c>
      <c r="C14" s="31" t="n">
        <v>813</v>
      </c>
      <c r="D14" s="31" t="n">
        <f aca="false">SLOPE(B14:C14,$B$1:$C$1)</f>
        <v>63000</v>
      </c>
      <c r="E14" s="31" t="n">
        <f aca="false">INTERCEPT(B14:C14,$B$1:$C$1)</f>
        <v>561</v>
      </c>
      <c r="F14" s="0" t="n">
        <f aca="false">D14*(0.01*'Toroid Design'!$Q$18)+'Surface Area'!E14</f>
        <v>1042.70769230769</v>
      </c>
      <c r="G14" s="0" t="n">
        <f aca="false">D14*(0.01*'Toroid Design'!$V$18)+'Surface Area'!E14</f>
        <v>5207.35570469799</v>
      </c>
      <c r="H14" s="0" t="n">
        <f aca="false">D14*(0.01*'Toroid Design'!$AA$18)+'Surface Area'!E14</f>
        <v>561</v>
      </c>
    </row>
    <row r="15" customFormat="false" ht="14.4" hidden="false" customHeight="false" outlineLevel="0" collapsed="false">
      <c r="A15" s="349" t="n">
        <v>120</v>
      </c>
      <c r="B15" s="31" t="n">
        <v>922</v>
      </c>
      <c r="C15" s="31" t="n">
        <v>1360</v>
      </c>
      <c r="D15" s="31" t="n">
        <f aca="false">SLOPE(B15:C15,$B$1:$C$1)</f>
        <v>109500</v>
      </c>
      <c r="E15" s="31" t="n">
        <f aca="false">INTERCEPT(B15:C15,$B$1:$C$1)</f>
        <v>922</v>
      </c>
      <c r="F15" s="0" t="n">
        <f aca="false">D15*(0.01*'Toroid Design'!$Q$18)+'Surface Area'!E15</f>
        <v>1759.25384615385</v>
      </c>
      <c r="G15" s="0" t="n">
        <f aca="false">D15*(0.01*'Toroid Design'!$V$18)+'Surface Area'!E15</f>
        <v>8997.80872483222</v>
      </c>
      <c r="H15" s="0" t="n">
        <f aca="false">D15*(0.01*'Toroid Design'!$AA$18)+'Surface Area'!E15</f>
        <v>922</v>
      </c>
    </row>
    <row r="16" customFormat="false" ht="14.4" hidden="false" customHeight="false" outlineLevel="0" collapsed="false">
      <c r="A16" s="349" t="n">
        <v>380</v>
      </c>
      <c r="B16" s="31" t="n">
        <v>987</v>
      </c>
      <c r="C16" s="31" t="n">
        <v>1470</v>
      </c>
      <c r="D16" s="31" t="n">
        <f aca="false">SLOPE(B16:C16,$B$1:$C$1)</f>
        <v>120750</v>
      </c>
      <c r="E16" s="31" t="n">
        <f aca="false">INTERCEPT(B16:C16,$B$1:$C$1)</f>
        <v>987</v>
      </c>
      <c r="F16" s="0" t="n">
        <f aca="false">D16*(0.01*'Toroid Design'!$Q$18)+'Surface Area'!E16</f>
        <v>1910.27307692308</v>
      </c>
      <c r="G16" s="0" t="n">
        <f aca="false">D16*(0.01*'Toroid Design'!$V$18)+'Surface Area'!E16</f>
        <v>9892.51510067114</v>
      </c>
      <c r="H16" s="0" t="n">
        <f aca="false">D16*(0.01*'Toroid Design'!$AA$18)+'Surface Area'!E16</f>
        <v>987</v>
      </c>
    </row>
    <row r="17" customFormat="false" ht="14.4" hidden="false" customHeight="false" outlineLevel="0" collapsed="false">
      <c r="A17" s="349" t="n">
        <v>206</v>
      </c>
      <c r="B17" s="31" t="n">
        <v>1210</v>
      </c>
      <c r="C17" s="31" t="n">
        <v>1890</v>
      </c>
      <c r="D17" s="31" t="n">
        <f aca="false">SLOPE(B17:C17,$B$1:$C$1)</f>
        <v>170000</v>
      </c>
      <c r="E17" s="31" t="n">
        <f aca="false">INTERCEPT(B17:C17,$B$1:$C$1)</f>
        <v>1210</v>
      </c>
      <c r="F17" s="0" t="n">
        <f aca="false">D17*(0.01*'Toroid Design'!$Q$18)+'Surface Area'!E17</f>
        <v>2509.84615384615</v>
      </c>
      <c r="G17" s="0" t="n">
        <f aca="false">D17*(0.01*'Toroid Design'!$V$18)+'Surface Area'!E17</f>
        <v>13747.7852348993</v>
      </c>
      <c r="H17" s="0" t="n">
        <f aca="false">D17*(0.01*'Toroid Design'!$AA$18)+'Surface Area'!E17</f>
        <v>1210</v>
      </c>
    </row>
    <row r="18" customFormat="false" ht="14.4" hidden="false" customHeight="false" outlineLevel="0" collapsed="false">
      <c r="A18" s="349" t="n">
        <v>310</v>
      </c>
      <c r="B18" s="31" t="n">
        <v>1570</v>
      </c>
      <c r="C18" s="31" t="n">
        <v>2380</v>
      </c>
      <c r="D18" s="31" t="n">
        <f aca="false">SLOPE(B18:C18,$B$1:$C$1)</f>
        <v>202500</v>
      </c>
      <c r="E18" s="31" t="n">
        <f aca="false">INTERCEPT(B18:C18,$B$1:$C$1)</f>
        <v>1570</v>
      </c>
      <c r="F18" s="0" t="n">
        <f aca="false">D18*(0.01*'Toroid Design'!$Q$18)+'Surface Area'!E18</f>
        <v>3118.34615384615</v>
      </c>
      <c r="G18" s="0" t="n">
        <f aca="false">D18*(0.01*'Toroid Design'!$V$18)+'Surface Area'!E18</f>
        <v>16504.7147651007</v>
      </c>
      <c r="H18" s="0" t="n">
        <f aca="false">D18*(0.01*'Toroid Design'!$AA$18)+'Surface Area'!E18</f>
        <v>1570</v>
      </c>
    </row>
    <row r="19" customFormat="false" ht="14.4" hidden="false" customHeight="false" outlineLevel="0" collapsed="false">
      <c r="A19" s="349" t="n">
        <v>350</v>
      </c>
      <c r="B19" s="31" t="n">
        <v>1790</v>
      </c>
      <c r="C19" s="31" t="n">
        <v>2630</v>
      </c>
      <c r="D19" s="31" t="n">
        <f aca="false">SLOPE(B19:C19,$B$1:$C$1)</f>
        <v>210000</v>
      </c>
      <c r="E19" s="31" t="n">
        <f aca="false">INTERCEPT(B19:C19,$B$1:$C$1)</f>
        <v>1790</v>
      </c>
      <c r="F19" s="0" t="n">
        <f aca="false">D19*(0.01*'Toroid Design'!$Q$18)+'Surface Area'!E19</f>
        <v>3395.69230769231</v>
      </c>
      <c r="G19" s="0" t="n">
        <f aca="false">D19*(0.01*'Toroid Design'!$V$18)+'Surface Area'!E19</f>
        <v>17277.8523489933</v>
      </c>
      <c r="H19" s="0" t="n">
        <f aca="false">D19*(0.01*'Toroid Design'!$AA$18)+'Surface Area'!E19</f>
        <v>1790</v>
      </c>
    </row>
    <row r="20" customFormat="false" ht="14.4" hidden="false" customHeight="false" outlineLevel="0" collapsed="false">
      <c r="A20" s="349" t="n">
        <v>930</v>
      </c>
      <c r="B20" s="31" t="n">
        <v>2470</v>
      </c>
      <c r="C20" s="31" t="n">
        <v>3380</v>
      </c>
      <c r="D20" s="31" t="n">
        <f aca="false">SLOPE(B20:C20,$B$1:$C$1)</f>
        <v>227500</v>
      </c>
      <c r="E20" s="31" t="n">
        <f aca="false">INTERCEPT(B20:C20,$B$1:$C$1)</f>
        <v>2470</v>
      </c>
      <c r="F20" s="0" t="n">
        <f aca="false">D20*(0.01*'Toroid Design'!$Q$18)+'Surface Area'!E20</f>
        <v>4209.5</v>
      </c>
      <c r="G20" s="0" t="n">
        <f aca="false">D20*(0.01*'Toroid Design'!$V$18)+'Surface Area'!E20</f>
        <v>19248.5067114094</v>
      </c>
      <c r="H20" s="0" t="n">
        <f aca="false">D20*(0.01*'Toroid Design'!$AA$18)+'Surface Area'!E20</f>
        <v>2470</v>
      </c>
    </row>
    <row r="21" customFormat="false" ht="14.4" hidden="false" customHeight="false" outlineLevel="0" collapsed="false">
      <c r="A21" s="349" t="n">
        <v>548</v>
      </c>
      <c r="B21" s="31" t="n">
        <v>3150</v>
      </c>
      <c r="C21" s="31" t="n">
        <v>4800</v>
      </c>
      <c r="D21" s="31" t="n">
        <f aca="false">SLOPE(B21:C21,$B$1:$C$1)</f>
        <v>412500</v>
      </c>
      <c r="E21" s="31" t="n">
        <f aca="false">INTERCEPT(B21:C21,$B$1:$C$1)</f>
        <v>3150</v>
      </c>
      <c r="F21" s="0" t="n">
        <f aca="false">D21*(0.01*'Toroid Design'!$Q$18)+'Surface Area'!E21</f>
        <v>6304.03846153846</v>
      </c>
      <c r="G21" s="0" t="n">
        <f aca="false">D21*(0.01*'Toroid Design'!$V$18)+'Surface Area'!E21</f>
        <v>33572.567114094</v>
      </c>
      <c r="H21" s="0" t="n">
        <f aca="false">D21*(0.01*'Toroid Design'!$AA$18)+'Surface Area'!E21</f>
        <v>3150</v>
      </c>
    </row>
    <row r="22" customFormat="false" ht="14.4" hidden="false" customHeight="false" outlineLevel="0" collapsed="false">
      <c r="A22" s="349" t="n">
        <v>585</v>
      </c>
      <c r="B22" s="31" t="n">
        <v>2930</v>
      </c>
      <c r="C22" s="31" t="n">
        <v>5130</v>
      </c>
      <c r="D22" s="31" t="n">
        <f aca="false">SLOPE(B22:C22,$B$1:$C$1)</f>
        <v>550000</v>
      </c>
      <c r="E22" s="31" t="n">
        <f aca="false">INTERCEPT(B22:C22,$B$1:$C$1)</f>
        <v>2930</v>
      </c>
      <c r="F22" s="0" t="n">
        <f aca="false">D22*(0.01*'Toroid Design'!$Q$18)+'Surface Area'!E22</f>
        <v>7135.38461538462</v>
      </c>
      <c r="G22" s="0" t="n">
        <f aca="false">D22*(0.01*'Toroid Design'!$V$18)+'Surface Area'!E22</f>
        <v>43493.422818792</v>
      </c>
      <c r="H22" s="0" t="n">
        <f aca="false">D22*(0.01*'Toroid Design'!$AA$18)+'Surface Area'!E22</f>
        <v>2930</v>
      </c>
    </row>
    <row r="23" customFormat="false" ht="14.4" hidden="false" customHeight="false" outlineLevel="0" collapsed="false">
      <c r="A23" s="349" t="n">
        <v>324</v>
      </c>
      <c r="B23" s="31" t="n">
        <v>3450</v>
      </c>
      <c r="C23" s="31" t="n">
        <v>5510</v>
      </c>
      <c r="D23" s="31" t="n">
        <f aca="false">SLOPE(B23:C23,$B$1:$C$1)</f>
        <v>515000</v>
      </c>
      <c r="E23" s="31" t="n">
        <f aca="false">INTERCEPT(B23:C23,$B$1:$C$1)</f>
        <v>3450</v>
      </c>
      <c r="F23" s="0" t="n">
        <f aca="false">D23*(0.01*'Toroid Design'!$Q$18)+'Surface Area'!E23</f>
        <v>7387.76923076923</v>
      </c>
      <c r="G23" s="0" t="n">
        <f aca="false">D23*(0.01*'Toroid Design'!$V$18)+'Surface Area'!E23</f>
        <v>41432.1140939597</v>
      </c>
      <c r="H23" s="0" t="n">
        <f aca="false">D23*(0.01*'Toroid Design'!$AA$18)+'Surface Area'!E23</f>
        <v>3450</v>
      </c>
    </row>
    <row r="24" customFormat="false" ht="14.4" hidden="false" customHeight="false" outlineLevel="0" collapsed="false">
      <c r="A24" s="349" t="n">
        <v>254</v>
      </c>
      <c r="B24" s="31" t="n">
        <v>4840</v>
      </c>
      <c r="C24" s="31" t="n">
        <v>7160</v>
      </c>
      <c r="D24" s="31" t="n">
        <f aca="false">SLOPE(B24:C24,$B$1:$C$1)</f>
        <v>580000</v>
      </c>
      <c r="E24" s="31" t="n">
        <f aca="false">INTERCEPT(B24:C24,$B$1:$C$1)</f>
        <v>4840</v>
      </c>
      <c r="F24" s="0" t="n">
        <f aca="false">D24*(0.01*'Toroid Design'!$Q$18)+'Surface Area'!E24</f>
        <v>9274.76923076923</v>
      </c>
      <c r="G24" s="0" t="n">
        <f aca="false">D24*(0.01*'Toroid Design'!$V$18)+'Surface Area'!E24</f>
        <v>47615.9731543624</v>
      </c>
      <c r="H24" s="0" t="n">
        <f aca="false">D24*(0.01*'Toroid Design'!$AA$18)+'Surface Area'!E24</f>
        <v>4840</v>
      </c>
    </row>
    <row r="25" customFormat="false" ht="14.4" hidden="false" customHeight="false" outlineLevel="0" collapsed="false">
      <c r="A25" s="349" t="n">
        <v>438</v>
      </c>
      <c r="B25" s="31" t="n">
        <v>6900</v>
      </c>
      <c r="C25" s="31" t="n">
        <v>9420</v>
      </c>
      <c r="D25" s="31" t="n">
        <f aca="false">SLOPE(B25:C25,$B$1:$C$1)</f>
        <v>630000</v>
      </c>
      <c r="E25" s="31" t="n">
        <f aca="false">INTERCEPT(B25:C25,$B$1:$C$1)</f>
        <v>6900</v>
      </c>
      <c r="F25" s="0" t="n">
        <f aca="false">D25*(0.01*'Toroid Design'!$Q$18)+'Surface Area'!E25</f>
        <v>11717.0769230769</v>
      </c>
      <c r="G25" s="0" t="n">
        <f aca="false">D25*(0.01*'Toroid Design'!$V$18)+'Surface Area'!E25</f>
        <v>53363.5570469799</v>
      </c>
      <c r="H25" s="0" t="n">
        <f aca="false">D25*(0.01*'Toroid Design'!$AA$18)+'Surface Area'!E25</f>
        <v>6900</v>
      </c>
    </row>
    <row r="26" customFormat="false" ht="14.4" hidden="false" customHeight="false" outlineLevel="0" collapsed="false">
      <c r="A26" s="350" t="n">
        <v>89</v>
      </c>
      <c r="B26" s="31" t="n">
        <v>6170</v>
      </c>
      <c r="C26" s="31" t="n">
        <v>9510</v>
      </c>
      <c r="D26" s="31" t="n">
        <f aca="false">SLOPE(B26:C26,$B$1:$C$1)</f>
        <v>835000</v>
      </c>
      <c r="E26" s="31" t="n">
        <f aca="false">INTERCEPT(B26:C26,$B$1:$C$1)</f>
        <v>6170</v>
      </c>
      <c r="F26" s="0" t="n">
        <f aca="false">D26*(0.01*'Toroid Design'!$Q$18)+'Surface Area'!E26</f>
        <v>12554.5384615385</v>
      </c>
      <c r="G26" s="0" t="n">
        <f aca="false">D26*(0.01*'Toroid Design'!$V$18)+'Surface Area'!E26</f>
        <v>67752.6510067114</v>
      </c>
      <c r="H26" s="0" t="n">
        <f aca="false">D26*(0.01*'Toroid Design'!$AA$18)+'Surface Area'!E26</f>
        <v>6170</v>
      </c>
    </row>
    <row r="27" customFormat="false" ht="14.4" hidden="false" customHeight="false" outlineLevel="0" collapsed="false">
      <c r="A27" s="349" t="n">
        <v>715</v>
      </c>
      <c r="B27" s="31" t="n">
        <v>6420</v>
      </c>
      <c r="C27" s="31" t="n">
        <v>10600</v>
      </c>
      <c r="D27" s="31" t="n">
        <f aca="false">SLOPE(B27:C27,$B$1:$C$1)</f>
        <v>1045000</v>
      </c>
      <c r="E27" s="31" t="n">
        <f aca="false">INTERCEPT(B27:C27,$B$1:$C$1)</f>
        <v>6420</v>
      </c>
      <c r="F27" s="0" t="n">
        <f aca="false">D27*(0.01*'Toroid Design'!$Q$18)+'Surface Area'!E27</f>
        <v>14410.2307692308</v>
      </c>
      <c r="G27" s="0" t="n">
        <f aca="false">D27*(0.01*'Toroid Design'!$V$18)+'Surface Area'!E27</f>
        <v>83490.5033557047</v>
      </c>
      <c r="H27" s="0" t="n">
        <f aca="false">D27*(0.01*'Toroid Design'!$AA$18)+'Surface Area'!E27</f>
        <v>6420</v>
      </c>
    </row>
    <row r="28" customFormat="false" ht="14.4" hidden="false" customHeight="false" outlineLevel="0" collapsed="false">
      <c r="A28" s="349" t="n">
        <v>195</v>
      </c>
      <c r="B28" s="31" t="n">
        <v>9100</v>
      </c>
      <c r="C28" s="31" t="n">
        <v>11500</v>
      </c>
      <c r="D28" s="31" t="n">
        <f aca="false">SLOPE(B28:C28,$B$1:$C$1)</f>
        <v>600000</v>
      </c>
      <c r="E28" s="31" t="n">
        <f aca="false">INTERCEPT(B28:C28,$B$1:$C$1)</f>
        <v>9100</v>
      </c>
      <c r="F28" s="0" t="n">
        <f aca="false">D28*(0.01*'Toroid Design'!$Q$18)+'Surface Area'!E28</f>
        <v>13687.6923076923</v>
      </c>
      <c r="G28" s="0" t="n">
        <f aca="false">D28*(0.01*'Toroid Design'!$V$18)+'Surface Area'!E28</f>
        <v>53351.0067114094</v>
      </c>
      <c r="H28" s="0" t="n">
        <f aca="false">D28*(0.01*'Toroid Design'!$AA$18)+'Surface Area'!E28</f>
        <v>9100</v>
      </c>
    </row>
    <row r="29" customFormat="false" ht="14.4" hidden="false" customHeight="false" outlineLevel="0" collapsed="false">
      <c r="A29" s="349" t="n">
        <v>109</v>
      </c>
      <c r="B29" s="31" t="n">
        <v>7680</v>
      </c>
      <c r="C29" s="31" t="n">
        <v>13100</v>
      </c>
      <c r="D29" s="31" t="n">
        <f aca="false">SLOPE(B29:C29,$B$1:$C$1)</f>
        <v>1355000</v>
      </c>
      <c r="E29" s="31" t="n">
        <f aca="false">INTERCEPT(B29:C29,$B$1:$C$1)</f>
        <v>7680</v>
      </c>
      <c r="F29" s="0" t="n">
        <f aca="false">D29*(0.01*'Toroid Design'!$Q$18)+'Surface Area'!E29</f>
        <v>18040.5384615385</v>
      </c>
      <c r="G29" s="0" t="n">
        <f aca="false">D29*(0.01*'Toroid Design'!$V$18)+'Surface Area'!E29</f>
        <v>107613.523489933</v>
      </c>
      <c r="H29" s="0" t="n">
        <f aca="false">D29*(0.01*'Toroid Design'!$AA$18)+'Surface Area'!E29</f>
        <v>7680</v>
      </c>
    </row>
    <row r="30" customFormat="false" ht="14.4" hidden="false" customHeight="false" outlineLevel="0" collapsed="false">
      <c r="A30" s="349" t="n">
        <v>620</v>
      </c>
      <c r="B30" s="31" t="n">
        <v>12300</v>
      </c>
      <c r="C30" s="31" t="n">
        <v>16800</v>
      </c>
      <c r="D30" s="31" t="n">
        <f aca="false">SLOPE(B30:C30,$B$1:$C$1)</f>
        <v>1125000</v>
      </c>
      <c r="E30" s="31" t="n">
        <f aca="false">INTERCEPT(B30:C30,$B$1:$C$1)</f>
        <v>12300</v>
      </c>
      <c r="F30" s="0" t="n">
        <f aca="false">D30*(0.01*'Toroid Design'!$Q$18)+'Surface Area'!E30</f>
        <v>20901.9230769231</v>
      </c>
      <c r="G30" s="0" t="n">
        <f aca="false">D30*(0.01*'Toroid Design'!$V$18)+'Surface Area'!E30</f>
        <v>95270.6375838926</v>
      </c>
      <c r="H30" s="0" t="n">
        <f aca="false">D30*(0.01*'Toroid Design'!$AA$18)+'Surface Area'!E30</f>
        <v>12300</v>
      </c>
    </row>
    <row r="31" customFormat="false" ht="14.4" hidden="false" customHeight="false" outlineLevel="0" collapsed="false">
      <c r="A31" s="349" t="n">
        <v>740</v>
      </c>
      <c r="B31" s="31" t="n">
        <v>18800</v>
      </c>
      <c r="C31" s="31" t="n">
        <v>27100</v>
      </c>
      <c r="D31" s="31" t="n">
        <f aca="false">SLOPE(B31:C31,$B$1:$C$1)</f>
        <v>2075000</v>
      </c>
      <c r="E31" s="31" t="n">
        <f aca="false">INTERCEPT(B31:C31,$B$1:$C$1)</f>
        <v>18800</v>
      </c>
      <c r="F31" s="0" t="n">
        <f aca="false">D31*(0.01*'Toroid Design'!$Q$18)+'Surface Area'!E31</f>
        <v>34665.7692307692</v>
      </c>
      <c r="G31" s="0" t="n">
        <f aca="false">D31*(0.01*'Toroid Design'!$V$18)+'Surface Area'!E31</f>
        <v>171834.731543624</v>
      </c>
      <c r="H31" s="0" t="n">
        <f aca="false">D31*(0.01*'Toroid Design'!$AA$18)+'Surface Area'!E31</f>
        <v>18800</v>
      </c>
    </row>
    <row r="32" customFormat="false" ht="14.4" hidden="false" customHeight="false" outlineLevel="0" collapsed="false">
      <c r="A32" s="349" t="n">
        <v>866</v>
      </c>
      <c r="B32" s="31" t="n">
        <v>11700</v>
      </c>
      <c r="C32" s="31" t="n">
        <v>20300</v>
      </c>
      <c r="D32" s="31" t="n">
        <f aca="false">SLOPE(B32:C32,$B$1:$C$1)</f>
        <v>2150000</v>
      </c>
      <c r="E32" s="31" t="n">
        <f aca="false">INTERCEPT(B32:C32,$B$1:$C$1)</f>
        <v>11700</v>
      </c>
      <c r="F32" s="0" t="n">
        <f aca="false">D32*(0.01*'Toroid Design'!$Q$18)+'Surface Area'!E32</f>
        <v>28139.2307692308</v>
      </c>
      <c r="G32" s="0" t="n">
        <f aca="false">D32*(0.01*'Toroid Design'!$V$18)+'Surface Area'!E32</f>
        <v>170266.10738255</v>
      </c>
      <c r="H32" s="0" t="n">
        <f aca="false">D32*(0.01*'Toroid Design'!$AA$18)+'Surface Area'!E32</f>
        <v>11700</v>
      </c>
    </row>
    <row r="33" customFormat="false" ht="14.4" hidden="false" customHeight="false" outlineLevel="0" collapsed="false">
      <c r="A33" s="349" t="n">
        <v>906</v>
      </c>
      <c r="B33" s="31" t="n">
        <v>13000</v>
      </c>
      <c r="C33" s="31" t="n">
        <v>22500</v>
      </c>
      <c r="D33" s="31" t="n">
        <f aca="false">SLOPE(B33:C33,$B$1:$C$1)</f>
        <v>2375000</v>
      </c>
      <c r="E33" s="31" t="n">
        <f aca="false">INTERCEPT(B33:C33,$B$1:$C$1)</f>
        <v>13000</v>
      </c>
      <c r="F33" s="0" t="n">
        <f aca="false">D33*(0.01*'Toroid Design'!$Q$18)+'Surface Area'!E33</f>
        <v>31159.6153846154</v>
      </c>
      <c r="G33" s="0" t="n">
        <f aca="false">D33*(0.01*'Toroid Design'!$V$18)+'Surface Area'!E33</f>
        <v>188160.234899329</v>
      </c>
      <c r="H33" s="0" t="n">
        <f aca="false">D33*(0.01*'Toroid Design'!$AA$18)+'Surface Area'!E33</f>
        <v>13000</v>
      </c>
    </row>
    <row r="34" customFormat="false" ht="14.4" hidden="false" customHeight="false" outlineLevel="0" collapsed="false">
      <c r="A34" s="349" t="n">
        <v>102</v>
      </c>
      <c r="B34" s="31" t="n">
        <v>20700</v>
      </c>
      <c r="C34" s="31" t="n">
        <v>34600</v>
      </c>
      <c r="D34" s="31" t="n">
        <f aca="false">SLOPE(B34:C34,$B$1:$C$1)</f>
        <v>3475000</v>
      </c>
      <c r="E34" s="31" t="n">
        <f aca="false">INTERCEPT(B34:C34,$B$1:$C$1)</f>
        <v>20700</v>
      </c>
      <c r="F34" s="0" t="n">
        <f aca="false">D34*(0.01*'Toroid Design'!$Q$18)+'Surface Area'!E34</f>
        <v>47270.3846153846</v>
      </c>
      <c r="G34" s="0" t="n">
        <f aca="false">D34*(0.01*'Toroid Design'!$V$18)+'Surface Area'!E34</f>
        <v>276987.080536913</v>
      </c>
      <c r="H34" s="0" t="n">
        <f aca="false">D34*(0.01*'Toroid Design'!$AA$18)+'Surface Area'!E34</f>
        <v>20700</v>
      </c>
    </row>
    <row r="35" customFormat="false" ht="14.4" hidden="false" customHeight="false" outlineLevel="0" collapsed="false">
      <c r="A35" s="349" t="n">
        <v>337</v>
      </c>
      <c r="B35" s="31" t="n">
        <v>36600</v>
      </c>
      <c r="C35" s="31" t="n">
        <v>62000</v>
      </c>
      <c r="D35" s="31" t="n">
        <f aca="false">SLOPE(B35:C35,$B$1:$C$1)</f>
        <v>6350000</v>
      </c>
      <c r="E35" s="31" t="n">
        <f aca="false">INTERCEPT(B35:C35,$B$1:$C$1)</f>
        <v>36600</v>
      </c>
      <c r="F35" s="0" t="n">
        <f aca="false">D35*(0.01*'Toroid Design'!$Q$18)+'Surface Area'!E35</f>
        <v>85153.0769230769</v>
      </c>
      <c r="G35" s="0" t="n">
        <f aca="false">D35*(0.01*'Toroid Design'!$V$18)+'Surface Area'!E35</f>
        <v>504923.154362416</v>
      </c>
      <c r="H35" s="0" t="n">
        <f aca="false">D35*(0.01*'Toroid Design'!$AA$18)+'Surface Area'!E35</f>
        <v>36600</v>
      </c>
    </row>
    <row r="36" customFormat="false" ht="14.4" hidden="false" customHeight="false" outlineLevel="0" collapsed="false">
      <c r="A36" s="349" t="n">
        <v>165</v>
      </c>
      <c r="B36" s="31" t="n">
        <v>55400</v>
      </c>
      <c r="C36" s="31" t="n">
        <v>101000</v>
      </c>
      <c r="D36" s="31" t="n">
        <f aca="false">SLOPE(B36:C36,$B$1:$C$1)</f>
        <v>11400000</v>
      </c>
      <c r="E36" s="31" t="n">
        <f aca="false">INTERCEPT(B36:C36,$B$1:$C$1)</f>
        <v>55400</v>
      </c>
      <c r="F36" s="0" t="n">
        <f aca="false">D36*(0.01*'Toroid Design'!$Q$18)+'Surface Area'!E36</f>
        <v>142566.153846154</v>
      </c>
      <c r="G36" s="0" t="n">
        <f aca="false">D36*(0.01*'Toroid Design'!$V$18)+'Surface Area'!E36</f>
        <v>896169.127516779</v>
      </c>
      <c r="H36" s="0" t="n">
        <f aca="false">D36*(0.01*'Toroid Design'!$AA$18)+'Surface Area'!E36</f>
        <v>55400</v>
      </c>
    </row>
    <row r="37" customFormat="false" ht="14.4" hidden="false" customHeight="false" outlineLevel="0" collapsed="false">
      <c r="A37" s="350" t="n">
        <v>70</v>
      </c>
      <c r="B37" s="31" t="n">
        <v>12672</v>
      </c>
      <c r="C37" s="31" t="n">
        <v>23000</v>
      </c>
      <c r="D37" s="31" t="n">
        <f aca="false">SLOPE(B37:C37,$B$1:$C$1)</f>
        <v>2582000</v>
      </c>
      <c r="E37" s="31" t="n">
        <f aca="false">INTERCEPT(B37:C37,$B$1:$C$1)</f>
        <v>12672</v>
      </c>
      <c r="F37" s="0" t="n">
        <f aca="false">D37*(0.01*'Toroid Design'!$Q$18)+'Surface Area'!E37</f>
        <v>32414.3692307692</v>
      </c>
      <c r="G37" s="0" t="n">
        <f aca="false">D37*(0.01*'Toroid Design'!$V$18)+'Surface Area'!E37</f>
        <v>203098.832214765</v>
      </c>
      <c r="H37" s="0" t="n">
        <f aca="false">D37*(0.01*'Toroid Design'!$AA$18)+'Surface Area'!E37</f>
        <v>12672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0" activeCellId="0" sqref="K40"/>
    </sheetView>
  </sheetViews>
  <sheetFormatPr defaultRowHeight="14.4" zeroHeight="false" outlineLevelRow="0" outlineLevelCol="0"/>
  <cols>
    <col collapsed="false" customWidth="true" hidden="false" outlineLevel="0" max="2" min="1" style="0" width="9.11"/>
    <col collapsed="false" customWidth="true" hidden="false" outlineLevel="0" max="3" min="3" style="0" width="8.51"/>
    <col collapsed="false" customWidth="true" hidden="false" outlineLevel="0" max="4" min="4" style="0" width="14.89"/>
    <col collapsed="false" customWidth="true" hidden="false" outlineLevel="0" max="9" min="5" style="0" width="8.51"/>
    <col collapsed="false" customWidth="true" hidden="false" outlineLevel="0" max="10" min="10" style="0" width="14"/>
    <col collapsed="false" customWidth="true" hidden="false" outlineLevel="0" max="11" min="11" style="0" width="16"/>
    <col collapsed="false" customWidth="true" hidden="false" outlineLevel="0" max="1025" min="12" style="0" width="8.51"/>
  </cols>
  <sheetData>
    <row r="1" customFormat="false" ht="14.4" hidden="false" customHeight="false" outlineLevel="0" collapsed="false">
      <c r="B1" s="0" t="s">
        <v>1296</v>
      </c>
      <c r="C1" s="309" t="s">
        <v>1404</v>
      </c>
      <c r="D1" s="351" t="s">
        <v>1405</v>
      </c>
      <c r="E1" s="0" t="s">
        <v>1210</v>
      </c>
      <c r="F1" s="0" t="s">
        <v>1211</v>
      </c>
      <c r="G1" s="0" t="s">
        <v>1212</v>
      </c>
      <c r="H1" s="0" t="s">
        <v>1432</v>
      </c>
      <c r="I1" s="0" t="s">
        <v>1309</v>
      </c>
      <c r="J1" s="0" t="s">
        <v>1433</v>
      </c>
    </row>
    <row r="2" customFormat="false" ht="14.4" hidden="false" customHeight="false" outlineLevel="0" collapsed="false">
      <c r="B2" s="309" t="s">
        <v>1434</v>
      </c>
      <c r="C2" s="309" t="n">
        <v>0.36343583582508</v>
      </c>
      <c r="D2" s="0" t="n">
        <v>0.36343583582508</v>
      </c>
      <c r="E2" s="0" t="n">
        <v>0.284557797831958</v>
      </c>
      <c r="F2" s="0" t="n">
        <v>0.219433472372593</v>
      </c>
      <c r="G2" s="0" t="n">
        <v>0.169330775558259</v>
      </c>
      <c r="H2" s="0" t="n">
        <v>90</v>
      </c>
      <c r="I2" s="309" t="n">
        <v>0.781814933211056</v>
      </c>
      <c r="J2" s="309" t="s">
        <v>1435</v>
      </c>
    </row>
    <row r="3" customFormat="false" ht="14.4" hidden="false" customHeight="false" outlineLevel="0" collapsed="false">
      <c r="B3" s="309" t="s">
        <v>1436</v>
      </c>
      <c r="C3" s="309" t="n">
        <v>1.08913022176112</v>
      </c>
      <c r="D3" s="0" t="n">
        <v>1.08913022176112</v>
      </c>
      <c r="E3" s="0" t="n">
        <v>0.887356760920145</v>
      </c>
      <c r="F3" s="0" t="n">
        <v>0.710139341975284</v>
      </c>
      <c r="G3" s="0" t="n">
        <v>0.559130760078691</v>
      </c>
      <c r="H3" s="0" t="n">
        <v>90</v>
      </c>
      <c r="I3" s="309" t="n">
        <v>0.726970811013605</v>
      </c>
      <c r="J3" s="309" t="s">
        <v>1437</v>
      </c>
    </row>
    <row r="4" customFormat="false" ht="14.4" hidden="false" customHeight="false" outlineLevel="0" collapsed="false">
      <c r="B4" s="309" t="s">
        <v>1438</v>
      </c>
      <c r="C4" s="309" t="n">
        <v>2.45421129439187</v>
      </c>
      <c r="D4" s="0" t="n">
        <v>2.45421129439187</v>
      </c>
      <c r="E4" s="0" t="n">
        <v>2.29183010751855</v>
      </c>
      <c r="F4" s="0" t="n">
        <v>1.63565906673338</v>
      </c>
      <c r="G4" s="0" t="n">
        <v>1.24704595742907</v>
      </c>
      <c r="H4" s="0" t="n">
        <v>90</v>
      </c>
      <c r="I4" s="309" t="n">
        <v>0.667439087521033</v>
      </c>
      <c r="J4" s="309" t="s">
        <v>1439</v>
      </c>
    </row>
    <row r="5" customFormat="false" ht="14.4" hidden="false" customHeight="false" outlineLevel="0" collapsed="false">
      <c r="B5" s="309" t="s">
        <v>1440</v>
      </c>
      <c r="C5" s="309" t="n">
        <v>6.1630987222195</v>
      </c>
      <c r="D5" s="0" t="n">
        <v>6.1630987222195</v>
      </c>
      <c r="E5" s="0" t="n">
        <v>5.57214162543832</v>
      </c>
      <c r="F5" s="0" t="n">
        <v>4.69938488247529</v>
      </c>
      <c r="G5" s="0" t="n">
        <v>3.81046890967151</v>
      </c>
      <c r="H5" s="0" t="n">
        <v>90</v>
      </c>
      <c r="I5" s="309" t="n">
        <v>0.573940535056541</v>
      </c>
      <c r="J5" s="309" t="s">
        <v>1441</v>
      </c>
    </row>
    <row r="6" customFormat="false" ht="14.4" hidden="false" customHeight="false" outlineLevel="0" collapsed="false">
      <c r="B6" s="309" t="s">
        <v>1442</v>
      </c>
      <c r="C6" s="309" t="n">
        <v>12.2944205195499</v>
      </c>
      <c r="D6" s="0" t="n">
        <v>12.2944205195499</v>
      </c>
      <c r="E6" s="0" t="n">
        <v>11.0777905768057</v>
      </c>
      <c r="F6" s="0" t="n">
        <v>9.27352531753791</v>
      </c>
      <c r="G6" s="0" t="n">
        <v>7.44603264179173</v>
      </c>
      <c r="H6" s="0" t="n">
        <v>90</v>
      </c>
      <c r="I6" s="309" t="n">
        <v>0.574551063171822</v>
      </c>
      <c r="J6" s="309" t="s">
        <v>1443</v>
      </c>
    </row>
    <row r="7" customFormat="false" ht="14.4" hidden="false" customHeight="false" outlineLevel="0" collapsed="false">
      <c r="B7" s="309" t="s">
        <v>1444</v>
      </c>
      <c r="C7" s="309" t="n">
        <v>24.3149471523879</v>
      </c>
      <c r="D7" s="0" t="n">
        <v>22.4369139772961</v>
      </c>
      <c r="E7" s="0" t="n">
        <v>24.3149471523879</v>
      </c>
      <c r="F7" s="0" t="n">
        <v>21.3075992256104</v>
      </c>
      <c r="G7" s="0" t="n">
        <v>17.6841455304316</v>
      </c>
      <c r="H7" s="0" t="n">
        <v>60</v>
      </c>
      <c r="I7" s="309" t="n">
        <v>0.65677845328697</v>
      </c>
      <c r="J7" s="309" t="s">
        <v>1445</v>
      </c>
    </row>
    <row r="8" customFormat="false" ht="14.4" hidden="false" customHeight="false" outlineLevel="0" collapsed="false">
      <c r="B8" s="309" t="s">
        <v>1446</v>
      </c>
      <c r="C8" s="309" t="n">
        <v>25.0018072655296</v>
      </c>
      <c r="D8" s="0" t="n">
        <v>15.6127834588558</v>
      </c>
      <c r="E8" s="0" t="n">
        <v>25.0018072655296</v>
      </c>
      <c r="F8" s="0" t="n">
        <v>24.2538204048379</v>
      </c>
      <c r="G8" s="0" t="n">
        <v>21.1032520454339</v>
      </c>
      <c r="H8" s="0" t="n">
        <v>60</v>
      </c>
      <c r="I8" s="309" t="n">
        <v>0.534896835561904</v>
      </c>
      <c r="J8" s="309" t="s">
        <v>1447</v>
      </c>
    </row>
    <row r="9" customFormat="false" ht="14.4" hidden="false" customHeight="false" outlineLevel="0" collapsed="false">
      <c r="B9" s="309" t="s">
        <v>1448</v>
      </c>
      <c r="C9" s="309" t="n">
        <v>29.0542526618442</v>
      </c>
      <c r="D9" s="0" t="n">
        <v>29.0542526618442</v>
      </c>
      <c r="E9" s="0" t="n">
        <v>28.6164213494517</v>
      </c>
      <c r="F9" s="0" t="n">
        <v>24.7104612310063</v>
      </c>
      <c r="G9" s="0" t="n">
        <v>20.38327200593</v>
      </c>
      <c r="H9" s="0" t="n">
        <v>90</v>
      </c>
      <c r="I9" s="309" t="s">
        <v>1362</v>
      </c>
      <c r="J9" s="309" t="s">
        <v>1449</v>
      </c>
    </row>
    <row r="10" customFormat="false" ht="14.4" hidden="false" customHeight="false" outlineLevel="0" collapsed="false">
      <c r="B10" s="309" t="s">
        <v>1450</v>
      </c>
      <c r="C10" s="309" t="n">
        <v>68.5141143395951</v>
      </c>
      <c r="D10" s="0" t="n">
        <v>0</v>
      </c>
      <c r="E10" s="0" t="n">
        <v>68.5141143395951</v>
      </c>
      <c r="F10" s="0" t="n">
        <v>62.631932685709</v>
      </c>
      <c r="G10" s="0" t="n">
        <v>53.1548517837828</v>
      </c>
      <c r="H10" s="0" t="n">
        <v>60</v>
      </c>
      <c r="I10" s="309" t="n">
        <v>0.595524405086516</v>
      </c>
      <c r="J10" s="309" t="s">
        <v>1451</v>
      </c>
    </row>
    <row r="11" customFormat="false" ht="14.4" hidden="false" customHeight="false" outlineLevel="0" collapsed="false">
      <c r="B11" s="309" t="s">
        <v>1452</v>
      </c>
      <c r="C11" s="309" t="n">
        <v>77.0476456495895</v>
      </c>
      <c r="D11" s="0" t="n">
        <v>0</v>
      </c>
      <c r="E11" s="0" t="n">
        <v>77.0476456495895</v>
      </c>
      <c r="F11" s="0" t="n">
        <v>69.4025578556375</v>
      </c>
      <c r="G11" s="0" t="n">
        <v>58.3833504989006</v>
      </c>
      <c r="H11" s="0" t="n">
        <v>60</v>
      </c>
      <c r="I11" s="309" t="n">
        <v>0.613621681202456</v>
      </c>
      <c r="J11" s="309" t="s">
        <v>1453</v>
      </c>
    </row>
    <row r="12" customFormat="false" ht="14.4" hidden="false" customHeight="false" outlineLevel="0" collapsed="false">
      <c r="B12" s="309" t="s">
        <v>1454</v>
      </c>
      <c r="C12" s="309" t="n">
        <v>116.003213642178</v>
      </c>
      <c r="D12" s="0" t="n">
        <v>0</v>
      </c>
      <c r="E12" s="0" t="n">
        <v>115.691047274836</v>
      </c>
      <c r="F12" s="0" t="n">
        <v>116.003213642178</v>
      </c>
      <c r="G12" s="0" t="n">
        <v>104.159743738629</v>
      </c>
      <c r="H12" s="0" t="n">
        <v>40</v>
      </c>
      <c r="I12" s="309" t="n">
        <v>0.699328307367822</v>
      </c>
      <c r="J12" s="309" t="s">
        <v>1455</v>
      </c>
    </row>
    <row r="13" customFormat="false" ht="14.4" hidden="false" customHeight="false" outlineLevel="0" collapsed="false">
      <c r="B13" s="309" t="s">
        <v>1456</v>
      </c>
      <c r="C13" s="309" t="n">
        <v>187.507119848213</v>
      </c>
      <c r="D13" s="0" t="n">
        <v>0</v>
      </c>
      <c r="E13" s="0" t="n">
        <v>173.322418014094</v>
      </c>
      <c r="F13" s="0" t="n">
        <v>187.507119848213</v>
      </c>
      <c r="G13" s="0" t="n">
        <v>159.18576223933</v>
      </c>
      <c r="H13" s="0" t="n">
        <v>40</v>
      </c>
      <c r="I13" s="309" t="n">
        <v>0.686682117754133</v>
      </c>
      <c r="J13" s="309" t="s">
        <v>1457</v>
      </c>
    </row>
    <row r="14" customFormat="false" ht="14.4" hidden="false" customHeight="false" outlineLevel="0" collapsed="false">
      <c r="B14" s="309" t="s">
        <v>1458</v>
      </c>
      <c r="C14" s="309" t="n">
        <v>296.699762337031</v>
      </c>
      <c r="D14" s="0" t="n">
        <v>0</v>
      </c>
      <c r="E14" s="0" t="n">
        <v>173.858477754816</v>
      </c>
      <c r="F14" s="0" t="n">
        <v>296.699762337031</v>
      </c>
      <c r="G14" s="0" t="n">
        <v>282.432343253542</v>
      </c>
      <c r="H14" s="0" t="n">
        <v>40</v>
      </c>
      <c r="I14" s="309" t="n">
        <v>0.546835409853227</v>
      </c>
      <c r="J14" s="309" t="s">
        <v>1459</v>
      </c>
    </row>
    <row r="15" customFormat="false" ht="14.4" hidden="false" customHeight="false" outlineLevel="0" collapsed="false">
      <c r="B15" s="309" t="s">
        <v>1460</v>
      </c>
      <c r="C15" s="309" t="n">
        <v>574.0073470823</v>
      </c>
      <c r="D15" s="0" t="n">
        <v>0</v>
      </c>
      <c r="E15" s="0" t="n">
        <v>0</v>
      </c>
      <c r="F15" s="0" t="n">
        <v>0</v>
      </c>
      <c r="G15" s="0" t="n">
        <v>574.0073470823</v>
      </c>
      <c r="H15" s="0" t="n">
        <v>26</v>
      </c>
      <c r="I15" s="309" t="n">
        <v>0.558724228038234</v>
      </c>
      <c r="J15" s="309" t="s">
        <v>1461</v>
      </c>
    </row>
    <row r="16" customFormat="false" ht="14.4" hidden="false" customHeight="false" outlineLevel="0" collapsed="false">
      <c r="B16" s="309" t="s">
        <v>144</v>
      </c>
      <c r="C16" s="309" t="n">
        <v>2042.01176617503</v>
      </c>
      <c r="D16" s="0" t="n">
        <v>0</v>
      </c>
      <c r="E16" s="0" t="n">
        <v>0</v>
      </c>
      <c r="F16" s="0" t="n">
        <v>0</v>
      </c>
      <c r="G16" s="0" t="n">
        <v>2042.01176617503</v>
      </c>
      <c r="H16" s="0" t="n">
        <v>26</v>
      </c>
      <c r="I16" s="309" t="s">
        <v>1362</v>
      </c>
      <c r="J16" s="309" t="s">
        <v>1462</v>
      </c>
    </row>
    <row r="17" customFormat="false" ht="14.4" hidden="false" customHeight="false" outlineLevel="0" collapsed="false">
      <c r="B17" s="309" t="s">
        <v>148</v>
      </c>
      <c r="C17" s="309" t="n">
        <v>2248.71332349156</v>
      </c>
      <c r="D17" s="0" t="n">
        <v>0</v>
      </c>
      <c r="E17" s="0" t="n">
        <v>0</v>
      </c>
      <c r="F17" s="0" t="n">
        <v>0</v>
      </c>
      <c r="G17" s="0" t="n">
        <v>2248.71332349156</v>
      </c>
      <c r="H17" s="0" t="n">
        <v>26</v>
      </c>
      <c r="I17" s="309" t="s">
        <v>1362</v>
      </c>
      <c r="J17" s="309" t="s">
        <v>1463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4.4" zeroHeight="false" outlineLevelRow="0" outlineLevelCol="0"/>
  <cols>
    <col collapsed="false" customWidth="true" hidden="false" outlineLevel="0" max="3" min="1" style="0" width="8.51"/>
    <col collapsed="false" customWidth="true" hidden="false" outlineLevel="0" max="7" min="4" style="0" width="12.11"/>
    <col collapsed="false" customWidth="true" hidden="false" outlineLevel="0" max="1025" min="8" style="0" width="8.51"/>
  </cols>
  <sheetData>
    <row r="1" customFormat="false" ht="14.4" hidden="false" customHeight="false" outlineLevel="0" collapsed="false">
      <c r="D1" s="351" t="s">
        <v>1405</v>
      </c>
      <c r="E1" s="0" t="s">
        <v>1210</v>
      </c>
      <c r="F1" s="0" t="s">
        <v>1211</v>
      </c>
      <c r="G1" s="0" t="s">
        <v>1212</v>
      </c>
    </row>
    <row r="2" customFormat="false" ht="14.4" hidden="false" customHeight="false" outlineLevel="0" collapsed="false">
      <c r="C2" s="309" t="s">
        <v>1434</v>
      </c>
      <c r="D2" s="0" t="s">
        <v>154</v>
      </c>
      <c r="E2" s="0" t="s">
        <v>153</v>
      </c>
      <c r="F2" s="0" t="s">
        <v>152</v>
      </c>
      <c r="G2" s="0" t="s">
        <v>150</v>
      </c>
    </row>
    <row r="3" customFormat="false" ht="14.4" hidden="false" customHeight="false" outlineLevel="0" collapsed="false">
      <c r="C3" s="309" t="s">
        <v>1436</v>
      </c>
      <c r="D3" s="0" t="s">
        <v>159</v>
      </c>
      <c r="E3" s="0" t="s">
        <v>158</v>
      </c>
      <c r="F3" s="0" t="s">
        <v>157</v>
      </c>
      <c r="G3" s="0" t="s">
        <v>155</v>
      </c>
    </row>
    <row r="4" customFormat="false" ht="14.4" hidden="false" customHeight="false" outlineLevel="0" collapsed="false">
      <c r="C4" s="309" t="s">
        <v>1438</v>
      </c>
      <c r="D4" s="0" t="s">
        <v>164</v>
      </c>
      <c r="E4" s="0" t="s">
        <v>163</v>
      </c>
      <c r="F4" s="0" t="s">
        <v>162</v>
      </c>
      <c r="G4" s="0" t="s">
        <v>160</v>
      </c>
    </row>
    <row r="5" customFormat="false" ht="14.4" hidden="false" customHeight="false" outlineLevel="0" collapsed="false">
      <c r="C5" s="309" t="s">
        <v>1440</v>
      </c>
      <c r="D5" s="0" t="s">
        <v>174</v>
      </c>
      <c r="E5" s="0" t="s">
        <v>173</v>
      </c>
      <c r="F5" s="0" t="s">
        <v>172</v>
      </c>
      <c r="G5" s="0" t="s">
        <v>170</v>
      </c>
    </row>
    <row r="6" customFormat="false" ht="14.4" hidden="false" customHeight="false" outlineLevel="0" collapsed="false">
      <c r="C6" s="309" t="s">
        <v>1442</v>
      </c>
      <c r="D6" s="0" t="s">
        <v>206</v>
      </c>
      <c r="E6" s="0" t="s">
        <v>205</v>
      </c>
      <c r="F6" s="0" t="s">
        <v>204</v>
      </c>
      <c r="G6" s="0" t="s">
        <v>202</v>
      </c>
    </row>
    <row r="7" customFormat="false" ht="14.4" hidden="false" customHeight="false" outlineLevel="0" collapsed="false">
      <c r="C7" s="309" t="s">
        <v>1444</v>
      </c>
      <c r="D7" s="0" t="s">
        <v>184</v>
      </c>
      <c r="E7" s="0" t="s">
        <v>183</v>
      </c>
      <c r="F7" s="0" t="s">
        <v>182</v>
      </c>
      <c r="G7" s="0" t="s">
        <v>180</v>
      </c>
    </row>
    <row r="8" customFormat="false" ht="14.4" hidden="false" customHeight="false" outlineLevel="0" collapsed="false">
      <c r="C8" s="309" t="s">
        <v>1446</v>
      </c>
      <c r="D8" s="0" t="s">
        <v>179</v>
      </c>
      <c r="E8" s="0" t="s">
        <v>178</v>
      </c>
      <c r="F8" s="0" t="s">
        <v>177</v>
      </c>
      <c r="G8" s="0" t="s">
        <v>175</v>
      </c>
    </row>
    <row r="9" customFormat="false" ht="14.4" hidden="false" customHeight="false" outlineLevel="0" collapsed="false">
      <c r="C9" s="309" t="s">
        <v>1448</v>
      </c>
      <c r="D9" s="0" t="s">
        <v>189</v>
      </c>
      <c r="E9" s="0" t="s">
        <v>188</v>
      </c>
      <c r="F9" s="0" t="s">
        <v>187</v>
      </c>
      <c r="G9" s="0" t="s">
        <v>185</v>
      </c>
    </row>
    <row r="10" customFormat="false" ht="14.4" hidden="false" customHeight="false" outlineLevel="0" collapsed="false">
      <c r="C10" s="309" t="s">
        <v>1450</v>
      </c>
      <c r="D10" s="0" t="n">
        <v>0</v>
      </c>
      <c r="E10" s="0" t="s">
        <v>364</v>
      </c>
      <c r="F10" s="0" t="s">
        <v>363</v>
      </c>
      <c r="G10" s="0" t="s">
        <v>361</v>
      </c>
    </row>
    <row r="11" customFormat="false" ht="14.4" hidden="false" customHeight="false" outlineLevel="0" collapsed="false">
      <c r="C11" s="309" t="s">
        <v>1452</v>
      </c>
      <c r="D11" s="0" t="n">
        <v>0</v>
      </c>
      <c r="E11" s="0" t="s">
        <v>385</v>
      </c>
      <c r="F11" s="0" t="s">
        <v>384</v>
      </c>
      <c r="G11" s="0" t="s">
        <v>382</v>
      </c>
    </row>
    <row r="12" customFormat="false" ht="14.4" hidden="false" customHeight="false" outlineLevel="0" collapsed="false">
      <c r="C12" s="309" t="s">
        <v>1454</v>
      </c>
      <c r="D12" s="0" t="n">
        <v>0</v>
      </c>
      <c r="E12" s="0" t="s">
        <v>632</v>
      </c>
      <c r="F12" s="0" t="s">
        <v>631</v>
      </c>
      <c r="G12" s="0" t="s">
        <v>629</v>
      </c>
    </row>
    <row r="13" customFormat="false" ht="14.4" hidden="false" customHeight="false" outlineLevel="0" collapsed="false">
      <c r="C13" s="309" t="s">
        <v>1456</v>
      </c>
      <c r="D13" s="0" t="n">
        <v>0</v>
      </c>
      <c r="E13" s="0" t="s">
        <v>624</v>
      </c>
      <c r="F13" s="0" t="s">
        <v>623</v>
      </c>
      <c r="G13" s="0" t="s">
        <v>621</v>
      </c>
    </row>
    <row r="14" customFormat="false" ht="14.4" hidden="false" customHeight="false" outlineLevel="0" collapsed="false">
      <c r="C14" s="309" t="s">
        <v>1458</v>
      </c>
      <c r="D14" s="0" t="n">
        <v>0</v>
      </c>
      <c r="E14" s="0" t="s">
        <v>794</v>
      </c>
      <c r="F14" s="0" t="s">
        <v>793</v>
      </c>
      <c r="G14" s="0" t="s">
        <v>792</v>
      </c>
    </row>
    <row r="15" customFormat="false" ht="14.4" hidden="false" customHeight="false" outlineLevel="0" collapsed="false">
      <c r="C15" s="309" t="s">
        <v>1460</v>
      </c>
      <c r="D15" s="0" t="n">
        <v>0</v>
      </c>
      <c r="E15" s="0" t="n">
        <v>0</v>
      </c>
      <c r="F15" s="0" t="n">
        <v>0</v>
      </c>
      <c r="G15" s="0" t="s">
        <v>798</v>
      </c>
    </row>
    <row r="16" customFormat="false" ht="14.4" hidden="false" customHeight="false" outlineLevel="0" collapsed="false">
      <c r="C16" s="309" t="s">
        <v>144</v>
      </c>
      <c r="D16" s="0" t="n">
        <v>0</v>
      </c>
      <c r="E16" s="0" t="n">
        <v>0</v>
      </c>
      <c r="F16" s="0" t="n">
        <v>0</v>
      </c>
      <c r="G16" s="0" t="s">
        <v>145</v>
      </c>
    </row>
    <row r="17" customFormat="false" ht="14.4" hidden="false" customHeight="false" outlineLevel="0" collapsed="false">
      <c r="C17" s="309" t="s">
        <v>148</v>
      </c>
      <c r="D17" s="0" t="n">
        <v>0</v>
      </c>
      <c r="E17" s="0" t="n">
        <v>0</v>
      </c>
      <c r="F17" s="0" t="n">
        <v>0</v>
      </c>
      <c r="G17" s="0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L44" activeCellId="0" sqref="L44"/>
    </sheetView>
  </sheetViews>
  <sheetFormatPr defaultRowHeight="14.4" zeroHeight="false" outlineLevelRow="0" outlineLevelCol="0"/>
  <cols>
    <col collapsed="false" customWidth="true" hidden="false" outlineLevel="0" max="1" min="1" style="303" width="12.11"/>
    <col collapsed="false" customWidth="true" hidden="false" outlineLevel="0" max="3" min="2" style="303" width="10.44"/>
    <col collapsed="false" customWidth="true" hidden="false" outlineLevel="0" max="4" min="4" style="303" width="11.89"/>
    <col collapsed="false" customWidth="true" hidden="false" outlineLevel="0" max="5" min="5" style="303" width="10.11"/>
    <col collapsed="false" customWidth="true" hidden="false" outlineLevel="0" max="6" min="6" style="303" width="11"/>
    <col collapsed="false" customWidth="true" hidden="false" outlineLevel="0" max="1025" min="7" style="303" width="9.11"/>
  </cols>
  <sheetData>
    <row r="1" customFormat="false" ht="14.4" hidden="false" customHeight="false" outlineLevel="0" collapsed="false">
      <c r="A1" s="302" t="s">
        <v>33</v>
      </c>
    </row>
    <row r="2" customFormat="false" ht="14.4" hidden="false" customHeight="false" outlineLevel="0" collapsed="false">
      <c r="A2" s="304" t="s">
        <v>1202</v>
      </c>
      <c r="B2" s="304" t="s">
        <v>1203</v>
      </c>
      <c r="C2" s="304" t="s">
        <v>1204</v>
      </c>
      <c r="D2" s="304" t="s">
        <v>1205</v>
      </c>
      <c r="E2" s="304" t="s">
        <v>1207</v>
      </c>
      <c r="F2" s="304" t="s">
        <v>1208</v>
      </c>
    </row>
    <row r="3" customFormat="false" ht="14.4" hidden="false" customHeight="false" outlineLevel="0" collapsed="false">
      <c r="A3" s="303" t="n">
        <v>14</v>
      </c>
    </row>
    <row r="4" customFormat="false" ht="14.4" hidden="false" customHeight="false" outlineLevel="0" collapsed="false">
      <c r="A4" s="303" t="n">
        <v>26</v>
      </c>
      <c r="B4" s="305" t="n">
        <v>1</v>
      </c>
      <c r="C4" s="306" t="n">
        <v>-0.001248</v>
      </c>
      <c r="D4" s="306" t="n">
        <v>-2.02E-005</v>
      </c>
      <c r="E4" s="306" t="n">
        <v>8.354E-008</v>
      </c>
      <c r="F4" s="306" t="n">
        <v>-9.503E-011</v>
      </c>
    </row>
    <row r="5" customFormat="false" ht="14.4" hidden="false" customHeight="false" outlineLevel="0" collapsed="false">
      <c r="A5" s="303" t="n">
        <v>40</v>
      </c>
      <c r="B5" s="305" t="n">
        <v>1</v>
      </c>
      <c r="C5" s="306" t="n">
        <v>-0.002799</v>
      </c>
      <c r="D5" s="306" t="n">
        <v>-3.312E-005</v>
      </c>
      <c r="E5" s="306" t="n">
        <v>2.126E-007</v>
      </c>
      <c r="F5" s="306" t="n">
        <v>-3.466E-010</v>
      </c>
    </row>
    <row r="6" customFormat="false" ht="14.4" hidden="false" customHeight="false" outlineLevel="0" collapsed="false">
      <c r="A6" s="303" t="n">
        <v>60</v>
      </c>
      <c r="B6" s="305" t="n">
        <v>1</v>
      </c>
      <c r="C6" s="306" t="n">
        <v>-0.004445</v>
      </c>
      <c r="D6" s="306" t="n">
        <v>-8.763E-005</v>
      </c>
      <c r="E6" s="306" t="n">
        <v>9.446E-007</v>
      </c>
      <c r="F6" s="306" t="n">
        <v>-2.616E-009</v>
      </c>
    </row>
    <row r="7" customFormat="false" ht="14.4" hidden="false" customHeight="false" outlineLevel="0" collapsed="false">
      <c r="A7" s="303" t="n">
        <v>75</v>
      </c>
      <c r="B7" s="305" t="n">
        <v>1</v>
      </c>
      <c r="C7" s="306" t="n">
        <v>-0.00612</v>
      </c>
      <c r="D7" s="306" t="n">
        <v>-0.000138</v>
      </c>
      <c r="E7" s="306" t="n">
        <v>1.943E-006</v>
      </c>
      <c r="F7" s="306" t="n">
        <v>-6.956E-009</v>
      </c>
    </row>
    <row r="8" customFormat="false" ht="14.4" hidden="false" customHeight="false" outlineLevel="0" collapsed="false">
      <c r="A8" s="303" t="n">
        <v>90</v>
      </c>
      <c r="B8" s="305" t="n">
        <v>1</v>
      </c>
      <c r="C8" s="306" t="n">
        <v>-0.009031</v>
      </c>
      <c r="D8" s="306" t="n">
        <v>-0.0001218</v>
      </c>
      <c r="E8" s="306" t="n">
        <v>2.254E-006</v>
      </c>
      <c r="F8" s="306" t="n">
        <v>-9.287E-009</v>
      </c>
    </row>
    <row r="9" customFormat="false" ht="14.4" hidden="false" customHeight="false" outlineLevel="0" collapsed="false">
      <c r="A9" s="303" t="n">
        <v>125</v>
      </c>
      <c r="B9" s="305" t="n">
        <v>1</v>
      </c>
      <c r="C9" s="306" t="n">
        <v>-0.009918</v>
      </c>
      <c r="D9" s="306" t="n">
        <v>-0.0005044</v>
      </c>
      <c r="E9" s="306" t="n">
        <v>1.267E-005</v>
      </c>
      <c r="F9" s="306" t="n">
        <v>-8.284E-008</v>
      </c>
    </row>
    <row r="10" customFormat="false" ht="14.4" hidden="false" customHeight="false" outlineLevel="0" collapsed="false">
      <c r="A10" s="304" t="s">
        <v>1206</v>
      </c>
      <c r="B10" s="304" t="s">
        <v>1203</v>
      </c>
      <c r="C10" s="304" t="s">
        <v>1204</v>
      </c>
      <c r="D10" s="304" t="s">
        <v>1205</v>
      </c>
      <c r="E10" s="304" t="s">
        <v>1207</v>
      </c>
      <c r="F10" s="304" t="s">
        <v>1208</v>
      </c>
      <c r="G10" s="304" t="s">
        <v>1209</v>
      </c>
    </row>
    <row r="11" customFormat="false" ht="14.4" hidden="false" customHeight="false" outlineLevel="0" collapsed="false">
      <c r="A11" s="303" t="n">
        <v>14</v>
      </c>
    </row>
    <row r="12" customFormat="false" ht="14.4" hidden="false" customHeight="false" outlineLevel="0" collapsed="false">
      <c r="A12" s="303" t="n">
        <v>26</v>
      </c>
      <c r="B12" s="306" t="n">
        <v>5.868E-005</v>
      </c>
      <c r="C12" s="306" t="n">
        <v>9.362E-005</v>
      </c>
      <c r="D12" s="306" t="n">
        <v>9.011E-006</v>
      </c>
      <c r="E12" s="306" t="n">
        <v>-0.0003682</v>
      </c>
      <c r="F12" s="306" t="n">
        <v>8.747E-006</v>
      </c>
      <c r="G12" s="305" t="n">
        <v>0.5</v>
      </c>
    </row>
    <row r="13" customFormat="false" ht="14.4" hidden="false" customHeight="false" outlineLevel="0" collapsed="false">
      <c r="A13" s="303" t="n">
        <v>40</v>
      </c>
      <c r="B13" s="306" t="n">
        <v>8.87E-005</v>
      </c>
      <c r="C13" s="306" t="n">
        <v>5.592E-005</v>
      </c>
      <c r="D13" s="306" t="n">
        <v>2.7E-005</v>
      </c>
      <c r="E13" s="306" t="n">
        <v>0.0002928</v>
      </c>
      <c r="F13" s="306" t="n">
        <v>2.574E-005</v>
      </c>
      <c r="G13" s="305" t="n">
        <v>0.5</v>
      </c>
    </row>
    <row r="14" customFormat="false" ht="14.4" hidden="false" customHeight="false" outlineLevel="0" collapsed="false">
      <c r="A14" s="303" t="n">
        <v>60</v>
      </c>
      <c r="B14" s="306" t="n">
        <v>0.0001658</v>
      </c>
      <c r="C14" s="306" t="n">
        <v>2.301E-005</v>
      </c>
      <c r="D14" s="306" t="n">
        <v>7.297E-005</v>
      </c>
      <c r="E14" s="306" t="n">
        <v>0.005906</v>
      </c>
      <c r="F14" s="306" t="n">
        <v>6.053E-005</v>
      </c>
      <c r="G14" s="305" t="n">
        <v>0.5</v>
      </c>
    </row>
    <row r="15" customFormat="false" ht="14.4" hidden="false" customHeight="false" outlineLevel="0" collapsed="false">
      <c r="A15" s="303" t="n">
        <v>75</v>
      </c>
      <c r="B15" s="306" t="n">
        <v>1.433E-005</v>
      </c>
      <c r="C15" s="306" t="n">
        <v>9.724E-005</v>
      </c>
      <c r="D15" s="306" t="n">
        <v>0.0001323</v>
      </c>
      <c r="E15" s="306" t="n">
        <v>0.007255</v>
      </c>
      <c r="F15" s="306" t="n">
        <v>0.0001131</v>
      </c>
      <c r="G15" s="305" t="n">
        <v>0.5</v>
      </c>
    </row>
    <row r="16" customFormat="false" ht="14.4" hidden="false" customHeight="false" outlineLevel="0" collapsed="false">
      <c r="A16" s="303" t="n">
        <v>90</v>
      </c>
      <c r="B16" s="306" t="n">
        <v>0.000566</v>
      </c>
      <c r="C16" s="306" t="n">
        <v>-0.0001216</v>
      </c>
      <c r="D16" s="306" t="n">
        <v>0.0001974</v>
      </c>
      <c r="E16" s="306" t="n">
        <v>0.007278</v>
      </c>
      <c r="F16" s="306" t="n">
        <v>0.0001698</v>
      </c>
      <c r="G16" s="305" t="n">
        <v>0.5</v>
      </c>
    </row>
    <row r="17" customFormat="false" ht="14.4" hidden="false" customHeight="false" outlineLevel="0" collapsed="false">
      <c r="A17" s="303" t="n">
        <v>125</v>
      </c>
      <c r="B17" s="306" t="n">
        <v>7.808E-005</v>
      </c>
      <c r="C17" s="307" t="n">
        <v>0.0005088</v>
      </c>
      <c r="D17" s="307" t="n">
        <v>0.0002595</v>
      </c>
      <c r="E17" s="307" t="n">
        <v>0.003922</v>
      </c>
      <c r="F17" s="307" t="n">
        <v>0.0002285</v>
      </c>
      <c r="G17" s="305" t="n">
        <v>0.5</v>
      </c>
    </row>
    <row r="18" customFormat="false" ht="14.4" hidden="false" customHeight="false" outlineLevel="0" collapsed="false">
      <c r="A18" s="304" t="s">
        <v>1084</v>
      </c>
      <c r="B18" s="304" t="s">
        <v>1203</v>
      </c>
      <c r="C18" s="304" t="s">
        <v>1204</v>
      </c>
      <c r="D18" s="304" t="s">
        <v>1205</v>
      </c>
    </row>
    <row r="19" customFormat="false" ht="14.4" hidden="false" customHeight="false" outlineLevel="0" collapsed="false">
      <c r="A19" s="303" t="n">
        <v>14</v>
      </c>
    </row>
    <row r="20" customFormat="false" ht="14.4" hidden="false" customHeight="false" outlineLevel="0" collapsed="false">
      <c r="A20" s="303" t="n">
        <v>26</v>
      </c>
      <c r="B20" s="303" t="n">
        <v>120</v>
      </c>
      <c r="C20" s="303" t="n">
        <v>2.09</v>
      </c>
      <c r="D20" s="303" t="n">
        <v>1.46</v>
      </c>
    </row>
    <row r="21" customFormat="false" ht="14.4" hidden="false" customHeight="false" outlineLevel="0" collapsed="false">
      <c r="A21" s="303" t="n">
        <v>40</v>
      </c>
      <c r="B21" s="303" t="n">
        <v>120</v>
      </c>
      <c r="C21" s="303" t="n">
        <v>2.09</v>
      </c>
      <c r="D21" s="303" t="n">
        <v>1.46</v>
      </c>
    </row>
    <row r="22" customFormat="false" ht="14.4" hidden="false" customHeight="false" outlineLevel="0" collapsed="false">
      <c r="A22" s="303" t="n">
        <v>60</v>
      </c>
      <c r="B22" s="303" t="n">
        <v>193</v>
      </c>
      <c r="C22" s="303" t="n">
        <v>2.01</v>
      </c>
      <c r="D22" s="303" t="n">
        <v>1.29</v>
      </c>
    </row>
    <row r="23" customFormat="false" ht="14.4" hidden="false" customHeight="false" outlineLevel="0" collapsed="false">
      <c r="A23" s="303" t="n">
        <v>75</v>
      </c>
      <c r="B23" s="303" t="n">
        <v>193</v>
      </c>
      <c r="C23" s="303" t="n">
        <v>2.01</v>
      </c>
      <c r="D23" s="303" t="n">
        <v>1.29</v>
      </c>
    </row>
    <row r="24" customFormat="false" ht="14.4" hidden="false" customHeight="false" outlineLevel="0" collapsed="false">
      <c r="A24" s="303" t="n">
        <v>90</v>
      </c>
      <c r="B24" s="303" t="n">
        <v>193</v>
      </c>
      <c r="C24" s="303" t="n">
        <v>2.01</v>
      </c>
      <c r="D24" s="303" t="n">
        <v>1.29</v>
      </c>
    </row>
    <row r="25" customFormat="false" ht="14.4" hidden="false" customHeight="false" outlineLevel="0" collapsed="false">
      <c r="A25" s="303" t="n">
        <v>125</v>
      </c>
      <c r="B25" s="303" t="n">
        <v>91.58</v>
      </c>
      <c r="C25" s="303" t="n">
        <v>2.2</v>
      </c>
      <c r="D25" s="303" t="n">
        <v>1.63</v>
      </c>
    </row>
    <row r="26" customFormat="false" ht="14.4" hidden="false" customHeight="false" outlineLevel="0" collapsed="false">
      <c r="A26" s="302" t="s">
        <v>50</v>
      </c>
    </row>
    <row r="27" customFormat="false" ht="14.4" hidden="false" customHeight="false" outlineLevel="0" collapsed="false">
      <c r="A27" s="304" t="s">
        <v>1202</v>
      </c>
      <c r="B27" s="304" t="s">
        <v>1203</v>
      </c>
      <c r="C27" s="304" t="s">
        <v>1204</v>
      </c>
      <c r="D27" s="304" t="s">
        <v>1205</v>
      </c>
      <c r="E27" s="304" t="s">
        <v>1207</v>
      </c>
      <c r="F27" s="304" t="s">
        <v>1208</v>
      </c>
    </row>
    <row r="28" customFormat="false" ht="14.4" hidden="false" customHeight="false" outlineLevel="0" collapsed="false">
      <c r="A28" s="303" t="n">
        <v>14</v>
      </c>
      <c r="B28" s="305" t="n">
        <v>0.9985</v>
      </c>
      <c r="C28" s="306" t="n">
        <v>0.0004257</v>
      </c>
      <c r="D28" s="306" t="n">
        <v>-9.611E-006</v>
      </c>
      <c r="E28" s="306" t="n">
        <v>1.491E-008</v>
      </c>
      <c r="F28" s="306" t="n">
        <v>-6.25E-012</v>
      </c>
    </row>
    <row r="29" customFormat="false" ht="14.4" hidden="false" customHeight="false" outlineLevel="0" collapsed="false">
      <c r="A29" s="303" t="n">
        <v>26</v>
      </c>
      <c r="B29" s="305" t="n">
        <v>0.9985</v>
      </c>
      <c r="C29" s="306" t="n">
        <v>0.001142</v>
      </c>
      <c r="D29" s="306" t="n">
        <v>-3.762E-005</v>
      </c>
      <c r="E29" s="306" t="n">
        <v>1.222E-007</v>
      </c>
      <c r="F29" s="306" t="n">
        <v>-1.218E-010</v>
      </c>
    </row>
    <row r="30" customFormat="false" ht="14.4" hidden="false" customHeight="false" outlineLevel="0" collapsed="false">
      <c r="A30" s="303" t="n">
        <v>60</v>
      </c>
      <c r="B30" s="305" t="n">
        <v>0.9971</v>
      </c>
      <c r="C30" s="306" t="n">
        <v>0.002276</v>
      </c>
      <c r="D30" s="306" t="n">
        <v>-0.0001623</v>
      </c>
      <c r="E30" s="306" t="n">
        <v>1.048E-006</v>
      </c>
      <c r="F30" s="306" t="n">
        <v>-2.013E-009</v>
      </c>
    </row>
    <row r="31" customFormat="false" ht="14.4" hidden="false" customHeight="false" outlineLevel="0" collapsed="false">
      <c r="A31" s="303" t="n">
        <v>125</v>
      </c>
      <c r="B31" s="305" t="n">
        <v>0.9966</v>
      </c>
      <c r="C31" s="306" t="n">
        <v>0.003597</v>
      </c>
      <c r="D31" s="306" t="n">
        <v>-0.000653</v>
      </c>
      <c r="E31" s="306" t="n">
        <v>8.8554E-006</v>
      </c>
      <c r="F31" s="306" t="n">
        <v>-3.569E-008</v>
      </c>
    </row>
    <row r="32" customFormat="false" ht="14.4" hidden="false" customHeight="false" outlineLevel="0" collapsed="false">
      <c r="A32" s="303" t="n">
        <v>147</v>
      </c>
      <c r="B32" s="305" t="n">
        <v>0.9968</v>
      </c>
      <c r="C32" s="306" t="n">
        <v>0.004036</v>
      </c>
      <c r="D32" s="306" t="n">
        <v>-0.0009462</v>
      </c>
      <c r="E32" s="306" t="n">
        <v>1.56E-005</v>
      </c>
      <c r="F32" s="306" t="n">
        <v>-7.66E-008</v>
      </c>
    </row>
    <row r="33" customFormat="false" ht="14.4" hidden="false" customHeight="false" outlineLevel="0" collapsed="false">
      <c r="A33" s="303" t="n">
        <v>160</v>
      </c>
      <c r="B33" s="305" t="n">
        <v>0.9973</v>
      </c>
      <c r="C33" s="306" t="n">
        <v>0.003442</v>
      </c>
      <c r="D33" s="306" t="n">
        <v>-0.00106</v>
      </c>
      <c r="E33" s="306" t="n">
        <v>1.897E-005</v>
      </c>
      <c r="F33" s="306" t="n">
        <v>-1.004E-007</v>
      </c>
    </row>
    <row r="34" customFormat="false" ht="14.4" hidden="false" customHeight="false" outlineLevel="0" collapsed="false">
      <c r="A34" s="303" t="n">
        <v>173</v>
      </c>
      <c r="B34" s="305" t="n">
        <v>0.9987</v>
      </c>
      <c r="C34" s="306" t="n">
        <v>0.0025</v>
      </c>
      <c r="D34" s="306" t="n">
        <v>-0.001152</v>
      </c>
      <c r="E34" s="306" t="n">
        <v>2.22E-005</v>
      </c>
      <c r="F34" s="306" t="n">
        <v>-1.305E-007</v>
      </c>
    </row>
    <row r="35" customFormat="false" ht="14.4" hidden="false" customHeight="false" outlineLevel="0" collapsed="false">
      <c r="A35" s="303" t="n">
        <v>200</v>
      </c>
      <c r="B35" s="305" t="n">
        <v>0.9958</v>
      </c>
      <c r="C35" s="306" t="n">
        <v>0.005128</v>
      </c>
      <c r="D35" s="306" t="n">
        <v>-0.001499</v>
      </c>
      <c r="E35" s="306" t="n">
        <v>3.055E-005</v>
      </c>
      <c r="F35" s="306" t="n">
        <v>-1.85E-007</v>
      </c>
    </row>
    <row r="36" customFormat="false" ht="14.4" hidden="false" customHeight="false" outlineLevel="0" collapsed="false">
      <c r="A36" s="303" t="n">
        <v>300</v>
      </c>
      <c r="B36" s="305" t="n">
        <v>0.9942</v>
      </c>
      <c r="C36" s="306" t="n">
        <v>0.009403</v>
      </c>
      <c r="D36" s="306" t="n">
        <v>-0.00414</v>
      </c>
      <c r="E36" s="306" t="n">
        <v>0.0001407</v>
      </c>
      <c r="F36" s="306" t="n">
        <v>-1.425E-006</v>
      </c>
    </row>
    <row r="37" customFormat="false" ht="14.4" hidden="false" customHeight="false" outlineLevel="0" collapsed="false">
      <c r="A37" s="303" t="n">
        <v>550</v>
      </c>
      <c r="B37" s="305" t="n">
        <v>1.025</v>
      </c>
      <c r="C37" s="306" t="n">
        <v>-0.1462</v>
      </c>
      <c r="D37" s="306" t="n">
        <v>0.005685</v>
      </c>
      <c r="E37" s="306" t="n">
        <v>0.0001753</v>
      </c>
      <c r="F37" s="306" t="n">
        <v>-1.038E-005</v>
      </c>
    </row>
    <row r="38" customFormat="false" ht="14.4" hidden="false" customHeight="false" outlineLevel="0" collapsed="false">
      <c r="A38" s="304" t="s">
        <v>1206</v>
      </c>
      <c r="B38" s="304" t="s">
        <v>1203</v>
      </c>
      <c r="C38" s="304" t="s">
        <v>1204</v>
      </c>
      <c r="D38" s="304" t="s">
        <v>1205</v>
      </c>
      <c r="E38" s="304" t="s">
        <v>1207</v>
      </c>
      <c r="F38" s="304" t="s">
        <v>1208</v>
      </c>
      <c r="G38" s="304" t="s">
        <v>1209</v>
      </c>
    </row>
    <row r="39" customFormat="false" ht="14.4" hidden="false" customHeight="false" outlineLevel="0" collapsed="false">
      <c r="A39" s="303" t="n">
        <v>14</v>
      </c>
      <c r="B39" s="306" t="n">
        <v>-7.507</v>
      </c>
      <c r="C39" s="306" t="n">
        <v>6.573</v>
      </c>
      <c r="D39" s="306" t="n">
        <v>0.4619</v>
      </c>
      <c r="E39" s="306" t="n">
        <v>77.77</v>
      </c>
      <c r="F39" s="306" t="n">
        <v>0.4987</v>
      </c>
      <c r="G39" s="305" t="n">
        <v>2</v>
      </c>
    </row>
    <row r="40" customFormat="false" ht="14.4" hidden="false" customHeight="false" outlineLevel="0" collapsed="false">
      <c r="A40" s="303" t="n">
        <v>26</v>
      </c>
      <c r="B40" s="306" t="n">
        <v>0.06679</v>
      </c>
      <c r="C40" s="306" t="n">
        <v>0.01105</v>
      </c>
      <c r="D40" s="306" t="n">
        <v>-1.136E-005</v>
      </c>
      <c r="E40" s="306" t="n">
        <v>0.01112</v>
      </c>
      <c r="F40" s="306" t="n">
        <v>-1.233E-005</v>
      </c>
      <c r="G40" s="305" t="n">
        <v>2</v>
      </c>
    </row>
    <row r="41" customFormat="false" ht="14.4" hidden="false" customHeight="false" outlineLevel="0" collapsed="false">
      <c r="A41" s="303" t="n">
        <v>60</v>
      </c>
      <c r="B41" s="306" t="n">
        <v>0.08146</v>
      </c>
      <c r="C41" s="306" t="n">
        <v>0.02345</v>
      </c>
      <c r="D41" s="306" t="n">
        <v>6.032E-005</v>
      </c>
      <c r="E41" s="306" t="n">
        <v>0.02476</v>
      </c>
      <c r="F41" s="306" t="n">
        <v>7.185E-005</v>
      </c>
      <c r="G41" s="305" t="n">
        <v>2</v>
      </c>
    </row>
    <row r="42" customFormat="false" ht="14.4" hidden="false" customHeight="false" outlineLevel="0" collapsed="false">
      <c r="A42" s="303" t="n">
        <v>125</v>
      </c>
      <c r="B42" s="306" t="n">
        <v>0.000642</v>
      </c>
      <c r="C42" s="306" t="n">
        <v>-0.0006271</v>
      </c>
      <c r="D42" s="306" t="n">
        <v>0.0003253</v>
      </c>
      <c r="E42" s="306" t="n">
        <v>0.009901</v>
      </c>
      <c r="F42" s="306" t="n">
        <v>0.0005366</v>
      </c>
      <c r="G42" s="305" t="n">
        <v>0.5</v>
      </c>
    </row>
    <row r="43" customFormat="false" ht="14.4" hidden="false" customHeight="false" outlineLevel="0" collapsed="false">
      <c r="A43" s="303" t="n">
        <v>147</v>
      </c>
      <c r="B43" s="306" t="n">
        <v>0.000653</v>
      </c>
      <c r="C43" s="306" t="n">
        <v>-0.0007301</v>
      </c>
      <c r="D43" s="306" t="n">
        <v>0.0004516</v>
      </c>
      <c r="E43" s="306" t="n">
        <v>0.01583</v>
      </c>
      <c r="F43" s="306" t="n">
        <v>0.0007185</v>
      </c>
      <c r="G43" s="305" t="n">
        <v>0.5</v>
      </c>
    </row>
    <row r="44" customFormat="false" ht="14.4" hidden="false" customHeight="false" outlineLevel="0" collapsed="false">
      <c r="A44" s="303" t="n">
        <v>160</v>
      </c>
      <c r="B44" s="306" t="n">
        <v>0.000447</v>
      </c>
      <c r="C44" s="306" t="n">
        <v>-0.0005579</v>
      </c>
      <c r="D44" s="306" t="n">
        <v>0.0005211</v>
      </c>
      <c r="E44" s="306" t="n">
        <v>0.01002</v>
      </c>
      <c r="F44" s="306" t="n">
        <v>0.0008164</v>
      </c>
      <c r="G44" s="305" t="n">
        <v>0.5</v>
      </c>
    </row>
    <row r="45" customFormat="false" ht="14.4" hidden="false" customHeight="false" outlineLevel="0" collapsed="false">
      <c r="A45" s="303" t="n">
        <v>173</v>
      </c>
      <c r="B45" s="306" t="n">
        <v>0.000545</v>
      </c>
      <c r="C45" s="306" t="n">
        <v>-0.0007716</v>
      </c>
      <c r="D45" s="306" t="n">
        <v>0.0006506</v>
      </c>
      <c r="E45" s="306" t="n">
        <v>0.006875</v>
      </c>
      <c r="F45" s="306" t="n">
        <v>0.001019</v>
      </c>
      <c r="G45" s="305" t="n">
        <v>0.5</v>
      </c>
    </row>
    <row r="46" customFormat="false" ht="14.4" hidden="false" customHeight="false" outlineLevel="0" collapsed="false">
      <c r="A46" s="303" t="n">
        <v>200</v>
      </c>
      <c r="B46" s="306" t="n">
        <v>0.001001</v>
      </c>
      <c r="C46" s="306" t="n">
        <v>-0.00145</v>
      </c>
      <c r="D46" s="306" t="n">
        <v>0.0009127</v>
      </c>
      <c r="E46" s="306" t="n">
        <v>0.006057</v>
      </c>
      <c r="F46" s="306" t="n">
        <v>0.001428</v>
      </c>
      <c r="G46" s="305" t="n">
        <v>0.5</v>
      </c>
    </row>
    <row r="47" customFormat="false" ht="14.4" hidden="false" customHeight="false" outlineLevel="0" collapsed="false">
      <c r="A47" s="303" t="n">
        <v>300</v>
      </c>
      <c r="B47" s="306" t="n">
        <v>0.00094</v>
      </c>
      <c r="C47" s="306" t="n">
        <v>-0.001543</v>
      </c>
      <c r="D47" s="306" t="n">
        <v>0.00199</v>
      </c>
      <c r="E47" s="306" t="n">
        <v>0.024</v>
      </c>
      <c r="F47" s="306" t="n">
        <v>0.003073</v>
      </c>
      <c r="G47" s="305" t="n">
        <v>0.5</v>
      </c>
    </row>
    <row r="48" customFormat="false" ht="14.4" hidden="false" customHeight="false" outlineLevel="0" collapsed="false">
      <c r="A48" s="303" t="n">
        <v>550</v>
      </c>
      <c r="B48" s="306" t="n">
        <v>0.00073</v>
      </c>
      <c r="C48" s="306" t="n">
        <v>-0.001509</v>
      </c>
      <c r="D48" s="306" t="n">
        <v>0.006482</v>
      </c>
      <c r="E48" s="306" t="n">
        <v>0.06371</v>
      </c>
      <c r="F48" s="306" t="n">
        <v>0.009933</v>
      </c>
      <c r="G48" s="305" t="n">
        <v>0.5</v>
      </c>
    </row>
    <row r="49" customFormat="false" ht="14.4" hidden="false" customHeight="false" outlineLevel="0" collapsed="false">
      <c r="A49" s="304" t="s">
        <v>1084</v>
      </c>
      <c r="B49" s="304" t="s">
        <v>1203</v>
      </c>
      <c r="C49" s="304" t="s">
        <v>1204</v>
      </c>
      <c r="D49" s="304" t="s">
        <v>1205</v>
      </c>
    </row>
    <row r="50" customFormat="false" ht="14.4" hidden="false" customHeight="false" outlineLevel="0" collapsed="false">
      <c r="A50" s="303" t="n">
        <v>14</v>
      </c>
      <c r="B50" s="303" t="n">
        <v>115.9</v>
      </c>
      <c r="C50" s="303" t="n">
        <v>2.5</v>
      </c>
      <c r="D50" s="303" t="n">
        <v>1.87</v>
      </c>
    </row>
    <row r="51" customFormat="false" ht="14.4" hidden="false" customHeight="false" outlineLevel="0" collapsed="false">
      <c r="A51" s="303" t="n">
        <v>26</v>
      </c>
      <c r="B51" s="303" t="n">
        <v>70.83</v>
      </c>
      <c r="C51" s="303" t="n">
        <v>2.34</v>
      </c>
      <c r="D51" s="303" t="n">
        <v>1.65</v>
      </c>
    </row>
    <row r="52" customFormat="false" ht="14.4" hidden="false" customHeight="false" outlineLevel="0" collapsed="false">
      <c r="A52" s="303" t="n">
        <v>60</v>
      </c>
      <c r="B52" s="303" t="n">
        <v>357.1</v>
      </c>
      <c r="C52" s="303" t="n">
        <v>2.05</v>
      </c>
      <c r="D52" s="303" t="n">
        <v>1.12</v>
      </c>
    </row>
    <row r="53" customFormat="false" ht="14.4" hidden="false" customHeight="false" outlineLevel="0" collapsed="false">
      <c r="A53" s="303" t="n">
        <v>125</v>
      </c>
      <c r="B53" s="303" t="n">
        <v>53.05</v>
      </c>
      <c r="C53" s="303" t="n">
        <v>2.06</v>
      </c>
      <c r="D53" s="303" t="n">
        <v>1.56</v>
      </c>
    </row>
    <row r="54" customFormat="false" ht="14.4" hidden="false" customHeight="false" outlineLevel="0" collapsed="false">
      <c r="A54" s="303" t="n">
        <v>147</v>
      </c>
      <c r="B54" s="303" t="n">
        <v>52.16</v>
      </c>
      <c r="C54" s="303" t="n">
        <v>2</v>
      </c>
      <c r="D54" s="303" t="n">
        <v>1.57</v>
      </c>
    </row>
    <row r="55" customFormat="false" ht="14.4" hidden="false" customHeight="false" outlineLevel="0" collapsed="false">
      <c r="A55" s="303" t="n">
        <v>160</v>
      </c>
      <c r="B55" s="303" t="n">
        <v>52.16</v>
      </c>
      <c r="C55" s="303" t="n">
        <v>2</v>
      </c>
      <c r="D55" s="303" t="n">
        <v>1.57</v>
      </c>
    </row>
    <row r="56" customFormat="false" ht="14.4" hidden="false" customHeight="false" outlineLevel="0" collapsed="false">
      <c r="A56" s="303" t="n">
        <v>173</v>
      </c>
      <c r="B56" s="303" t="n">
        <v>52.16</v>
      </c>
      <c r="C56" s="303" t="n">
        <v>2</v>
      </c>
      <c r="D56" s="303" t="n">
        <v>1.57</v>
      </c>
    </row>
    <row r="57" customFormat="false" ht="14.4" hidden="false" customHeight="false" outlineLevel="0" collapsed="false">
      <c r="A57" s="303" t="n">
        <v>200</v>
      </c>
      <c r="B57" s="303" t="n">
        <v>37.97</v>
      </c>
      <c r="C57" s="303" t="n">
        <v>2.09</v>
      </c>
      <c r="D57" s="303" t="n">
        <v>1.68</v>
      </c>
    </row>
    <row r="58" customFormat="false" ht="14.4" hidden="false" customHeight="false" outlineLevel="0" collapsed="false">
      <c r="A58" s="303" t="n">
        <v>300</v>
      </c>
      <c r="B58" s="303" t="n">
        <v>37.97</v>
      </c>
      <c r="C58" s="303" t="n">
        <v>2.09</v>
      </c>
      <c r="D58" s="303" t="n">
        <v>1.68</v>
      </c>
    </row>
    <row r="59" customFormat="false" ht="14.4" hidden="false" customHeight="false" outlineLevel="0" collapsed="false">
      <c r="A59" s="303" t="n">
        <v>550</v>
      </c>
      <c r="B59" s="303" t="n">
        <v>181</v>
      </c>
      <c r="C59" s="303" t="n">
        <v>2.13</v>
      </c>
      <c r="D59" s="303" t="n">
        <v>1.47</v>
      </c>
    </row>
    <row r="60" customFormat="false" ht="14.4" hidden="false" customHeight="false" outlineLevel="0" collapsed="false">
      <c r="A60" s="302" t="s">
        <v>72</v>
      </c>
    </row>
    <row r="61" customFormat="false" ht="14.4" hidden="false" customHeight="false" outlineLevel="0" collapsed="false">
      <c r="A61" s="304" t="s">
        <v>1202</v>
      </c>
      <c r="B61" s="304" t="s">
        <v>1203</v>
      </c>
      <c r="C61" s="304" t="s">
        <v>1204</v>
      </c>
      <c r="D61" s="304" t="s">
        <v>1205</v>
      </c>
      <c r="E61" s="304" t="s">
        <v>1207</v>
      </c>
      <c r="F61" s="304" t="s">
        <v>1208</v>
      </c>
    </row>
    <row r="62" customFormat="false" ht="14.4" hidden="false" customHeight="false" outlineLevel="0" collapsed="false">
      <c r="A62" s="303" t="n">
        <v>14</v>
      </c>
      <c r="B62" s="305" t="n">
        <v>1</v>
      </c>
      <c r="C62" s="306" t="n">
        <v>-0.0003954</v>
      </c>
      <c r="D62" s="306" t="n">
        <v>4.27E-007</v>
      </c>
      <c r="E62" s="306" t="n">
        <v>-6.515E-009</v>
      </c>
      <c r="F62" s="306" t="n">
        <v>6.938E-012</v>
      </c>
    </row>
    <row r="63" customFormat="false" ht="14.4" hidden="false" customHeight="false" outlineLevel="0" collapsed="false">
      <c r="A63" s="303" t="n">
        <v>26</v>
      </c>
      <c r="B63" s="305" t="n">
        <v>1</v>
      </c>
      <c r="C63" s="306" t="n">
        <v>-8.078E-005</v>
      </c>
      <c r="D63" s="306" t="n">
        <v>-1.111E-005</v>
      </c>
      <c r="E63" s="306" t="n">
        <v>2.344E-008</v>
      </c>
      <c r="F63" s="306" t="n">
        <v>-1.392E-011</v>
      </c>
    </row>
    <row r="64" customFormat="false" ht="14.4" hidden="false" customHeight="false" outlineLevel="0" collapsed="false">
      <c r="A64" s="303" t="n">
        <v>60</v>
      </c>
      <c r="B64" s="305" t="n">
        <v>1</v>
      </c>
      <c r="C64" s="306" t="n">
        <v>0.0009701</v>
      </c>
      <c r="D64" s="306" t="n">
        <v>-7.57E-005</v>
      </c>
      <c r="E64" s="306" t="n">
        <v>3.849E-007</v>
      </c>
      <c r="F64" s="306" t="n">
        <v>-5.977E-010</v>
      </c>
    </row>
    <row r="65" customFormat="false" ht="14.4" hidden="false" customHeight="false" outlineLevel="0" collapsed="false">
      <c r="A65" s="303" t="n">
        <v>125</v>
      </c>
      <c r="B65" s="305" t="n">
        <v>1</v>
      </c>
      <c r="C65" s="306" t="n">
        <v>0.0001236</v>
      </c>
      <c r="D65" s="306" t="n">
        <v>-0.0002238</v>
      </c>
      <c r="E65" s="306" t="n">
        <v>2.065E-006</v>
      </c>
      <c r="F65" s="306" t="n">
        <v>-5.613E-009</v>
      </c>
    </row>
    <row r="66" customFormat="false" ht="14.4" hidden="false" customHeight="false" outlineLevel="0" collapsed="false">
      <c r="A66" s="303" t="n">
        <v>147</v>
      </c>
      <c r="B66" s="305" t="n">
        <v>1</v>
      </c>
      <c r="C66" s="306" t="n">
        <v>0.0003976</v>
      </c>
      <c r="D66" s="306" t="n">
        <v>-0.000358</v>
      </c>
      <c r="E66" s="306" t="n">
        <v>4.116E-006</v>
      </c>
      <c r="F66" s="306" t="n">
        <v>-1.382E-008</v>
      </c>
    </row>
    <row r="67" customFormat="false" ht="14.4" hidden="false" customHeight="false" outlineLevel="0" collapsed="false">
      <c r="A67" s="303" t="n">
        <v>160</v>
      </c>
      <c r="B67" s="305" t="n">
        <v>1</v>
      </c>
      <c r="C67" s="306" t="n">
        <v>0.003016</v>
      </c>
      <c r="D67" s="306" t="n">
        <v>-0.0005897</v>
      </c>
      <c r="E67" s="306" t="n">
        <v>8.228E-006</v>
      </c>
      <c r="F67" s="306" t="n">
        <v>-3.502E-008</v>
      </c>
    </row>
    <row r="68" customFormat="false" ht="14.4" hidden="false" customHeight="false" outlineLevel="0" collapsed="false">
      <c r="A68" s="304" t="s">
        <v>1206</v>
      </c>
      <c r="B68" s="304" t="s">
        <v>1203</v>
      </c>
      <c r="C68" s="304" t="s">
        <v>1204</v>
      </c>
      <c r="D68" s="304" t="s">
        <v>1205</v>
      </c>
      <c r="E68" s="304" t="s">
        <v>1207</v>
      </c>
      <c r="F68" s="304" t="s">
        <v>1208</v>
      </c>
      <c r="G68" s="304" t="s">
        <v>1209</v>
      </c>
    </row>
    <row r="69" customFormat="false" ht="14.4" hidden="false" customHeight="false" outlineLevel="0" collapsed="false">
      <c r="A69" s="303" t="n">
        <v>14</v>
      </c>
      <c r="B69" s="306" t="n">
        <v>-0.05945</v>
      </c>
      <c r="C69" s="306" t="n">
        <v>0.008703</v>
      </c>
      <c r="D69" s="306" t="n">
        <v>0.0003623</v>
      </c>
      <c r="E69" s="306" t="n">
        <v>0.0529</v>
      </c>
      <c r="F69" s="306" t="n">
        <v>0.0003474</v>
      </c>
      <c r="G69" s="305" t="n">
        <v>2</v>
      </c>
    </row>
    <row r="70" customFormat="false" ht="14.4" hidden="false" customHeight="false" outlineLevel="0" collapsed="false">
      <c r="A70" s="303" t="n">
        <v>26</v>
      </c>
      <c r="B70" s="306" t="n">
        <v>-0.04067</v>
      </c>
      <c r="C70" s="306" t="n">
        <v>0.01637</v>
      </c>
      <c r="D70" s="306" t="n">
        <v>0.0003742</v>
      </c>
      <c r="E70" s="306" t="n">
        <v>0.05316</v>
      </c>
      <c r="F70" s="306" t="n">
        <v>0.0003413</v>
      </c>
      <c r="G70" s="305" t="n">
        <v>2</v>
      </c>
    </row>
    <row r="71" customFormat="false" ht="14.4" hidden="false" customHeight="false" outlineLevel="0" collapsed="false">
      <c r="A71" s="303" t="n">
        <v>60</v>
      </c>
      <c r="B71" s="306" t="n">
        <v>-0.1695</v>
      </c>
      <c r="C71" s="306" t="n">
        <v>0.1215</v>
      </c>
      <c r="D71" s="306" t="n">
        <v>0.01213</v>
      </c>
      <c r="E71" s="306" t="n">
        <v>0.6938</v>
      </c>
      <c r="F71" s="306" t="n">
        <v>0.01016</v>
      </c>
      <c r="G71" s="305" t="n">
        <v>2</v>
      </c>
      <c r="L71" s="327"/>
      <c r="M71" s="305"/>
      <c r="N71" s="306"/>
      <c r="O71" s="306"/>
      <c r="P71" s="306"/>
      <c r="Q71" s="306"/>
      <c r="R71" s="306"/>
      <c r="S71" s="305"/>
    </row>
    <row r="72" customFormat="false" ht="14.4" hidden="false" customHeight="false" outlineLevel="0" collapsed="false">
      <c r="A72" s="303" t="n">
        <v>125</v>
      </c>
      <c r="B72" s="306" t="n">
        <v>0.000532</v>
      </c>
      <c r="C72" s="306" t="n">
        <v>-0.0006811</v>
      </c>
      <c r="D72" s="306" t="n">
        <v>0.0003506</v>
      </c>
      <c r="E72" s="306" t="n">
        <v>0.01052</v>
      </c>
      <c r="F72" s="306" t="n">
        <v>0.0001694</v>
      </c>
      <c r="G72" s="305" t="n">
        <v>0.5</v>
      </c>
      <c r="L72" s="327"/>
      <c r="M72" s="305"/>
      <c r="N72" s="306"/>
      <c r="O72" s="306"/>
      <c r="P72" s="306"/>
      <c r="Q72" s="306"/>
      <c r="R72" s="306"/>
      <c r="S72" s="305"/>
    </row>
    <row r="73" customFormat="false" ht="14.4" hidden="false" customHeight="false" outlineLevel="0" collapsed="false">
      <c r="A73" s="303" t="n">
        <v>147</v>
      </c>
      <c r="B73" s="306" t="n">
        <v>0.000267</v>
      </c>
      <c r="C73" s="306" t="n">
        <v>-0.0007829</v>
      </c>
      <c r="D73" s="306" t="n">
        <v>0.000529</v>
      </c>
      <c r="E73" s="306" t="n">
        <v>0.002215</v>
      </c>
      <c r="F73" s="306" t="n">
        <v>0.0002606</v>
      </c>
      <c r="G73" s="305" t="n">
        <v>0.5</v>
      </c>
      <c r="L73" s="327"/>
      <c r="M73" s="305"/>
      <c r="N73" s="306"/>
      <c r="O73" s="306"/>
      <c r="P73" s="306"/>
      <c r="Q73" s="306"/>
      <c r="R73" s="306"/>
      <c r="S73" s="305"/>
    </row>
    <row r="74" customFormat="false" ht="14.4" hidden="false" customHeight="false" outlineLevel="0" collapsed="false">
      <c r="A74" s="303" t="n">
        <v>160</v>
      </c>
      <c r="B74" s="306" t="n">
        <v>0.000267</v>
      </c>
      <c r="C74" s="306" t="n">
        <v>-0.0007829</v>
      </c>
      <c r="D74" s="306" t="n">
        <v>0.000529</v>
      </c>
      <c r="E74" s="306" t="n">
        <v>0.002215</v>
      </c>
      <c r="F74" s="306" t="n">
        <v>0.0002606</v>
      </c>
      <c r="G74" s="305" t="n">
        <v>0.5</v>
      </c>
      <c r="L74" s="327"/>
      <c r="M74" s="305"/>
      <c r="N74" s="306"/>
      <c r="O74" s="306"/>
      <c r="P74" s="306"/>
      <c r="Q74" s="306"/>
      <c r="R74" s="306"/>
      <c r="S74" s="305"/>
    </row>
    <row r="75" customFormat="false" ht="14.4" hidden="false" customHeight="false" outlineLevel="0" collapsed="false">
      <c r="A75" s="304" t="s">
        <v>1084</v>
      </c>
      <c r="B75" s="304" t="s">
        <v>1203</v>
      </c>
      <c r="C75" s="304" t="s">
        <v>1204</v>
      </c>
      <c r="D75" s="304" t="s">
        <v>1205</v>
      </c>
      <c r="L75" s="327"/>
      <c r="M75" s="305"/>
      <c r="N75" s="306"/>
      <c r="O75" s="306"/>
      <c r="P75" s="306"/>
      <c r="Q75" s="306"/>
      <c r="R75" s="306"/>
      <c r="S75" s="305"/>
    </row>
    <row r="76" customFormat="false" ht="14.4" hidden="false" customHeight="false" outlineLevel="0" collapsed="false">
      <c r="A76" s="303" t="n">
        <v>14</v>
      </c>
      <c r="B76" s="303" t="n">
        <v>388.8</v>
      </c>
      <c r="C76" s="303" t="n">
        <v>2.31</v>
      </c>
      <c r="D76" s="303" t="n">
        <v>1.54</v>
      </c>
      <c r="L76" s="327"/>
      <c r="M76" s="305"/>
      <c r="N76" s="306"/>
      <c r="O76" s="306"/>
      <c r="P76" s="306"/>
      <c r="Q76" s="306"/>
      <c r="R76" s="306"/>
      <c r="S76" s="305"/>
    </row>
    <row r="77" customFormat="false" ht="14.4" hidden="false" customHeight="false" outlineLevel="0" collapsed="false">
      <c r="A77" s="303" t="n">
        <v>26</v>
      </c>
      <c r="B77" s="303" t="n">
        <v>374.9</v>
      </c>
      <c r="C77" s="303" t="n">
        <v>2.21</v>
      </c>
      <c r="D77" s="303" t="n">
        <v>1.49</v>
      </c>
      <c r="L77" s="327"/>
      <c r="M77" s="305"/>
      <c r="N77" s="306"/>
      <c r="O77" s="306"/>
      <c r="P77" s="306"/>
      <c r="Q77" s="306"/>
      <c r="R77" s="306"/>
      <c r="S77" s="305"/>
    </row>
    <row r="78" customFormat="false" ht="14.4" hidden="false" customHeight="false" outlineLevel="0" collapsed="false">
      <c r="A78" s="303" t="n">
        <v>60</v>
      </c>
      <c r="B78" s="303" t="n">
        <v>492</v>
      </c>
      <c r="C78" s="303" t="n">
        <v>2.22</v>
      </c>
      <c r="D78" s="303" t="n">
        <v>1.32</v>
      </c>
      <c r="L78" s="327"/>
      <c r="M78" s="305"/>
      <c r="N78" s="306"/>
      <c r="O78" s="306"/>
      <c r="P78" s="306"/>
      <c r="Q78" s="306"/>
      <c r="R78" s="306"/>
      <c r="S78" s="305"/>
    </row>
    <row r="79" customFormat="false" ht="14.4" hidden="false" customHeight="false" outlineLevel="0" collapsed="false">
      <c r="A79" s="303" t="n">
        <v>125</v>
      </c>
      <c r="B79" s="303" t="n">
        <v>246</v>
      </c>
      <c r="C79" s="303" t="n">
        <v>2.23</v>
      </c>
      <c r="D79" s="303" t="n">
        <v>1.47</v>
      </c>
      <c r="L79" s="327"/>
      <c r="M79" s="305"/>
      <c r="N79" s="306"/>
      <c r="O79" s="306"/>
      <c r="P79" s="306"/>
      <c r="Q79" s="306"/>
      <c r="R79" s="306"/>
      <c r="S79" s="305"/>
    </row>
    <row r="80" customFormat="false" ht="14.4" hidden="false" customHeight="false" outlineLevel="0" collapsed="false">
      <c r="A80" s="303" t="n">
        <v>147</v>
      </c>
      <c r="B80" s="303" t="n">
        <v>447.6</v>
      </c>
      <c r="C80" s="303" t="n">
        <v>2.3</v>
      </c>
      <c r="D80" s="303" t="n">
        <v>1.41</v>
      </c>
      <c r="L80" s="327"/>
      <c r="M80" s="305"/>
      <c r="N80" s="306"/>
      <c r="O80" s="306"/>
      <c r="P80" s="306"/>
      <c r="Q80" s="306"/>
      <c r="R80" s="306"/>
      <c r="S80" s="305"/>
    </row>
    <row r="81" customFormat="false" ht="14.4" hidden="false" customHeight="false" outlineLevel="0" collapsed="false">
      <c r="A81" s="303" t="n">
        <v>160</v>
      </c>
      <c r="B81" s="303" t="n">
        <v>447.6</v>
      </c>
      <c r="C81" s="303" t="n">
        <v>2.3</v>
      </c>
      <c r="D81" s="303" t="n">
        <v>1.41</v>
      </c>
      <c r="L81" s="327"/>
      <c r="M81" s="305"/>
      <c r="N81" s="306"/>
      <c r="O81" s="306"/>
      <c r="P81" s="306"/>
      <c r="Q81" s="306"/>
      <c r="R81" s="306"/>
      <c r="S81" s="305"/>
    </row>
    <row r="82" customFormat="false" ht="14.4" hidden="false" customHeight="false" outlineLevel="0" collapsed="false">
      <c r="A82" s="302" t="s">
        <v>211</v>
      </c>
      <c r="L82" s="327"/>
      <c r="M82" s="305"/>
      <c r="N82" s="306"/>
      <c r="O82" s="306"/>
      <c r="P82" s="306"/>
      <c r="Q82" s="306"/>
      <c r="R82" s="306"/>
      <c r="S82" s="305"/>
    </row>
    <row r="83" customFormat="false" ht="14.4" hidden="false" customHeight="false" outlineLevel="0" collapsed="false">
      <c r="A83" s="304" t="s">
        <v>1202</v>
      </c>
      <c r="B83" s="304" t="s">
        <v>1203</v>
      </c>
      <c r="C83" s="304" t="s">
        <v>1204</v>
      </c>
      <c r="D83" s="304" t="s">
        <v>1205</v>
      </c>
      <c r="E83" s="304" t="s">
        <v>1207</v>
      </c>
      <c r="F83" s="304" t="s">
        <v>1208</v>
      </c>
      <c r="L83" s="327"/>
      <c r="M83" s="305"/>
      <c r="N83" s="306"/>
      <c r="O83" s="306"/>
      <c r="P83" s="306"/>
      <c r="Q83" s="306"/>
      <c r="R83" s="306"/>
      <c r="S83" s="305"/>
    </row>
    <row r="84" customFormat="false" ht="14.4" hidden="false" customHeight="false" outlineLevel="0" collapsed="false">
      <c r="A84" s="303" t="n">
        <v>26</v>
      </c>
      <c r="B84" s="31" t="n">
        <v>1</v>
      </c>
      <c r="C84" s="31" t="n">
        <v>0.00075</v>
      </c>
      <c r="D84" s="31" t="n">
        <v>-2.53E-005</v>
      </c>
      <c r="E84" s="31" t="n">
        <v>8.42E-008</v>
      </c>
      <c r="F84" s="31" t="n">
        <v>-9.1E-011</v>
      </c>
      <c r="L84" s="327"/>
      <c r="M84" s="305"/>
      <c r="N84" s="306"/>
      <c r="O84" s="306"/>
      <c r="P84" s="306"/>
      <c r="Q84" s="306"/>
      <c r="R84" s="306"/>
      <c r="S84" s="305"/>
    </row>
    <row r="85" customFormat="false" ht="14.4" hidden="false" customHeight="false" outlineLevel="0" collapsed="false">
      <c r="A85" s="303" t="n">
        <v>60</v>
      </c>
      <c r="B85" s="305" t="n">
        <v>1</v>
      </c>
      <c r="C85" s="306" t="n">
        <v>-0.0012</v>
      </c>
      <c r="D85" s="306" t="n">
        <v>-3E-005</v>
      </c>
      <c r="E85" s="306" t="n">
        <v>1E-007</v>
      </c>
      <c r="F85" s="306" t="n">
        <v>-1E-010</v>
      </c>
      <c r="L85" s="327"/>
      <c r="M85" s="305"/>
      <c r="N85" s="306"/>
      <c r="O85" s="306"/>
      <c r="P85" s="306"/>
      <c r="Q85" s="306"/>
      <c r="R85" s="306"/>
      <c r="S85" s="305"/>
    </row>
    <row r="86" customFormat="false" ht="14.4" hidden="false" customHeight="false" outlineLevel="0" collapsed="false">
      <c r="A86" s="304" t="s">
        <v>1206</v>
      </c>
      <c r="B86" s="304" t="s">
        <v>1203</v>
      </c>
      <c r="C86" s="304" t="s">
        <v>1204</v>
      </c>
      <c r="D86" s="304" t="s">
        <v>1205</v>
      </c>
      <c r="E86" s="304" t="s">
        <v>1207</v>
      </c>
      <c r="F86" s="304" t="s">
        <v>1208</v>
      </c>
      <c r="G86" s="304" t="s">
        <v>1209</v>
      </c>
      <c r="L86" s="327"/>
      <c r="M86" s="305"/>
      <c r="N86" s="306"/>
      <c r="O86" s="306"/>
      <c r="P86" s="306"/>
      <c r="Q86" s="306"/>
      <c r="R86" s="306"/>
      <c r="S86" s="305"/>
    </row>
    <row r="87" customFormat="false" ht="14.4" hidden="false" customHeight="false" outlineLevel="0" collapsed="false">
      <c r="A87" s="303" t="n">
        <v>26</v>
      </c>
      <c r="L87" s="327"/>
      <c r="M87" s="305"/>
      <c r="N87" s="306"/>
      <c r="O87" s="306"/>
      <c r="P87" s="306"/>
      <c r="Q87" s="306"/>
      <c r="R87" s="306"/>
      <c r="S87" s="305"/>
    </row>
    <row r="88" customFormat="false" ht="14.4" hidden="false" customHeight="false" outlineLevel="0" collapsed="false">
      <c r="A88" s="303" t="n">
        <v>60</v>
      </c>
      <c r="B88" s="306" t="n">
        <v>-0.1695</v>
      </c>
      <c r="C88" s="307" t="n">
        <v>0.1315</v>
      </c>
      <c r="D88" s="307" t="n">
        <v>0.0122</v>
      </c>
      <c r="E88" s="307" t="n">
        <v>0.7434</v>
      </c>
      <c r="F88" s="307" t="n">
        <v>0.008891</v>
      </c>
      <c r="G88" s="305" t="n">
        <v>2</v>
      </c>
      <c r="L88" s="327"/>
      <c r="M88" s="305"/>
      <c r="N88" s="306"/>
      <c r="O88" s="306"/>
      <c r="P88" s="306"/>
      <c r="Q88" s="306"/>
      <c r="R88" s="306"/>
      <c r="S88" s="305"/>
    </row>
    <row r="89" customFormat="false" ht="14.4" hidden="false" customHeight="false" outlineLevel="0" collapsed="false">
      <c r="A89" s="304" t="s">
        <v>1084</v>
      </c>
      <c r="B89" s="304" t="s">
        <v>1203</v>
      </c>
      <c r="C89" s="304" t="s">
        <v>1204</v>
      </c>
      <c r="D89" s="304" t="s">
        <v>1205</v>
      </c>
      <c r="L89" s="327"/>
      <c r="M89" s="305"/>
      <c r="N89" s="306"/>
      <c r="O89" s="306"/>
      <c r="P89" s="306"/>
      <c r="Q89" s="306"/>
      <c r="R89" s="306"/>
      <c r="S89" s="305"/>
    </row>
    <row r="90" customFormat="false" ht="14.4" hidden="false" customHeight="false" outlineLevel="0" collapsed="false">
      <c r="A90" s="303" t="n">
        <v>26</v>
      </c>
      <c r="B90" s="303" t="n">
        <v>665</v>
      </c>
      <c r="C90" s="303" t="n">
        <v>2.05</v>
      </c>
      <c r="D90" s="303" t="n">
        <v>1.2</v>
      </c>
      <c r="L90" s="327"/>
      <c r="M90" s="305"/>
      <c r="N90" s="306"/>
      <c r="O90" s="306"/>
      <c r="P90" s="306"/>
      <c r="Q90" s="306"/>
      <c r="R90" s="306"/>
      <c r="S90" s="305"/>
    </row>
    <row r="91" customFormat="false" ht="14.4" hidden="false" customHeight="false" outlineLevel="0" collapsed="false">
      <c r="A91" s="303" t="n">
        <v>60</v>
      </c>
      <c r="B91" s="303" t="n">
        <v>665</v>
      </c>
      <c r="C91" s="303" t="n">
        <v>2.05</v>
      </c>
      <c r="D91" s="303" t="n">
        <v>1.2</v>
      </c>
      <c r="L91" s="327"/>
      <c r="M91" s="305"/>
      <c r="N91" s="306"/>
      <c r="O91" s="306"/>
      <c r="P91" s="306"/>
      <c r="Q91" s="306"/>
      <c r="R91" s="306"/>
      <c r="S91" s="30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>
    <row r="2" customFormat="false" ht="78" hidden="false" customHeight="tru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/>
      <c r="F2" s="3" t="s">
        <v>4</v>
      </c>
      <c r="G2" s="3"/>
      <c r="H2" s="3"/>
      <c r="I2" s="3"/>
      <c r="J2" s="3"/>
      <c r="K2" s="4" t="s">
        <v>5</v>
      </c>
      <c r="L2" s="4" t="s">
        <v>5</v>
      </c>
      <c r="M2" s="5" t="s">
        <v>6</v>
      </c>
      <c r="N2" s="5" t="s">
        <v>7</v>
      </c>
      <c r="O2" s="4" t="s">
        <v>8</v>
      </c>
      <c r="P2" s="4" t="s">
        <v>8</v>
      </c>
    </row>
    <row r="3" customFormat="false" ht="15.6" hidden="false" customHeight="false" outlineLevel="0" collapsed="false">
      <c r="A3" s="6"/>
      <c r="B3" s="7"/>
      <c r="C3" s="6"/>
      <c r="D3" s="6"/>
      <c r="E3" s="6"/>
      <c r="F3" s="8" t="n">
        <v>200</v>
      </c>
      <c r="G3" s="8" t="n">
        <v>400</v>
      </c>
      <c r="H3" s="8" t="n">
        <v>500</v>
      </c>
      <c r="I3" s="8" t="n">
        <v>600</v>
      </c>
      <c r="J3" s="9" t="n">
        <v>800</v>
      </c>
      <c r="K3" s="10" t="s">
        <v>9</v>
      </c>
      <c r="L3" s="10" t="s">
        <v>10</v>
      </c>
      <c r="O3" s="10" t="s">
        <v>9</v>
      </c>
      <c r="P3" s="10" t="s">
        <v>10</v>
      </c>
    </row>
    <row r="4" customFormat="false" ht="15.6" hidden="false" customHeight="false" outlineLevel="0" collapsed="false">
      <c r="A4" s="6" t="n">
        <v>6</v>
      </c>
      <c r="B4" s="11" t="n">
        <v>26240</v>
      </c>
      <c r="C4" s="12" t="n">
        <v>0.421</v>
      </c>
      <c r="D4" s="12" t="n">
        <v>139.2</v>
      </c>
      <c r="E4" s="13" t="n">
        <f aca="false">D4*0.001</f>
        <v>0.1392</v>
      </c>
      <c r="F4" s="14" t="n">
        <v>26.5960621628695</v>
      </c>
      <c r="G4" s="14" t="n">
        <v>53.1921243257389</v>
      </c>
      <c r="H4" s="14" t="n">
        <v>66.4901554071736</v>
      </c>
      <c r="I4" s="14" t="n">
        <v>79.7881864886084</v>
      </c>
      <c r="J4" s="15" t="n">
        <v>106.384248651478</v>
      </c>
      <c r="K4" s="16" t="n">
        <v>12.5</v>
      </c>
      <c r="L4" s="16" t="n">
        <v>10.06</v>
      </c>
      <c r="M4" s="17" t="n">
        <v>0.162</v>
      </c>
      <c r="N4" s="18" t="n">
        <f aca="false">M4*25.4*0.5</f>
        <v>2.0574</v>
      </c>
      <c r="O4" s="16"/>
      <c r="P4" s="16"/>
    </row>
    <row r="5" customFormat="false" ht="15.6" hidden="false" customHeight="false" outlineLevel="0" collapsed="false">
      <c r="A5" s="6" t="n">
        <v>7</v>
      </c>
      <c r="B5" s="11" t="n">
        <v>20820</v>
      </c>
      <c r="C5" s="12" t="n">
        <v>0.376</v>
      </c>
      <c r="D5" s="12" t="n">
        <v>111</v>
      </c>
      <c r="E5" s="19" t="n">
        <f aca="false">D5*0.001</f>
        <v>0.111</v>
      </c>
      <c r="F5" s="14" t="n">
        <v>21.1018228328657</v>
      </c>
      <c r="G5" s="14" t="n">
        <v>42.2036456657314</v>
      </c>
      <c r="H5" s="14" t="n">
        <v>52.7545570821643</v>
      </c>
      <c r="I5" s="14" t="n">
        <v>63.3054684985971</v>
      </c>
      <c r="J5" s="15" t="n">
        <v>84.4072913314629</v>
      </c>
      <c r="K5" s="16" t="n">
        <v>15.75</v>
      </c>
      <c r="L5" s="16" t="n">
        <v>10.15</v>
      </c>
      <c r="M5" s="17" t="n">
        <v>0.1443</v>
      </c>
      <c r="N5" s="18" t="n">
        <f aca="false">M5*25.4*0.5</f>
        <v>1.83261</v>
      </c>
      <c r="O5" s="16"/>
      <c r="P5" s="16"/>
    </row>
    <row r="6" customFormat="false" ht="15.6" hidden="false" customHeight="false" outlineLevel="0" collapsed="false">
      <c r="A6" s="20" t="n">
        <v>8</v>
      </c>
      <c r="B6" s="11" t="n">
        <v>16510</v>
      </c>
      <c r="C6" s="21" t="n">
        <v>0.336</v>
      </c>
      <c r="D6" s="21" t="n">
        <v>88.7</v>
      </c>
      <c r="E6" s="19" t="n">
        <f aca="false">D6*0.001</f>
        <v>0.0887</v>
      </c>
      <c r="F6" s="14" t="n">
        <v>16.7337611434553</v>
      </c>
      <c r="G6" s="14" t="n">
        <v>33.4675222869106</v>
      </c>
      <c r="H6" s="14" t="n">
        <v>41.8344028586383</v>
      </c>
      <c r="I6" s="14" t="n">
        <v>50.2012834303659</v>
      </c>
      <c r="J6" s="15" t="n">
        <v>66.9350445738213</v>
      </c>
      <c r="K6" s="16" t="n">
        <v>19.85</v>
      </c>
      <c r="L6" s="16" t="n">
        <v>10.27</v>
      </c>
      <c r="M6" s="17" t="n">
        <v>0.1285</v>
      </c>
      <c r="N6" s="18" t="n">
        <f aca="false">M6*25.4*0.5</f>
        <v>1.63195</v>
      </c>
      <c r="O6" s="16" t="n">
        <v>65.8</v>
      </c>
      <c r="P6" s="16"/>
    </row>
    <row r="7" customFormat="false" ht="15.6" hidden="false" customHeight="false" outlineLevel="0" collapsed="false">
      <c r="A7" s="20" t="n">
        <v>9</v>
      </c>
      <c r="B7" s="11" t="n">
        <v>13090</v>
      </c>
      <c r="C7" s="21" t="n">
        <v>0.299</v>
      </c>
      <c r="D7" s="21" t="n">
        <v>70.2</v>
      </c>
      <c r="E7" s="19" t="n">
        <f aca="false">D7*0.001</f>
        <v>0.0702</v>
      </c>
      <c r="F7" s="14" t="n">
        <v>13.2629263872829</v>
      </c>
      <c r="G7" s="14" t="n">
        <v>26.5258527745657</v>
      </c>
      <c r="H7" s="14" t="n">
        <v>33.1573159682071</v>
      </c>
      <c r="I7" s="14" t="n">
        <v>39.7887791618486</v>
      </c>
      <c r="J7" s="15" t="n">
        <v>53.0517055491314</v>
      </c>
      <c r="K7" s="16" t="n">
        <v>25</v>
      </c>
      <c r="L7" s="16" t="n">
        <v>10.31</v>
      </c>
      <c r="M7" s="17" t="n">
        <v>0.1144</v>
      </c>
      <c r="N7" s="18" t="n">
        <f aca="false">M7*25.4*0.5</f>
        <v>1.45288</v>
      </c>
      <c r="O7" s="16" t="n">
        <v>83</v>
      </c>
      <c r="P7" s="16"/>
    </row>
    <row r="8" customFormat="false" ht="15.6" hidden="false" customHeight="false" outlineLevel="0" collapsed="false">
      <c r="A8" s="20" t="n">
        <v>10</v>
      </c>
      <c r="B8" s="11" t="n">
        <v>10380</v>
      </c>
      <c r="C8" s="21" t="n">
        <v>0.267</v>
      </c>
      <c r="D8" s="21" t="n">
        <v>56</v>
      </c>
      <c r="E8" s="19" t="n">
        <f aca="false">D8*0.001</f>
        <v>0.056</v>
      </c>
      <c r="F8" s="14" t="n">
        <v>10.5229056940631</v>
      </c>
      <c r="G8" s="14" t="n">
        <v>21.0458113881263</v>
      </c>
      <c r="H8" s="14" t="n">
        <v>26.3072642351578</v>
      </c>
      <c r="I8" s="14" t="n">
        <v>31.5687170821894</v>
      </c>
      <c r="J8" s="15" t="n">
        <v>42.0916227762525</v>
      </c>
      <c r="K8" s="16" t="n">
        <v>31.5</v>
      </c>
      <c r="L8" s="16" t="n">
        <v>7.57</v>
      </c>
      <c r="M8" s="17" t="n">
        <v>0.1019</v>
      </c>
      <c r="N8" s="18" t="n">
        <f aca="false">M8*25.4*0.5</f>
        <v>1.29413</v>
      </c>
      <c r="O8" s="16" t="n">
        <v>104</v>
      </c>
      <c r="P8" s="16"/>
    </row>
    <row r="9" customFormat="false" ht="15.6" hidden="false" customHeight="false" outlineLevel="0" collapsed="false">
      <c r="A9" s="20" t="n">
        <v>11</v>
      </c>
      <c r="B9" s="11" t="n">
        <v>8226</v>
      </c>
      <c r="C9" s="21" t="n">
        <v>0.238</v>
      </c>
      <c r="D9" s="21" t="n">
        <v>44.5</v>
      </c>
      <c r="E9" s="19" t="n">
        <f aca="false">D9*0.001</f>
        <v>0.0445</v>
      </c>
      <c r="F9" s="14" t="n">
        <v>8.33684801944155</v>
      </c>
      <c r="G9" s="14" t="n">
        <v>16.6736960388831</v>
      </c>
      <c r="H9" s="14" t="n">
        <v>20.8421200486039</v>
      </c>
      <c r="I9" s="14" t="n">
        <v>25.0105440583246</v>
      </c>
      <c r="J9" s="15" t="n">
        <v>33.3473920777662</v>
      </c>
      <c r="K9" s="16" t="n">
        <v>39</v>
      </c>
      <c r="L9" s="16" t="n">
        <v>7.58</v>
      </c>
      <c r="M9" s="17" t="n">
        <v>0.0907</v>
      </c>
      <c r="N9" s="18" t="n">
        <f aca="false">M9*25.4*0.5</f>
        <v>1.15189</v>
      </c>
      <c r="O9" s="16" t="n">
        <v>132</v>
      </c>
      <c r="P9" s="16"/>
    </row>
    <row r="10" customFormat="false" ht="15.6" hidden="false" customHeight="false" outlineLevel="0" collapsed="false">
      <c r="A10" s="20" t="n">
        <v>12</v>
      </c>
      <c r="B10" s="11" t="n">
        <v>6529</v>
      </c>
      <c r="C10" s="21" t="n">
        <v>0.213</v>
      </c>
      <c r="D10" s="21" t="n">
        <v>35.6</v>
      </c>
      <c r="E10" s="19" t="n">
        <f aca="false">D10*0.001</f>
        <v>0.0356</v>
      </c>
      <c r="F10" s="14" t="n">
        <v>6.61622143267018</v>
      </c>
      <c r="G10" s="14" t="n">
        <v>13.2324428653404</v>
      </c>
      <c r="H10" s="14" t="n">
        <v>16.5405535816754</v>
      </c>
      <c r="I10" s="14" t="n">
        <v>19.8486642980105</v>
      </c>
      <c r="J10" s="15" t="n">
        <v>26.4648857306807</v>
      </c>
      <c r="K10" s="16" t="n">
        <v>49.9</v>
      </c>
      <c r="L10" s="16" t="n">
        <v>7.59</v>
      </c>
      <c r="M10" s="17" t="n">
        <v>0.0808</v>
      </c>
      <c r="N10" s="18" t="n">
        <f aca="false">M10*25.4*0.5</f>
        <v>1.02616</v>
      </c>
      <c r="O10" s="16" t="n">
        <v>166</v>
      </c>
      <c r="P10" s="16"/>
    </row>
    <row r="11" customFormat="false" ht="15.6" hidden="false" customHeight="false" outlineLevel="0" collapsed="false">
      <c r="A11" s="20" t="n">
        <v>13</v>
      </c>
      <c r="B11" s="11" t="n">
        <v>5184</v>
      </c>
      <c r="C11" s="21" t="n">
        <v>0.1902</v>
      </c>
      <c r="D11" s="21" t="n">
        <v>28.4</v>
      </c>
      <c r="E11" s="19" t="n">
        <f aca="false">D11*0.001</f>
        <v>0.0284</v>
      </c>
      <c r="F11" s="14" t="n">
        <v>5.25354314328286</v>
      </c>
      <c r="G11" s="14" t="n">
        <v>10.5070862865657</v>
      </c>
      <c r="H11" s="14" t="n">
        <v>13.1338578582071</v>
      </c>
      <c r="I11" s="14" t="n">
        <v>15.7606294298486</v>
      </c>
      <c r="J11" s="15" t="n">
        <v>21.0141725731314</v>
      </c>
      <c r="K11" s="16" t="n">
        <v>62.9</v>
      </c>
      <c r="L11" s="16" t="n">
        <v>7.6</v>
      </c>
      <c r="M11" s="17" t="n">
        <v>0.072</v>
      </c>
      <c r="N11" s="18" t="n">
        <f aca="false">M11*25.4*0.5</f>
        <v>0.9144</v>
      </c>
      <c r="O11" s="16" t="n">
        <v>210</v>
      </c>
      <c r="P11" s="16"/>
    </row>
    <row r="12" customFormat="false" ht="15.6" hidden="false" customHeight="false" outlineLevel="0" collapsed="false">
      <c r="A12" s="20" t="n">
        <v>14</v>
      </c>
      <c r="B12" s="11" t="n">
        <v>4109</v>
      </c>
      <c r="C12" s="21" t="n">
        <v>0.1715</v>
      </c>
      <c r="D12" s="21" t="n">
        <v>23.1</v>
      </c>
      <c r="E12" s="19" t="n">
        <f aca="false">D12*0.001</f>
        <v>0.0231</v>
      </c>
      <c r="F12" s="14" t="n">
        <v>4.16392951438118</v>
      </c>
      <c r="G12" s="14" t="n">
        <v>8.32785902876236</v>
      </c>
      <c r="H12" s="14" t="n">
        <v>10.409823785953</v>
      </c>
      <c r="I12" s="14" t="n">
        <v>12.4917885431435</v>
      </c>
      <c r="J12" s="15" t="n">
        <v>16.6557180575247</v>
      </c>
      <c r="K12" s="16" t="n">
        <v>79.18</v>
      </c>
      <c r="L12" s="16" t="n">
        <v>7.94</v>
      </c>
      <c r="M12" s="17" t="n">
        <v>0.0641</v>
      </c>
      <c r="N12" s="18" t="n">
        <f aca="false">M12*25.4*0.5</f>
        <v>0.81407</v>
      </c>
      <c r="O12" s="16" t="n">
        <v>264</v>
      </c>
      <c r="P12" s="16"/>
    </row>
    <row r="13" customFormat="false" ht="15.6" hidden="false" customHeight="false" outlineLevel="0" collapsed="false">
      <c r="A13" s="20" t="n">
        <v>15</v>
      </c>
      <c r="B13" s="11" t="n">
        <v>3260</v>
      </c>
      <c r="C13" s="21" t="n">
        <v>0.1529</v>
      </c>
      <c r="D13" s="21" t="n">
        <v>18.4</v>
      </c>
      <c r="E13" s="13" t="n">
        <f aca="false">D13*0.001</f>
        <v>0.0184</v>
      </c>
      <c r="F13" s="14" t="n">
        <v>3.30414826384854</v>
      </c>
      <c r="G13" s="14" t="n">
        <v>6.60829652769709</v>
      </c>
      <c r="H13" s="14" t="n">
        <v>8.26037065962136</v>
      </c>
      <c r="I13" s="14" t="n">
        <v>9.91244479154564</v>
      </c>
      <c r="J13" s="15" t="n">
        <v>13.2165930553942</v>
      </c>
      <c r="K13" s="16" t="n">
        <v>99.7</v>
      </c>
      <c r="L13" s="16" t="n">
        <v>7.98</v>
      </c>
      <c r="M13" s="17" t="n">
        <v>0.0571</v>
      </c>
      <c r="N13" s="18" t="n">
        <f aca="false">M13*25.4*0.5</f>
        <v>0.72517</v>
      </c>
      <c r="O13" s="16" t="n">
        <v>333</v>
      </c>
      <c r="P13" s="16"/>
    </row>
    <row r="14" customFormat="false" ht="15.6" hidden="false" customHeight="false" outlineLevel="0" collapsed="false">
      <c r="A14" s="20" t="n">
        <v>16</v>
      </c>
      <c r="B14" s="11" t="n">
        <v>2581</v>
      </c>
      <c r="C14" s="21" t="n">
        <v>0.1369</v>
      </c>
      <c r="D14" s="21" t="n">
        <v>14.72</v>
      </c>
      <c r="E14" s="13" t="n">
        <f aca="false">D14*0.001</f>
        <v>0.01472</v>
      </c>
      <c r="F14" s="14" t="n">
        <v>2.61525917771633</v>
      </c>
      <c r="G14" s="14" t="n">
        <v>5.23051835543267</v>
      </c>
      <c r="H14" s="14" t="n">
        <v>6.53814794429083</v>
      </c>
      <c r="I14" s="14" t="n">
        <v>7.845777533149</v>
      </c>
      <c r="J14" s="15" t="n">
        <v>10.4610367108653</v>
      </c>
      <c r="K14" s="16" t="n">
        <v>125.6</v>
      </c>
      <c r="L14" s="16" t="n">
        <v>8.08</v>
      </c>
      <c r="M14" s="17" t="n">
        <v>0.0508</v>
      </c>
      <c r="N14" s="18" t="n">
        <f aca="false">M14*25.4*0.5</f>
        <v>0.64516</v>
      </c>
      <c r="O14" s="16" t="n">
        <v>421</v>
      </c>
      <c r="P14" s="16"/>
    </row>
    <row r="15" customFormat="false" ht="15.6" hidden="false" customHeight="false" outlineLevel="0" collapsed="false">
      <c r="A15" s="20" t="n">
        <v>17</v>
      </c>
      <c r="B15" s="11" t="n">
        <v>2052</v>
      </c>
      <c r="C15" s="21" t="n">
        <v>0.1224</v>
      </c>
      <c r="D15" s="21" t="n">
        <v>11.77</v>
      </c>
      <c r="E15" s="13" t="n">
        <f aca="false">D15*0.001</f>
        <v>0.01177</v>
      </c>
      <c r="F15" s="14" t="n">
        <v>2.07961870156237</v>
      </c>
      <c r="G15" s="14" t="n">
        <v>4.15923740312474</v>
      </c>
      <c r="H15" s="14" t="n">
        <v>5.19904675390592</v>
      </c>
      <c r="I15" s="14" t="n">
        <v>6.2388561046871</v>
      </c>
      <c r="J15" s="15" t="n">
        <v>8.31847480624947</v>
      </c>
      <c r="K15" s="16" t="n">
        <v>157.7</v>
      </c>
      <c r="L15" s="16" t="n">
        <v>8.19</v>
      </c>
      <c r="M15" s="17" t="n">
        <v>0.0453</v>
      </c>
      <c r="N15" s="18" t="n">
        <f aca="false">M15*25.4*0.5</f>
        <v>0.57531</v>
      </c>
      <c r="O15" s="16" t="n">
        <v>529</v>
      </c>
      <c r="P15" s="16"/>
    </row>
    <row r="16" customFormat="false" ht="15.6" hidden="false" customHeight="false" outlineLevel="0" collapsed="false">
      <c r="A16" s="20" t="n">
        <v>18</v>
      </c>
      <c r="B16" s="11" t="n">
        <v>1624</v>
      </c>
      <c r="C16" s="21" t="n">
        <v>0.1095</v>
      </c>
      <c r="D16" s="21" t="n">
        <v>9.42</v>
      </c>
      <c r="E16" s="13" t="n">
        <f aca="false">D16*0.001</f>
        <v>0.00942</v>
      </c>
      <c r="F16" s="14" t="n">
        <v>1.64587709945491</v>
      </c>
      <c r="G16" s="14" t="n">
        <v>3.29175419890982</v>
      </c>
      <c r="H16" s="14" t="n">
        <v>4.11469274863728</v>
      </c>
      <c r="I16" s="14" t="n">
        <v>4.93763129836473</v>
      </c>
      <c r="J16" s="15" t="n">
        <v>6.58350839781964</v>
      </c>
      <c r="K16" s="16" t="n">
        <v>199.2</v>
      </c>
      <c r="L16" s="16" t="n">
        <v>8.3</v>
      </c>
      <c r="M16" s="17" t="n">
        <v>0.0403</v>
      </c>
      <c r="N16" s="18" t="n">
        <f aca="false">M16*25.4*0.5</f>
        <v>0.51181</v>
      </c>
      <c r="O16" s="16" t="n">
        <v>669</v>
      </c>
      <c r="P16" s="16"/>
    </row>
    <row r="17" customFormat="false" ht="15.6" hidden="false" customHeight="false" outlineLevel="0" collapsed="false">
      <c r="A17" s="20" t="n">
        <v>19</v>
      </c>
      <c r="B17" s="11" t="n">
        <v>1289</v>
      </c>
      <c r="C17" s="21" t="n">
        <v>0.098</v>
      </c>
      <c r="D17" s="21" t="n">
        <v>7.54</v>
      </c>
      <c r="E17" s="13" t="n">
        <f aca="false">D17*0.001</f>
        <v>0.00754</v>
      </c>
      <c r="F17" s="14" t="n">
        <v>1.30609933227129</v>
      </c>
      <c r="G17" s="14" t="n">
        <v>2.61219866454258</v>
      </c>
      <c r="H17" s="14" t="n">
        <v>3.26524833067823</v>
      </c>
      <c r="I17" s="14" t="n">
        <v>3.91829799681388</v>
      </c>
      <c r="J17" s="15" t="n">
        <v>5.22439732908517</v>
      </c>
      <c r="K17" s="16" t="n">
        <v>250.6</v>
      </c>
      <c r="L17" s="16" t="n">
        <v>8.38</v>
      </c>
      <c r="M17" s="17" t="n">
        <v>0.0359</v>
      </c>
      <c r="N17" s="18" t="n">
        <f aca="false">M17*25.4*0.5</f>
        <v>0.45593</v>
      </c>
      <c r="O17" s="16" t="n">
        <v>843</v>
      </c>
      <c r="P17" s="16"/>
    </row>
    <row r="18" customFormat="false" ht="15.6" hidden="false" customHeight="false" outlineLevel="0" collapsed="false">
      <c r="A18" s="20" t="n">
        <v>20</v>
      </c>
      <c r="B18" s="11" t="n">
        <v>1024</v>
      </c>
      <c r="C18" s="21" t="n">
        <v>0.0879</v>
      </c>
      <c r="D18" s="21" t="n">
        <v>6.07</v>
      </c>
      <c r="E18" s="13" t="n">
        <f aca="false">D18*0.001</f>
        <v>0.00607</v>
      </c>
      <c r="F18" s="14" t="n">
        <v>1.03773691719168</v>
      </c>
      <c r="G18" s="14" t="n">
        <v>2.07547383438335</v>
      </c>
      <c r="H18" s="14" t="n">
        <v>2.59434229297919</v>
      </c>
      <c r="I18" s="14" t="n">
        <v>3.11321075157503</v>
      </c>
      <c r="J18" s="15" t="n">
        <v>4.1509476687667</v>
      </c>
      <c r="K18" s="16" t="n">
        <v>314.5</v>
      </c>
      <c r="L18" s="16" t="n">
        <v>8.27</v>
      </c>
      <c r="M18" s="17" t="n">
        <v>0.032</v>
      </c>
      <c r="N18" s="18" t="n">
        <f aca="false">M18*25.4*0.5</f>
        <v>0.4064</v>
      </c>
      <c r="O18" s="16" t="n">
        <v>1060</v>
      </c>
      <c r="P18" s="16"/>
    </row>
    <row r="19" customFormat="false" ht="15.6" hidden="false" customHeight="false" outlineLevel="0" collapsed="false">
      <c r="A19" s="20" t="n">
        <v>21</v>
      </c>
      <c r="B19" s="11" t="n">
        <v>812.3</v>
      </c>
      <c r="C19" s="21" t="n">
        <v>0.0785</v>
      </c>
      <c r="D19" s="21" t="n">
        <v>4.84</v>
      </c>
      <c r="E19" s="13" t="n">
        <f aca="false">D19*0.001</f>
        <v>0.00484</v>
      </c>
      <c r="F19" s="14" t="n">
        <v>0.823146299793885</v>
      </c>
      <c r="G19" s="14" t="n">
        <v>1.64629259958777</v>
      </c>
      <c r="H19" s="14" t="n">
        <v>2.05786574948471</v>
      </c>
      <c r="I19" s="14" t="n">
        <v>2.46943889938166</v>
      </c>
      <c r="J19" s="15" t="n">
        <v>3.29258519917554</v>
      </c>
      <c r="K19" s="16" t="n">
        <v>395.3</v>
      </c>
      <c r="L19" s="16" t="n">
        <v>8.37</v>
      </c>
      <c r="M19" s="17" t="n">
        <v>0.0285</v>
      </c>
      <c r="N19" s="18" t="n">
        <f aca="false">M19*25.4*0.5</f>
        <v>0.36195</v>
      </c>
      <c r="O19" s="16" t="n">
        <v>1340</v>
      </c>
      <c r="P19" s="16"/>
    </row>
    <row r="20" customFormat="false" ht="15.6" hidden="false" customHeight="false" outlineLevel="0" collapsed="false">
      <c r="A20" s="20" t="n">
        <v>22</v>
      </c>
      <c r="B20" s="11" t="n">
        <v>640.1</v>
      </c>
      <c r="C20" s="21" t="n">
        <v>0.0701</v>
      </c>
      <c r="D20" s="21" t="n">
        <v>3.86</v>
      </c>
      <c r="E20" s="13" t="n">
        <f aca="false">D20*0.001</f>
        <v>0.00386</v>
      </c>
      <c r="F20" s="14" t="n">
        <v>0.648676780591035</v>
      </c>
      <c r="G20" s="14" t="n">
        <v>1.29735356118207</v>
      </c>
      <c r="H20" s="14" t="n">
        <v>1.62169195147759</v>
      </c>
      <c r="I20" s="14" t="n">
        <v>1.9460303417731</v>
      </c>
      <c r="J20" s="15" t="n">
        <v>2.59470712236414</v>
      </c>
      <c r="K20" s="16" t="n">
        <v>502.5</v>
      </c>
      <c r="L20" s="16" t="n">
        <v>8.53</v>
      </c>
      <c r="M20" s="17" t="n">
        <v>0.0253</v>
      </c>
      <c r="N20" s="18" t="n">
        <f aca="false">M20*25.4*0.5</f>
        <v>0.32131</v>
      </c>
      <c r="O20" s="16" t="n">
        <v>1700</v>
      </c>
      <c r="P20" s="16"/>
    </row>
    <row r="21" customFormat="false" ht="15.6" hidden="false" customHeight="false" outlineLevel="0" collapsed="false">
      <c r="A21" s="20" t="n">
        <v>23</v>
      </c>
      <c r="B21" s="11" t="n">
        <v>510.8</v>
      </c>
      <c r="C21" s="21" t="n">
        <v>0.0632</v>
      </c>
      <c r="D21" s="21" t="n">
        <v>3.14</v>
      </c>
      <c r="E21" s="13" t="n">
        <f aca="false">D21*0.001</f>
        <v>0.00314</v>
      </c>
      <c r="F21" s="14" t="n">
        <v>0.517611824047676</v>
      </c>
      <c r="G21" s="14" t="n">
        <v>1.03522364809535</v>
      </c>
      <c r="H21" s="14" t="n">
        <v>1.29402956011919</v>
      </c>
      <c r="I21" s="14" t="n">
        <v>1.55283547214303</v>
      </c>
      <c r="J21" s="15" t="n">
        <v>2.0704472961907</v>
      </c>
      <c r="K21" s="16" t="n">
        <v>625</v>
      </c>
      <c r="L21" s="16" t="n">
        <v>8.8</v>
      </c>
      <c r="M21" s="17" t="n">
        <v>0.0226</v>
      </c>
      <c r="N21" s="18" t="n">
        <f aca="false">M21*25.4*0.5</f>
        <v>0.28702</v>
      </c>
      <c r="O21" s="16" t="n">
        <v>2130</v>
      </c>
      <c r="P21" s="16"/>
    </row>
    <row r="22" customFormat="false" ht="15.6" hidden="false" customHeight="false" outlineLevel="0" collapsed="false">
      <c r="A22" s="20" t="n">
        <v>24</v>
      </c>
      <c r="B22" s="11" t="n">
        <v>404</v>
      </c>
      <c r="C22" s="21" t="n">
        <v>0.0566</v>
      </c>
      <c r="D22" s="21" t="n">
        <v>2.52</v>
      </c>
      <c r="E22" s="13" t="n">
        <f aca="false">D22*0.001</f>
        <v>0.00252</v>
      </c>
      <c r="F22" s="14" t="n">
        <v>0.40942977726036</v>
      </c>
      <c r="G22" s="14" t="n">
        <v>0.81885955452072</v>
      </c>
      <c r="H22" s="14" t="n">
        <v>1.0235744431509</v>
      </c>
      <c r="I22" s="14" t="n">
        <v>1.22828933178108</v>
      </c>
      <c r="J22" s="15" t="n">
        <v>1.63771910904144</v>
      </c>
      <c r="K22" s="16" t="n">
        <v>790.5</v>
      </c>
      <c r="L22" s="16" t="n">
        <v>9.01</v>
      </c>
      <c r="M22" s="17" t="n">
        <v>0.0201</v>
      </c>
      <c r="N22" s="18" t="n">
        <f aca="false">M22*25.4*0.5</f>
        <v>0.25527</v>
      </c>
      <c r="O22" s="16" t="n">
        <v>2690</v>
      </c>
      <c r="P22" s="16"/>
    </row>
    <row r="23" customFormat="false" ht="15.6" hidden="false" customHeight="false" outlineLevel="0" collapsed="false">
      <c r="A23" s="20" t="n">
        <v>25</v>
      </c>
      <c r="B23" s="11" t="n">
        <v>320.4</v>
      </c>
      <c r="C23" s="21" t="n">
        <v>0.0505</v>
      </c>
      <c r="D23" s="21" t="n">
        <v>2</v>
      </c>
      <c r="E23" s="13" t="n">
        <f aca="false">D23*0.001</f>
        <v>0.002</v>
      </c>
      <c r="F23" s="14" t="n">
        <v>0.324708286755258</v>
      </c>
      <c r="G23" s="14" t="n">
        <v>0.649416573510517</v>
      </c>
      <c r="H23" s="14" t="n">
        <v>0.811770716888146</v>
      </c>
      <c r="I23" s="14" t="n">
        <v>0.974124860265775</v>
      </c>
      <c r="J23" s="15" t="n">
        <v>1.29883314702103</v>
      </c>
      <c r="K23" s="16" t="n">
        <v>992.1</v>
      </c>
      <c r="L23" s="16" t="n">
        <v>9.32</v>
      </c>
      <c r="M23" s="17" t="n">
        <v>0.0179</v>
      </c>
      <c r="N23" s="18" t="n">
        <f aca="false">M23*25.4*0.5</f>
        <v>0.22733</v>
      </c>
      <c r="O23" s="16" t="n">
        <v>3390</v>
      </c>
      <c r="P23" s="16"/>
    </row>
    <row r="24" customFormat="false" ht="15.6" hidden="false" customHeight="false" outlineLevel="0" collapsed="false">
      <c r="A24" s="20" t="n">
        <v>26</v>
      </c>
      <c r="B24" s="11" t="n">
        <v>252.8</v>
      </c>
      <c r="C24" s="21" t="n">
        <v>0.0452</v>
      </c>
      <c r="D24" s="21" t="n">
        <v>1.6</v>
      </c>
      <c r="E24" s="13" t="n">
        <f aca="false">D24*0.001</f>
        <v>0.0016</v>
      </c>
      <c r="F24" s="14" t="n">
        <v>0.256201435581277</v>
      </c>
      <c r="G24" s="14" t="n">
        <v>0.512402871162554</v>
      </c>
      <c r="H24" s="14" t="n">
        <v>0.640503588953192</v>
      </c>
      <c r="I24" s="14" t="n">
        <v>0.768604306743831</v>
      </c>
      <c r="J24" s="15" t="n">
        <v>1.02480574232511</v>
      </c>
      <c r="K24" s="16" t="n">
        <v>1254</v>
      </c>
      <c r="L24" s="16" t="n">
        <v>9.06</v>
      </c>
      <c r="M24" s="17" t="n">
        <v>0.0159</v>
      </c>
      <c r="N24" s="18" t="n">
        <f aca="false">M24*25.4*0.5</f>
        <v>0.20193</v>
      </c>
      <c r="O24" s="16" t="n">
        <v>4300</v>
      </c>
      <c r="P24" s="16"/>
    </row>
    <row r="25" customFormat="false" ht="15.6" hidden="false" customHeight="false" outlineLevel="0" collapsed="false">
      <c r="A25" s="20" t="n">
        <v>27</v>
      </c>
      <c r="B25" s="11" t="n">
        <v>201.6</v>
      </c>
      <c r="C25" s="21" t="n">
        <v>0.0409</v>
      </c>
      <c r="D25" s="21" t="n">
        <v>1.31</v>
      </c>
      <c r="E25" s="13" t="n">
        <f aca="false">D25*0.001</f>
        <v>0.00131</v>
      </c>
      <c r="F25" s="14" t="n">
        <v>0.204344992170439</v>
      </c>
      <c r="G25" s="14" t="n">
        <v>0.408689984340878</v>
      </c>
      <c r="H25" s="14" t="n">
        <v>0.510862480426097</v>
      </c>
      <c r="I25" s="14" t="n">
        <v>0.613034976511317</v>
      </c>
      <c r="J25" s="15" t="n">
        <v>0.817379968681755</v>
      </c>
      <c r="K25" s="16" t="n">
        <v>1571</v>
      </c>
      <c r="L25" s="16" t="n">
        <v>9</v>
      </c>
      <c r="M25" s="17" t="n">
        <v>0.0142</v>
      </c>
      <c r="N25" s="18" t="n">
        <f aca="false">M25*25.4*0.5</f>
        <v>0.18034</v>
      </c>
      <c r="O25" s="16" t="n">
        <v>5390</v>
      </c>
      <c r="P25" s="16"/>
    </row>
    <row r="26" customFormat="false" ht="15.6" hidden="false" customHeight="false" outlineLevel="0" collapsed="false">
      <c r="A26" s="20" t="n">
        <v>28</v>
      </c>
      <c r="B26" s="11" t="n">
        <v>158.8</v>
      </c>
      <c r="C26" s="21" t="n">
        <v>0.0366</v>
      </c>
      <c r="D26" s="21" t="n">
        <v>1.05</v>
      </c>
      <c r="E26" s="13" t="n">
        <f aca="false">D26*0.001</f>
        <v>0.00105</v>
      </c>
      <c r="F26" s="14" t="n">
        <v>0.160889758763037</v>
      </c>
      <c r="G26" s="14" t="n">
        <v>0.321779517526075</v>
      </c>
      <c r="H26" s="14" t="n">
        <v>0.402224396907594</v>
      </c>
      <c r="I26" s="14" t="n">
        <v>0.482669276289112</v>
      </c>
      <c r="J26" s="15" t="n">
        <v>0.64355903505215</v>
      </c>
      <c r="K26" s="16" t="n">
        <v>1987</v>
      </c>
      <c r="L26" s="16" t="n">
        <v>9</v>
      </c>
      <c r="M26" s="17" t="n">
        <v>0.0126</v>
      </c>
      <c r="N26" s="18" t="n">
        <f aca="false">M26*25.4*0.5</f>
        <v>0.16002</v>
      </c>
      <c r="O26" s="16" t="n">
        <v>6845</v>
      </c>
      <c r="P26" s="16"/>
    </row>
    <row r="27" customFormat="false" ht="15.6" hidden="false" customHeight="false" outlineLevel="0" collapsed="false">
      <c r="A27" s="20" t="n">
        <v>29</v>
      </c>
      <c r="B27" s="11" t="n">
        <v>127.7</v>
      </c>
      <c r="C27" s="21" t="n">
        <v>0.033</v>
      </c>
      <c r="D27" s="21" t="n">
        <v>0.855</v>
      </c>
      <c r="E27" s="13" t="n">
        <f aca="false">D27*0.001</f>
        <v>0.000855</v>
      </c>
      <c r="F27" s="14" t="n">
        <v>0.129402956011919</v>
      </c>
      <c r="G27" s="14" t="n">
        <v>0.258805912023838</v>
      </c>
      <c r="H27" s="14" t="n">
        <v>0.323507390029797</v>
      </c>
      <c r="I27" s="14" t="n">
        <v>0.388208868035757</v>
      </c>
      <c r="J27" s="15" t="n">
        <v>0.517611824047676</v>
      </c>
      <c r="K27" s="16" t="n">
        <v>2463</v>
      </c>
      <c r="L27" s="16" t="n">
        <v>9</v>
      </c>
      <c r="M27" s="17" t="n">
        <v>0.0113</v>
      </c>
      <c r="N27" s="18" t="n">
        <f aca="false">M27*25.4*0.5</f>
        <v>0.14351</v>
      </c>
      <c r="O27" s="16" t="n">
        <v>8503</v>
      </c>
      <c r="P27" s="16"/>
    </row>
    <row r="28" customFormat="false" ht="15.6" hidden="false" customHeight="false" outlineLevel="0" collapsed="false">
      <c r="A28" s="20" t="n">
        <v>30</v>
      </c>
      <c r="B28" s="11" t="n">
        <v>100</v>
      </c>
      <c r="C28" s="21" t="n">
        <v>0.0295</v>
      </c>
      <c r="D28" s="21" t="n">
        <v>0.683</v>
      </c>
      <c r="E28" s="13" t="n">
        <f aca="false">D28*0.001</f>
        <v>0.000683</v>
      </c>
      <c r="F28" s="14" t="n">
        <v>0.1013414958195</v>
      </c>
      <c r="G28" s="14" t="n">
        <v>0.202682991638999</v>
      </c>
      <c r="H28" s="14" t="n">
        <v>0.253353739548749</v>
      </c>
      <c r="I28" s="14" t="n">
        <v>0.304024487458499</v>
      </c>
      <c r="J28" s="15" t="n">
        <v>0.405365983277998</v>
      </c>
      <c r="K28" s="16" t="n">
        <v>3136</v>
      </c>
      <c r="L28" s="16" t="n">
        <v>9</v>
      </c>
      <c r="M28" s="17" t="n">
        <v>0.01</v>
      </c>
      <c r="N28" s="18" t="n">
        <f aca="false">M28*25.4*0.5</f>
        <v>0.127</v>
      </c>
      <c r="O28" s="16" t="n">
        <v>10870</v>
      </c>
      <c r="P28" s="16"/>
    </row>
    <row r="29" customFormat="false" ht="15.6" hidden="false" customHeight="false" outlineLevel="0" collapsed="false">
      <c r="A29" s="20" t="n">
        <v>31</v>
      </c>
      <c r="B29" s="11" t="n">
        <v>79.21</v>
      </c>
      <c r="C29" s="21" t="n">
        <v>0.0267</v>
      </c>
      <c r="D29" s="21" t="n">
        <v>0.56</v>
      </c>
      <c r="E29" s="13" t="n">
        <f aca="false">D29*0.001</f>
        <v>0.00056</v>
      </c>
      <c r="F29" s="14" t="n">
        <v>0.0802725988386256</v>
      </c>
      <c r="G29" s="14" t="n">
        <v>0.160545197677251</v>
      </c>
      <c r="H29" s="14" t="n">
        <v>0.200681497096564</v>
      </c>
      <c r="I29" s="14" t="n">
        <v>0.240817796515877</v>
      </c>
      <c r="J29" s="15" t="n">
        <v>0.321090395354502</v>
      </c>
      <c r="K29" s="16" t="n">
        <v>3948</v>
      </c>
      <c r="L29" s="16" t="n">
        <v>9</v>
      </c>
      <c r="M29" s="17" t="n">
        <v>0.0089</v>
      </c>
      <c r="N29" s="18" t="n">
        <f aca="false">M29*25.4*0.5</f>
        <v>0.11303</v>
      </c>
      <c r="O29" s="16" t="n">
        <v>13717</v>
      </c>
      <c r="P29" s="16"/>
    </row>
    <row r="30" customFormat="false" ht="15.6" hidden="false" customHeight="false" outlineLevel="0" collapsed="false">
      <c r="A30" s="20" t="n">
        <v>32</v>
      </c>
      <c r="B30" s="11" t="n">
        <v>64</v>
      </c>
      <c r="C30" s="21" t="n">
        <v>0.0241</v>
      </c>
      <c r="D30" s="21" t="n">
        <v>0.456</v>
      </c>
      <c r="E30" s="13" t="n">
        <f aca="false">D30*0.001</f>
        <v>0.000456</v>
      </c>
      <c r="F30" s="14" t="n">
        <v>0.0648585573244797</v>
      </c>
      <c r="G30" s="14" t="n">
        <v>0.129717114648959</v>
      </c>
      <c r="H30" s="14" t="n">
        <v>0.162146393311199</v>
      </c>
      <c r="I30" s="14" t="n">
        <v>0.194575671973439</v>
      </c>
      <c r="J30" s="15" t="n">
        <v>0.259434229297919</v>
      </c>
      <c r="K30" s="16" t="n">
        <v>4873</v>
      </c>
      <c r="L30" s="16" t="n">
        <v>9</v>
      </c>
      <c r="M30" s="17" t="n">
        <v>0.008</v>
      </c>
      <c r="N30" s="18" t="n">
        <f aca="false">M30*25.4*0.5</f>
        <v>0.1016</v>
      </c>
      <c r="O30" s="16" t="n">
        <v>16978</v>
      </c>
      <c r="P30" s="16"/>
    </row>
    <row r="31" customFormat="false" ht="15.6" hidden="false" customHeight="false" outlineLevel="0" collapsed="false">
      <c r="A31" s="20" t="n">
        <v>33</v>
      </c>
      <c r="B31" s="11" t="n">
        <v>50.41</v>
      </c>
      <c r="C31" s="21" t="n">
        <v>0.0216</v>
      </c>
      <c r="D31" s="21" t="n">
        <v>0.366</v>
      </c>
      <c r="E31" s="13" t="n">
        <f aca="false">D31*0.001</f>
        <v>0.000366</v>
      </c>
      <c r="F31" s="14" t="n">
        <v>0.0510862480426097</v>
      </c>
      <c r="G31" s="14" t="n">
        <v>0.102172496085219</v>
      </c>
      <c r="H31" s="14" t="n">
        <v>0.127715620106524</v>
      </c>
      <c r="I31" s="14" t="n">
        <v>0.153258744127829</v>
      </c>
      <c r="J31" s="15" t="n">
        <v>0.204344992170439</v>
      </c>
      <c r="K31" s="16" t="n">
        <v>6161</v>
      </c>
      <c r="L31" s="16" t="n">
        <v>9</v>
      </c>
      <c r="M31" s="17" t="n">
        <v>0.0071</v>
      </c>
      <c r="N31" s="18" t="n">
        <f aca="false">M31*25.4*0.5</f>
        <v>0.09017</v>
      </c>
      <c r="O31" s="16" t="n">
        <v>21552</v>
      </c>
      <c r="P31" s="16"/>
    </row>
    <row r="32" customFormat="false" ht="15.6" hidden="false" customHeight="false" outlineLevel="0" collapsed="false">
      <c r="A32" s="20" t="n">
        <v>34</v>
      </c>
      <c r="B32" s="11" t="n">
        <v>39.69</v>
      </c>
      <c r="C32" s="21" t="n">
        <v>0.01905</v>
      </c>
      <c r="D32" s="21" t="n">
        <v>0.285</v>
      </c>
      <c r="E32" s="13" t="n">
        <f aca="false">D32*0.001</f>
        <v>0.000285</v>
      </c>
      <c r="F32" s="14" t="n">
        <v>0.0402224396907594</v>
      </c>
      <c r="G32" s="14" t="n">
        <v>0.0804448793815187</v>
      </c>
      <c r="H32" s="14" t="n">
        <v>0.100556099226898</v>
      </c>
      <c r="I32" s="14" t="n">
        <v>0.120667319072278</v>
      </c>
      <c r="J32" s="15" t="n">
        <v>0.160889758763037</v>
      </c>
      <c r="K32" s="16" t="n">
        <v>7837</v>
      </c>
      <c r="L32" s="16" t="n">
        <v>9</v>
      </c>
      <c r="M32" s="17" t="n">
        <v>0.0063</v>
      </c>
      <c r="N32" s="18" t="n">
        <f aca="false">M32*25.4*0.5</f>
        <v>0.08001</v>
      </c>
      <c r="O32" s="16" t="n">
        <v>27397</v>
      </c>
      <c r="P32" s="16"/>
    </row>
    <row r="33" customFormat="false" ht="15.6" hidden="false" customHeight="false" outlineLevel="0" collapsed="false">
      <c r="A33" s="20" t="n">
        <v>35</v>
      </c>
      <c r="B33" s="11" t="n">
        <v>31.36</v>
      </c>
      <c r="C33" s="21" t="n">
        <v>0.01702</v>
      </c>
      <c r="D33" s="21" t="n">
        <v>0.228</v>
      </c>
      <c r="E33" s="13" t="n">
        <f aca="false">D33*0.001</f>
        <v>0.000228</v>
      </c>
      <c r="F33" s="14" t="n">
        <v>0.0317806930889951</v>
      </c>
      <c r="G33" s="14" t="n">
        <v>0.0635613861779901</v>
      </c>
      <c r="H33" s="14" t="n">
        <v>0.0794517327224876</v>
      </c>
      <c r="I33" s="14" t="n">
        <v>0.0953420792669852</v>
      </c>
      <c r="J33" s="15" t="n">
        <v>0.12712277235598</v>
      </c>
      <c r="K33" s="16" t="n">
        <v>9891</v>
      </c>
      <c r="L33" s="16" t="n">
        <v>9</v>
      </c>
      <c r="M33" s="17" t="n">
        <v>0.0056</v>
      </c>
      <c r="N33" s="18" t="n">
        <f aca="false">M33*25.4*0.5</f>
        <v>0.07112</v>
      </c>
      <c r="O33" s="16" t="n">
        <v>34602</v>
      </c>
      <c r="P33" s="16"/>
    </row>
    <row r="34" customFormat="false" ht="15.6" hidden="false" customHeight="false" outlineLevel="0" collapsed="false">
      <c r="A34" s="20" t="n">
        <v>36</v>
      </c>
      <c r="B34" s="11" t="n">
        <v>25</v>
      </c>
      <c r="C34" s="21" t="n">
        <v>0.01524</v>
      </c>
      <c r="D34" s="21" t="n">
        <v>0.182</v>
      </c>
      <c r="E34" s="13" t="n">
        <f aca="false">D34*0.001</f>
        <v>0.000182</v>
      </c>
      <c r="F34" s="14" t="n">
        <v>0.0253353739548749</v>
      </c>
      <c r="G34" s="14" t="n">
        <v>0.0506707479097498</v>
      </c>
      <c r="H34" s="14" t="n">
        <v>0.0633384348871872</v>
      </c>
      <c r="I34" s="14" t="n">
        <v>0.0760061218646247</v>
      </c>
      <c r="J34" s="15" t="n">
        <v>0.1013414958195</v>
      </c>
      <c r="K34" s="16" t="n">
        <v>12380</v>
      </c>
      <c r="L34" s="16" t="n">
        <v>9</v>
      </c>
      <c r="M34" s="17" t="n">
        <v>0.005</v>
      </c>
      <c r="N34" s="18" t="n">
        <f aca="false">M34*25.4*0.5</f>
        <v>0.0635</v>
      </c>
      <c r="O34" s="16" t="n">
        <v>43478</v>
      </c>
      <c r="P34" s="16"/>
    </row>
    <row r="35" customFormat="false" ht="15.6" hidden="false" customHeight="false" outlineLevel="0" collapsed="false">
      <c r="A35" s="20" t="n">
        <v>37</v>
      </c>
      <c r="B35" s="11" t="n">
        <v>20.25</v>
      </c>
      <c r="C35" s="21" t="n">
        <v>0.01397</v>
      </c>
      <c r="D35" s="21" t="n">
        <v>0.153</v>
      </c>
      <c r="E35" s="13" t="n">
        <f aca="false">D35*0.001</f>
        <v>0.000153</v>
      </c>
      <c r="F35" s="14" t="n">
        <v>0.0205216529034487</v>
      </c>
      <c r="G35" s="14" t="n">
        <v>0.0410433058068973</v>
      </c>
      <c r="H35" s="14" t="n">
        <v>0.0513041322586216</v>
      </c>
      <c r="I35" s="14" t="n">
        <v>0.061564958710346</v>
      </c>
      <c r="J35" s="15" t="n">
        <v>0.0820866116137946</v>
      </c>
      <c r="K35" s="16" t="n">
        <v>15290</v>
      </c>
      <c r="L35" s="16" t="n">
        <v>9</v>
      </c>
      <c r="M35" s="17" t="n">
        <v>0.0045</v>
      </c>
      <c r="N35" s="18" t="n">
        <f aca="false">M35*25.4*0.5</f>
        <v>0.05715</v>
      </c>
      <c r="O35" s="16" t="n">
        <v>53763</v>
      </c>
      <c r="P35" s="16"/>
    </row>
    <row r="36" customFormat="false" ht="15.6" hidden="false" customHeight="false" outlineLevel="0" collapsed="false">
      <c r="A36" s="20" t="n">
        <v>38</v>
      </c>
      <c r="B36" s="11" t="n">
        <v>16</v>
      </c>
      <c r="C36" s="21" t="n">
        <v>0.01245</v>
      </c>
      <c r="D36" s="21" t="n">
        <v>0.122</v>
      </c>
      <c r="E36" s="13" t="n">
        <f aca="false">D36*0.001</f>
        <v>0.000122</v>
      </c>
      <c r="F36" s="14" t="n">
        <v>0.0162146393311199</v>
      </c>
      <c r="G36" s="14" t="n">
        <v>0.0324292786622399</v>
      </c>
      <c r="H36" s="14" t="n">
        <v>0.0405365983277998</v>
      </c>
      <c r="I36" s="14" t="n">
        <v>0.0486439179933598</v>
      </c>
      <c r="J36" s="15" t="n">
        <v>0.0648585573244797</v>
      </c>
      <c r="K36" s="16" t="n">
        <v>19360</v>
      </c>
      <c r="L36" s="16" t="n">
        <v>9</v>
      </c>
      <c r="M36" s="17" t="n">
        <v>0.004</v>
      </c>
      <c r="N36" s="18" t="n">
        <f aca="false">M36*25.4*0.5</f>
        <v>0.0508</v>
      </c>
      <c r="O36" s="16" t="n">
        <v>68027</v>
      </c>
      <c r="P36" s="16"/>
    </row>
    <row r="37" customFormat="false" ht="15.6" hidden="false" customHeight="false" outlineLevel="0" collapsed="false">
      <c r="A37" s="20" t="n">
        <v>39</v>
      </c>
      <c r="B37" s="11" t="n">
        <v>12.25</v>
      </c>
      <c r="C37" s="21" t="n">
        <v>0.01092</v>
      </c>
      <c r="D37" s="21" t="n">
        <v>0.094</v>
      </c>
      <c r="E37" s="13" t="n">
        <f aca="false">D37*0.001</f>
        <v>9.4E-005</v>
      </c>
      <c r="F37" s="14" t="n">
        <v>0.0124143332378887</v>
      </c>
      <c r="G37" s="14" t="n">
        <v>0.0248286664757774</v>
      </c>
      <c r="H37" s="14" t="n">
        <v>0.0310358330947217</v>
      </c>
      <c r="I37" s="14" t="n">
        <v>0.0372429997136661</v>
      </c>
      <c r="J37" s="15" t="n">
        <v>0.0496573329515548</v>
      </c>
      <c r="K37" s="16" t="n">
        <v>25270</v>
      </c>
      <c r="L37" s="16" t="n">
        <v>9</v>
      </c>
      <c r="M37" s="17" t="n">
        <v>0.0035</v>
      </c>
      <c r="N37" s="18" t="n">
        <f aca="false">M37*25.4*0.5</f>
        <v>0.04445</v>
      </c>
      <c r="O37" s="16" t="n">
        <v>88496</v>
      </c>
      <c r="P37" s="16"/>
    </row>
    <row r="38" customFormat="false" ht="15.6" hidden="false" customHeight="false" outlineLevel="0" collapsed="false">
      <c r="A38" s="20" t="n">
        <v>40</v>
      </c>
      <c r="B38" s="11" t="n">
        <v>9.61</v>
      </c>
      <c r="C38" s="21" t="n">
        <v>0.00965</v>
      </c>
      <c r="D38" s="21" t="n">
        <v>0.073</v>
      </c>
      <c r="E38" s="13" t="n">
        <f aca="false">D38*0.001</f>
        <v>7.3E-005</v>
      </c>
      <c r="F38" s="14" t="n">
        <v>0.0097389177482539</v>
      </c>
      <c r="G38" s="14" t="n">
        <v>0.0194778354965078</v>
      </c>
      <c r="H38" s="14" t="n">
        <v>0.0243472943706348</v>
      </c>
      <c r="I38" s="14" t="n">
        <v>0.0292167532447617</v>
      </c>
      <c r="J38" s="15" t="n">
        <v>0.0389556709930156</v>
      </c>
      <c r="K38" s="16" t="n">
        <v>31940</v>
      </c>
      <c r="L38" s="16" t="n">
        <v>9</v>
      </c>
      <c r="M38" s="17" t="n">
        <v>0.0031</v>
      </c>
      <c r="N38" s="18" t="n">
        <f aca="false">M38*25.4*0.5</f>
        <v>0.03937</v>
      </c>
      <c r="O38" s="16" t="n">
        <v>113636</v>
      </c>
      <c r="P38" s="16"/>
    </row>
    <row r="39" customFormat="false" ht="15.6" hidden="false" customHeight="false" outlineLevel="0" collapsed="false">
      <c r="A39" s="20" t="n">
        <v>41</v>
      </c>
      <c r="B39" s="11" t="n">
        <v>7.84</v>
      </c>
      <c r="C39" s="21" t="n">
        <v>0.00864</v>
      </c>
      <c r="D39" s="21" t="n">
        <v>0.059</v>
      </c>
      <c r="E39" s="13" t="n">
        <f aca="false">D39*0.001</f>
        <v>5.9E-005</v>
      </c>
      <c r="F39" s="14" t="n">
        <v>0.00794517327224876</v>
      </c>
      <c r="G39" s="14" t="n">
        <v>0.0158903465444975</v>
      </c>
      <c r="H39" s="14" t="n">
        <v>0.0198629331806219</v>
      </c>
      <c r="I39" s="14" t="n">
        <v>0.0238355198167463</v>
      </c>
      <c r="J39" s="15" t="n">
        <v>0.0317806930889951</v>
      </c>
      <c r="K39" s="16" t="n">
        <v>39340</v>
      </c>
      <c r="L39" s="16" t="n">
        <v>9</v>
      </c>
      <c r="M39" s="17" t="n">
        <v>0.0028</v>
      </c>
      <c r="N39" s="18" t="n">
        <f aca="false">M39*25.4*0.5</f>
        <v>0.03556</v>
      </c>
      <c r="O39" s="16" t="n">
        <v>138889</v>
      </c>
      <c r="P39" s="16"/>
    </row>
    <row r="40" customFormat="false" ht="15.6" hidden="false" customHeight="false" outlineLevel="0" collapsed="false">
      <c r="A40" s="20" t="n">
        <v>42</v>
      </c>
      <c r="B40" s="11" t="n">
        <v>6.25</v>
      </c>
      <c r="C40" s="21" t="n">
        <v>0.00762</v>
      </c>
      <c r="D40" s="21" t="n">
        <v>0.046</v>
      </c>
      <c r="E40" s="13" t="n">
        <f aca="false">D40*0.001</f>
        <v>4.6E-005</v>
      </c>
      <c r="F40" s="14" t="n">
        <v>0.00633384348871872</v>
      </c>
      <c r="G40" s="14" t="n">
        <v>0.0126676869774374</v>
      </c>
      <c r="H40" s="14" t="n">
        <v>0.0158346087217968</v>
      </c>
      <c r="I40" s="14" t="n">
        <v>0.0190015304661562</v>
      </c>
      <c r="J40" s="15" t="n">
        <v>0.0253353739548749</v>
      </c>
      <c r="K40" s="16" t="n">
        <v>49600</v>
      </c>
      <c r="L40" s="16" t="n">
        <v>9</v>
      </c>
      <c r="M40" s="17" t="n">
        <v>0.0025</v>
      </c>
      <c r="N40" s="18" t="n">
        <f aca="false">M40*25.4*0.5</f>
        <v>0.03175</v>
      </c>
      <c r="O40" s="16" t="n">
        <v>172414</v>
      </c>
      <c r="P40" s="16"/>
    </row>
    <row r="41" customFormat="false" ht="15.6" hidden="false" customHeight="false" outlineLevel="0" collapsed="false">
      <c r="A41" s="20" t="n">
        <v>43</v>
      </c>
      <c r="B41" s="11" t="n">
        <v>4.84</v>
      </c>
      <c r="C41" s="21" t="n">
        <v>0.00686</v>
      </c>
      <c r="D41" s="21" t="n">
        <v>0.037</v>
      </c>
      <c r="E41" s="13" t="n">
        <f aca="false">D41*0.001</f>
        <v>3.7E-005</v>
      </c>
      <c r="F41" s="14" t="n">
        <v>0.00490492839766378</v>
      </c>
      <c r="G41" s="14" t="n">
        <v>0.00980985679532756</v>
      </c>
      <c r="H41" s="14" t="n">
        <v>0.0122623209941594</v>
      </c>
      <c r="I41" s="14" t="n">
        <v>0.0147147851929913</v>
      </c>
      <c r="J41" s="15" t="n">
        <v>0.0196197135906551</v>
      </c>
      <c r="K41" s="16" t="n">
        <v>63170</v>
      </c>
      <c r="L41" s="16" t="n">
        <v>9</v>
      </c>
      <c r="M41" s="17" t="n">
        <v>0.0022</v>
      </c>
      <c r="N41" s="18" t="n">
        <f aca="false">M41*25.4*0.5</f>
        <v>0.02794</v>
      </c>
      <c r="O41" s="16" t="n">
        <v>22222</v>
      </c>
      <c r="P41" s="16"/>
    </row>
    <row r="42" customFormat="false" ht="15.6" hidden="false" customHeight="false" outlineLevel="0" collapsed="false">
      <c r="A42" s="20" t="n">
        <v>44</v>
      </c>
      <c r="B42" s="11" t="n">
        <v>4</v>
      </c>
      <c r="C42" s="21" t="n">
        <v>0.00635</v>
      </c>
      <c r="D42" s="21" t="n">
        <v>0.032</v>
      </c>
      <c r="E42" s="13" t="n">
        <f aca="false">D42*0.001</f>
        <v>3.2E-005</v>
      </c>
      <c r="F42" s="14" t="n">
        <v>0.00405365983277998</v>
      </c>
      <c r="G42" s="14" t="n">
        <v>0.00810731966555997</v>
      </c>
      <c r="H42" s="14" t="n">
        <v>0.01013414958195</v>
      </c>
      <c r="I42" s="14" t="n">
        <v>0.0121609794983399</v>
      </c>
      <c r="J42" s="15" t="n">
        <v>0.0162146393311199</v>
      </c>
      <c r="K42" s="16" t="n">
        <v>76160</v>
      </c>
      <c r="L42" s="16" t="n">
        <v>9</v>
      </c>
      <c r="M42" s="17" t="n">
        <v>0.002</v>
      </c>
      <c r="N42" s="18" t="n">
        <f aca="false">M42*25.4*0.5</f>
        <v>0.0254</v>
      </c>
      <c r="O42" s="16" t="n">
        <v>270270</v>
      </c>
      <c r="P42" s="16"/>
    </row>
    <row r="43" customFormat="false" ht="15.6" hidden="false" customHeight="false" outlineLevel="0" collapsed="false">
      <c r="A43" s="20" t="n">
        <v>45</v>
      </c>
      <c r="B43" s="11" t="n">
        <v>3.1</v>
      </c>
      <c r="C43" s="21" t="n">
        <v>0.00546</v>
      </c>
      <c r="D43" s="21" t="n">
        <v>0.023</v>
      </c>
      <c r="E43" s="13" t="n">
        <f aca="false">D43*0.001</f>
        <v>2.3E-005</v>
      </c>
      <c r="F43" s="14" t="n">
        <v>0.00313915417450482</v>
      </c>
      <c r="G43" s="14" t="n">
        <v>0.00627830834900964</v>
      </c>
      <c r="H43" s="14" t="n">
        <v>0.00784788543626205</v>
      </c>
      <c r="I43" s="14" t="n">
        <v>0.00941746252351446</v>
      </c>
      <c r="J43" s="15" t="n">
        <v>0.0125566166980193</v>
      </c>
      <c r="K43" s="16" t="n">
        <v>99110</v>
      </c>
      <c r="L43" s="16" t="n">
        <v>9</v>
      </c>
      <c r="M43" s="17" t="n">
        <v>0.00176</v>
      </c>
      <c r="N43" s="18" t="n">
        <f aca="false">M43*25.4*0.5</f>
        <v>0.022352</v>
      </c>
      <c r="O43" s="16"/>
      <c r="P43" s="16"/>
    </row>
    <row r="44" customFormat="false" ht="15.6" hidden="false" customHeight="false" outlineLevel="0" collapsed="false">
      <c r="A44" s="20" t="n">
        <v>46</v>
      </c>
      <c r="B44" s="11" t="n">
        <v>2.47</v>
      </c>
      <c r="C44" s="21" t="n">
        <v>0.00498</v>
      </c>
      <c r="D44" s="21" t="n">
        <v>0.019</v>
      </c>
      <c r="E44" s="13" t="n">
        <f aca="false">D44*0.001</f>
        <v>1.9E-005</v>
      </c>
      <c r="F44" s="14" t="n">
        <v>0.00249796653045484</v>
      </c>
      <c r="G44" s="14" t="n">
        <v>0.00499593306090969</v>
      </c>
      <c r="H44" s="14" t="n">
        <v>0.00624491632613711</v>
      </c>
      <c r="I44" s="14" t="n">
        <v>0.00749389959136453</v>
      </c>
      <c r="J44" s="15" t="n">
        <v>0.00999186612181938</v>
      </c>
      <c r="K44" s="16" t="n">
        <v>123800</v>
      </c>
      <c r="L44" s="16" t="n">
        <v>9</v>
      </c>
      <c r="M44" s="17" t="n">
        <v>0.00157</v>
      </c>
      <c r="N44" s="18" t="n">
        <f aca="false">M44*25.4*0.5</f>
        <v>0.019939</v>
      </c>
      <c r="O44" s="16"/>
      <c r="P44" s="16"/>
    </row>
    <row r="45" customFormat="false" ht="15.6" hidden="false" customHeight="false" outlineLevel="0" collapsed="false">
      <c r="A45" s="20" t="n">
        <v>47</v>
      </c>
      <c r="B45" s="11" t="n">
        <v>1.96</v>
      </c>
      <c r="C45" s="21" t="n">
        <v>0.00452</v>
      </c>
      <c r="D45" s="21" t="n">
        <v>0.016</v>
      </c>
      <c r="E45" s="13" t="n">
        <f aca="false">D45*0.001</f>
        <v>1.6E-005</v>
      </c>
      <c r="F45" s="14" t="n">
        <v>0.00198629331806219</v>
      </c>
      <c r="G45" s="14" t="n">
        <v>0.00397258663612438</v>
      </c>
      <c r="H45" s="14" t="n">
        <v>0.00496573329515548</v>
      </c>
      <c r="I45" s="14" t="n">
        <v>0.00595887995418657</v>
      </c>
      <c r="J45" s="15" t="n">
        <v>0.00794517327224876</v>
      </c>
      <c r="K45" s="16" t="n">
        <v>154600</v>
      </c>
      <c r="L45" s="16" t="n">
        <v>9</v>
      </c>
      <c r="M45" s="17" t="n">
        <v>0.0014</v>
      </c>
      <c r="N45" s="18" t="n">
        <f aca="false">M45*25.4*0.5</f>
        <v>0.01778</v>
      </c>
      <c r="O45" s="16"/>
      <c r="P45" s="16"/>
    </row>
    <row r="46" customFormat="false" ht="15.6" hidden="false" customHeight="false" outlineLevel="0" collapsed="false">
      <c r="A46" s="20" t="n">
        <v>48</v>
      </c>
      <c r="B46" s="11" t="n">
        <v>1.54</v>
      </c>
      <c r="C46" s="21" t="n">
        <v>0.00394</v>
      </c>
      <c r="D46" s="21" t="n">
        <v>0.012</v>
      </c>
      <c r="E46" s="13" t="n">
        <f aca="false">D46*0.001</f>
        <v>1.2E-005</v>
      </c>
      <c r="F46" s="14" t="n">
        <v>0.00155822683972063</v>
      </c>
      <c r="G46" s="14" t="n">
        <v>0.00311645367944125</v>
      </c>
      <c r="H46" s="14" t="n">
        <v>0.00389556709930156</v>
      </c>
      <c r="I46" s="14" t="n">
        <v>0.00467468051916188</v>
      </c>
      <c r="J46" s="15" t="n">
        <v>0.0062329073588825</v>
      </c>
      <c r="K46" s="16" t="n">
        <v>196600</v>
      </c>
      <c r="L46" s="16" t="n">
        <v>9</v>
      </c>
      <c r="M46" s="17" t="n">
        <v>0.00124</v>
      </c>
      <c r="N46" s="18" t="n">
        <f aca="false">M46*25.4*0.5</f>
        <v>0.015748</v>
      </c>
      <c r="O46" s="16"/>
      <c r="P46" s="16"/>
    </row>
    <row r="47" customFormat="false" ht="15.6" hidden="false" customHeight="false" outlineLevel="0" collapsed="false">
      <c r="A47" s="20" t="n">
        <v>49</v>
      </c>
      <c r="B47" s="11" t="n">
        <v>1.23</v>
      </c>
      <c r="C47" s="21" t="n">
        <v>0.00353</v>
      </c>
      <c r="D47" s="21" t="n">
        <v>0.01</v>
      </c>
      <c r="E47" s="13" t="n">
        <f aca="false">D47*0.001</f>
        <v>1E-005</v>
      </c>
      <c r="F47" s="14" t="n">
        <v>0.00124862856999205</v>
      </c>
      <c r="G47" s="14" t="n">
        <v>0.00249725713998411</v>
      </c>
      <c r="H47" s="14" t="n">
        <v>0.00312157142498013</v>
      </c>
      <c r="I47" s="14" t="n">
        <v>0.00374588570997616</v>
      </c>
      <c r="J47" s="15" t="n">
        <v>0.00499451427996822</v>
      </c>
      <c r="K47" s="16" t="n">
        <v>247500</v>
      </c>
      <c r="L47" s="16" t="n">
        <v>9</v>
      </c>
      <c r="M47" s="17" t="n">
        <v>0.00111</v>
      </c>
      <c r="N47" s="18" t="n">
        <f aca="false">M47*25.4*0.5</f>
        <v>0.014097</v>
      </c>
      <c r="O47" s="16"/>
      <c r="P47" s="16"/>
    </row>
  </sheetData>
  <mergeCells count="1">
    <mergeCell ref="F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4.4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10.55"/>
    <col collapsed="false" customWidth="true" hidden="false" outlineLevel="0" max="4" min="4" style="0" width="10.11"/>
    <col collapsed="false" customWidth="true" hidden="false" outlineLevel="0" max="5" min="5" style="0" width="10.44"/>
    <col collapsed="false" customWidth="true" hidden="false" outlineLevel="0" max="6" min="6" style="0" width="13.11"/>
    <col collapsed="false" customWidth="true" hidden="false" outlineLevel="0" max="1025" min="7" style="0" width="8.51"/>
  </cols>
  <sheetData>
    <row r="1" customFormat="false" ht="14.4" hidden="false" customHeight="false" outlineLevel="0" collapsed="false">
      <c r="A1" s="302" t="s">
        <v>33</v>
      </c>
      <c r="B1" s="303"/>
      <c r="C1" s="303"/>
      <c r="D1" s="303"/>
      <c r="E1" s="303"/>
      <c r="F1" s="303"/>
      <c r="G1" s="303"/>
    </row>
    <row r="2" customFormat="false" ht="14.4" hidden="false" customHeight="false" outlineLevel="0" collapsed="false">
      <c r="A2" s="304" t="s">
        <v>1202</v>
      </c>
      <c r="B2" s="304" t="s">
        <v>1203</v>
      </c>
      <c r="C2" s="304" t="s">
        <v>1204</v>
      </c>
      <c r="D2" s="304" t="s">
        <v>1205</v>
      </c>
      <c r="E2" s="304" t="s">
        <v>1207</v>
      </c>
      <c r="F2" s="304" t="s">
        <v>1208</v>
      </c>
      <c r="G2" s="303"/>
    </row>
    <row r="3" customFormat="false" ht="14.4" hidden="false" customHeight="false" outlineLevel="0" collapsed="false">
      <c r="A3" s="303" t="n">
        <v>14</v>
      </c>
      <c r="B3" s="303" t="n">
        <v>0.01</v>
      </c>
      <c r="C3" s="303" t="n">
        <v>8.23640284312501E-008</v>
      </c>
      <c r="D3" s="303" t="n">
        <v>1.98983513427108</v>
      </c>
      <c r="E3" s="303"/>
      <c r="F3" s="303"/>
      <c r="G3" s="303"/>
    </row>
    <row r="4" customFormat="false" ht="14.4" hidden="false" customHeight="false" outlineLevel="0" collapsed="false">
      <c r="A4" s="303" t="n">
        <v>26</v>
      </c>
      <c r="B4" s="305" t="n">
        <v>0.01</v>
      </c>
      <c r="C4" s="306" t="n">
        <v>7.99329179051699E-007</v>
      </c>
      <c r="D4" s="306" t="n">
        <v>1.81894962401817</v>
      </c>
      <c r="E4" s="306"/>
      <c r="F4" s="306"/>
      <c r="G4" s="303"/>
    </row>
    <row r="5" customFormat="false" ht="14.4" hidden="false" customHeight="false" outlineLevel="0" collapsed="false">
      <c r="A5" s="303" t="n">
        <v>40</v>
      </c>
      <c r="B5" s="305" t="n">
        <v>0.01</v>
      </c>
      <c r="C5" s="306" t="n">
        <v>3.21868191937147E-006</v>
      </c>
      <c r="D5" s="306" t="n">
        <v>1.70391558510537</v>
      </c>
      <c r="E5" s="306"/>
      <c r="F5" s="306"/>
      <c r="G5" s="303"/>
    </row>
    <row r="6" customFormat="false" ht="14.4" hidden="false" customHeight="false" outlineLevel="0" collapsed="false">
      <c r="A6" s="303" t="n">
        <v>60</v>
      </c>
      <c r="B6" s="305" t="n">
        <v>0.01</v>
      </c>
      <c r="C6" s="306" t="n">
        <v>5.19337743558991E-006</v>
      </c>
      <c r="D6" s="306" t="n">
        <v>1.74887722619815</v>
      </c>
      <c r="E6" s="306"/>
      <c r="F6" s="306"/>
      <c r="G6" s="303"/>
    </row>
    <row r="7" customFormat="false" ht="14.4" hidden="false" customHeight="false" outlineLevel="0" collapsed="false">
      <c r="A7" s="303" t="n">
        <v>75</v>
      </c>
      <c r="B7" s="305" t="n">
        <v>0.01</v>
      </c>
      <c r="C7" s="306" t="n">
        <v>1.27422949579923E-005</v>
      </c>
      <c r="D7" s="306" t="n">
        <v>1.66440050054285</v>
      </c>
      <c r="E7" s="306"/>
      <c r="F7" s="306"/>
      <c r="G7" s="303"/>
    </row>
    <row r="8" customFormat="false" ht="14.4" hidden="false" customHeight="false" outlineLevel="0" collapsed="false">
      <c r="A8" s="303" t="n">
        <v>90</v>
      </c>
      <c r="B8" s="305" t="n">
        <v>0.01</v>
      </c>
      <c r="C8" s="306" t="n">
        <v>2.70235853812594E-005</v>
      </c>
      <c r="D8" s="306" t="n">
        <v>1.55788359413638</v>
      </c>
      <c r="E8" s="306"/>
      <c r="F8" s="306"/>
      <c r="G8" s="303"/>
    </row>
    <row r="9" customFormat="false" ht="14.4" hidden="false" customHeight="false" outlineLevel="0" collapsed="false">
      <c r="A9" s="303" t="n">
        <v>125</v>
      </c>
      <c r="B9" s="305" t="n">
        <v>0.01</v>
      </c>
      <c r="C9" s="306" t="n">
        <v>6.35387077396386E-005</v>
      </c>
      <c r="D9" s="306" t="n">
        <v>1.46227500352375</v>
      </c>
      <c r="E9" s="306"/>
      <c r="F9" s="306"/>
      <c r="G9" s="303"/>
    </row>
    <row r="10" customFormat="false" ht="14.4" hidden="false" customHeight="false" outlineLevel="0" collapsed="false">
      <c r="A10" s="304" t="s">
        <v>1206</v>
      </c>
      <c r="B10" s="304" t="s">
        <v>1203</v>
      </c>
      <c r="C10" s="304" t="s">
        <v>1204</v>
      </c>
      <c r="D10" s="304" t="s">
        <v>1205</v>
      </c>
      <c r="E10" s="304" t="s">
        <v>1207</v>
      </c>
      <c r="F10" s="304" t="s">
        <v>1208</v>
      </c>
      <c r="G10" s="304" t="s">
        <v>1209</v>
      </c>
    </row>
    <row r="11" customFormat="false" ht="14.4" hidden="false" customHeight="false" outlineLevel="0" collapsed="false">
      <c r="A11" s="303" t="n">
        <v>14</v>
      </c>
      <c r="B11" s="303"/>
      <c r="C11" s="303"/>
      <c r="D11" s="303"/>
      <c r="E11" s="303"/>
      <c r="F11" s="303"/>
      <c r="G11" s="303"/>
    </row>
    <row r="12" customFormat="false" ht="14.4" hidden="false" customHeight="false" outlineLevel="0" collapsed="false">
      <c r="A12" s="303" t="n">
        <v>26</v>
      </c>
      <c r="B12" s="306" t="n">
        <v>5.868E-005</v>
      </c>
      <c r="C12" s="306" t="n">
        <v>9.362E-005</v>
      </c>
      <c r="D12" s="306" t="n">
        <v>9.011E-006</v>
      </c>
      <c r="E12" s="306" t="n">
        <v>-0.0003682</v>
      </c>
      <c r="F12" s="306" t="n">
        <v>8.747E-006</v>
      </c>
      <c r="G12" s="305" t="n">
        <v>0.5</v>
      </c>
    </row>
    <row r="13" customFormat="false" ht="14.4" hidden="false" customHeight="false" outlineLevel="0" collapsed="false">
      <c r="A13" s="303" t="n">
        <v>40</v>
      </c>
      <c r="B13" s="306" t="n">
        <v>8.87E-005</v>
      </c>
      <c r="C13" s="306" t="n">
        <v>5.592E-005</v>
      </c>
      <c r="D13" s="306" t="n">
        <v>2.7E-005</v>
      </c>
      <c r="E13" s="306" t="n">
        <v>0.0002928</v>
      </c>
      <c r="F13" s="306" t="n">
        <v>2.574E-005</v>
      </c>
      <c r="G13" s="305" t="n">
        <v>0.5</v>
      </c>
    </row>
    <row r="14" customFormat="false" ht="14.4" hidden="false" customHeight="false" outlineLevel="0" collapsed="false">
      <c r="A14" s="303" t="n">
        <v>60</v>
      </c>
      <c r="B14" s="306" t="n">
        <v>0.0001658</v>
      </c>
      <c r="C14" s="306" t="n">
        <v>2.301E-005</v>
      </c>
      <c r="D14" s="306" t="n">
        <v>7.297E-005</v>
      </c>
      <c r="E14" s="306" t="n">
        <v>0.005906</v>
      </c>
      <c r="F14" s="306" t="n">
        <v>6.053E-005</v>
      </c>
      <c r="G14" s="305" t="n">
        <v>0.5</v>
      </c>
    </row>
    <row r="15" customFormat="false" ht="14.4" hidden="false" customHeight="false" outlineLevel="0" collapsed="false">
      <c r="A15" s="303" t="n">
        <v>75</v>
      </c>
      <c r="B15" s="306" t="n">
        <v>1.433E-005</v>
      </c>
      <c r="C15" s="306" t="n">
        <v>9.724E-005</v>
      </c>
      <c r="D15" s="306" t="n">
        <v>0.0001323</v>
      </c>
      <c r="E15" s="306" t="n">
        <v>0.007255</v>
      </c>
      <c r="F15" s="306" t="n">
        <v>0.0001131</v>
      </c>
      <c r="G15" s="305" t="n">
        <v>0.5</v>
      </c>
    </row>
    <row r="16" customFormat="false" ht="14.4" hidden="false" customHeight="false" outlineLevel="0" collapsed="false">
      <c r="A16" s="303" t="n">
        <v>90</v>
      </c>
      <c r="B16" s="306" t="n">
        <v>0.000566</v>
      </c>
      <c r="C16" s="306" t="n">
        <v>-0.0001216</v>
      </c>
      <c r="D16" s="306" t="n">
        <v>0.0001974</v>
      </c>
      <c r="E16" s="306" t="n">
        <v>0.007278</v>
      </c>
      <c r="F16" s="306" t="n">
        <v>0.0001698</v>
      </c>
      <c r="G16" s="305" t="n">
        <v>0.5</v>
      </c>
    </row>
    <row r="17" customFormat="false" ht="14.4" hidden="false" customHeight="false" outlineLevel="0" collapsed="false">
      <c r="A17" s="303" t="n">
        <v>125</v>
      </c>
      <c r="B17" s="306" t="n">
        <v>7.808E-005</v>
      </c>
      <c r="C17" s="307" t="n">
        <v>0.0005088</v>
      </c>
      <c r="D17" s="307" t="n">
        <v>0.0002595</v>
      </c>
      <c r="E17" s="307" t="n">
        <v>0.003922</v>
      </c>
      <c r="F17" s="307" t="n">
        <v>0.0002285</v>
      </c>
      <c r="G17" s="305" t="n">
        <v>0.5</v>
      </c>
    </row>
    <row r="18" customFormat="false" ht="14.4" hidden="false" customHeight="false" outlineLevel="0" collapsed="false">
      <c r="A18" s="304" t="s">
        <v>1084</v>
      </c>
      <c r="B18" s="304" t="s">
        <v>1203</v>
      </c>
      <c r="C18" s="304" t="s">
        <v>1204</v>
      </c>
      <c r="D18" s="304" t="s">
        <v>1205</v>
      </c>
      <c r="E18" s="303"/>
      <c r="F18" s="303"/>
      <c r="G18" s="303"/>
    </row>
    <row r="19" customFormat="false" ht="14.4" hidden="false" customHeight="false" outlineLevel="0" collapsed="false">
      <c r="A19" s="303" t="n">
        <v>14</v>
      </c>
      <c r="B19" s="303"/>
      <c r="C19" s="303"/>
      <c r="D19" s="303"/>
      <c r="E19" s="303"/>
      <c r="F19" s="303"/>
      <c r="G19" s="303"/>
    </row>
    <row r="20" customFormat="false" ht="14.4" hidden="false" customHeight="false" outlineLevel="0" collapsed="false">
      <c r="A20" s="303" t="n">
        <v>26</v>
      </c>
      <c r="B20" s="303" t="n">
        <v>120</v>
      </c>
      <c r="C20" s="303" t="n">
        <v>2.09</v>
      </c>
      <c r="D20" s="303" t="n">
        <v>1.46</v>
      </c>
      <c r="E20" s="303"/>
      <c r="F20" s="303"/>
      <c r="G20" s="303"/>
    </row>
    <row r="21" customFormat="false" ht="14.4" hidden="false" customHeight="false" outlineLevel="0" collapsed="false">
      <c r="A21" s="303" t="n">
        <v>40</v>
      </c>
      <c r="B21" s="303" t="n">
        <v>120</v>
      </c>
      <c r="C21" s="303" t="n">
        <v>2.09</v>
      </c>
      <c r="D21" s="303" t="n">
        <v>1.46</v>
      </c>
      <c r="E21" s="303"/>
      <c r="F21" s="303"/>
      <c r="G21" s="303"/>
    </row>
    <row r="22" customFormat="false" ht="14.4" hidden="false" customHeight="false" outlineLevel="0" collapsed="false">
      <c r="A22" s="303" t="n">
        <v>60</v>
      </c>
      <c r="B22" s="303" t="n">
        <v>193</v>
      </c>
      <c r="C22" s="303" t="n">
        <v>2.01</v>
      </c>
      <c r="D22" s="303" t="n">
        <v>1.29</v>
      </c>
      <c r="E22" s="303"/>
      <c r="F22" s="303"/>
      <c r="G22" s="303"/>
    </row>
    <row r="23" customFormat="false" ht="14.4" hidden="false" customHeight="false" outlineLevel="0" collapsed="false">
      <c r="A23" s="303" t="n">
        <v>75</v>
      </c>
      <c r="B23" s="303" t="n">
        <v>193</v>
      </c>
      <c r="C23" s="303" t="n">
        <v>2.01</v>
      </c>
      <c r="D23" s="303" t="n">
        <v>1.29</v>
      </c>
      <c r="E23" s="303"/>
      <c r="F23" s="303"/>
      <c r="G23" s="303"/>
    </row>
    <row r="24" customFormat="false" ht="14.4" hidden="false" customHeight="false" outlineLevel="0" collapsed="false">
      <c r="A24" s="303" t="n">
        <v>90</v>
      </c>
      <c r="B24" s="303" t="n">
        <v>193</v>
      </c>
      <c r="C24" s="303" t="n">
        <v>2.01</v>
      </c>
      <c r="D24" s="303" t="n">
        <v>1.29</v>
      </c>
      <c r="E24" s="303"/>
      <c r="F24" s="303"/>
      <c r="G24" s="303"/>
    </row>
    <row r="25" customFormat="false" ht="14.4" hidden="false" customHeight="false" outlineLevel="0" collapsed="false">
      <c r="A25" s="303" t="n">
        <v>125</v>
      </c>
      <c r="B25" s="303" t="n">
        <v>91.58</v>
      </c>
      <c r="C25" s="303" t="n">
        <v>2.2</v>
      </c>
      <c r="D25" s="303" t="n">
        <v>1.63</v>
      </c>
      <c r="E25" s="303"/>
      <c r="F25" s="303"/>
      <c r="G25" s="30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4.4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10.88"/>
    <col collapsed="false" customWidth="true" hidden="false" outlineLevel="0" max="3" min="3" style="0" width="9.66"/>
    <col collapsed="false" customWidth="true" hidden="false" outlineLevel="0" max="4" min="4" style="0" width="10.44"/>
    <col collapsed="false" customWidth="true" hidden="false" outlineLevel="0" max="5" min="5" style="0" width="10.55"/>
    <col collapsed="false" customWidth="true" hidden="false" outlineLevel="0" max="6" min="6" style="0" width="11.89"/>
    <col collapsed="false" customWidth="true" hidden="false" outlineLevel="0" max="1025" min="7" style="0" width="8.51"/>
  </cols>
  <sheetData>
    <row r="1" customFormat="false" ht="14.4" hidden="false" customHeight="false" outlineLevel="0" collapsed="false">
      <c r="A1" s="302" t="s">
        <v>50</v>
      </c>
      <c r="B1" s="303"/>
      <c r="C1" s="303"/>
      <c r="D1" s="303"/>
      <c r="E1" s="303"/>
      <c r="F1" s="303"/>
      <c r="G1" s="303"/>
    </row>
    <row r="2" customFormat="false" ht="14.4" hidden="false" customHeight="false" outlineLevel="0" collapsed="false">
      <c r="A2" s="304" t="s">
        <v>1202</v>
      </c>
      <c r="B2" s="304" t="s">
        <v>1203</v>
      </c>
      <c r="C2" s="304" t="s">
        <v>1204</v>
      </c>
      <c r="D2" s="304" t="s">
        <v>1205</v>
      </c>
      <c r="E2" s="304" t="s">
        <v>1207</v>
      </c>
      <c r="F2" s="304" t="s">
        <v>1208</v>
      </c>
      <c r="G2" s="303"/>
    </row>
    <row r="3" customFormat="false" ht="14.4" hidden="false" customHeight="false" outlineLevel="0" collapsed="false">
      <c r="A3" s="303" t="n">
        <v>14</v>
      </c>
      <c r="B3" s="305" t="n">
        <v>0.01</v>
      </c>
      <c r="C3" s="306" t="n">
        <v>2.44179750076633E-009</v>
      </c>
      <c r="D3" s="306" t="n">
        <v>2.59583004074553</v>
      </c>
      <c r="E3" s="306"/>
      <c r="F3" s="306"/>
      <c r="G3" s="303"/>
    </row>
    <row r="4" customFormat="false" ht="14.4" hidden="false" customHeight="false" outlineLevel="0" collapsed="false">
      <c r="A4" s="303" t="n">
        <v>26</v>
      </c>
      <c r="B4" s="305" t="n">
        <v>0.01</v>
      </c>
      <c r="C4" s="306" t="n">
        <v>1.9359138649419E-008</v>
      </c>
      <c r="D4" s="306" t="n">
        <v>2.50511626523904</v>
      </c>
      <c r="E4" s="306"/>
      <c r="F4" s="306"/>
      <c r="G4" s="303"/>
    </row>
    <row r="5" customFormat="false" ht="14.4" hidden="false" customHeight="false" outlineLevel="0" collapsed="false">
      <c r="A5" s="303" t="n">
        <v>60</v>
      </c>
      <c r="B5" s="305" t="n">
        <v>0.01</v>
      </c>
      <c r="C5" s="306" t="n">
        <v>2.03764248079732E-007</v>
      </c>
      <c r="D5" s="306" t="n">
        <v>2.43596499955113</v>
      </c>
      <c r="E5" s="306"/>
      <c r="F5" s="306"/>
      <c r="G5" s="303"/>
    </row>
    <row r="6" customFormat="false" ht="14.4" hidden="false" customHeight="false" outlineLevel="0" collapsed="false">
      <c r="A6" s="303" t="n">
        <v>125</v>
      </c>
      <c r="B6" s="305" t="n">
        <v>0.01</v>
      </c>
      <c r="C6" s="306" t="n">
        <v>1.96711260614526E-006</v>
      </c>
      <c r="D6" s="306" t="n">
        <v>2.25345696165796</v>
      </c>
      <c r="E6" s="306"/>
      <c r="F6" s="306"/>
      <c r="G6" s="303"/>
    </row>
    <row r="7" customFormat="false" ht="14.4" hidden="false" customHeight="false" outlineLevel="0" collapsed="false">
      <c r="A7" s="303" t="n">
        <v>147</v>
      </c>
      <c r="B7" s="305" t="n">
        <v>0.01</v>
      </c>
      <c r="C7" s="306" t="n">
        <v>1.59206771451325E-006</v>
      </c>
      <c r="D7" s="306" t="n">
        <v>2.42977276991549</v>
      </c>
      <c r="E7" s="306"/>
      <c r="F7" s="306"/>
      <c r="G7" s="303"/>
    </row>
    <row r="8" customFormat="false" ht="14.4" hidden="false" customHeight="false" outlineLevel="0" collapsed="false">
      <c r="A8" s="303" t="n">
        <v>160</v>
      </c>
      <c r="B8" s="305" t="n">
        <v>0.01</v>
      </c>
      <c r="C8" s="306" t="n">
        <v>1.68135311498668E-006</v>
      </c>
      <c r="D8" s="306" t="n">
        <v>2.47722525169333</v>
      </c>
      <c r="E8" s="306"/>
      <c r="F8" s="306"/>
      <c r="G8" s="303"/>
    </row>
    <row r="9" customFormat="false" ht="14.4" hidden="false" customHeight="false" outlineLevel="0" collapsed="false">
      <c r="A9" s="303" t="n">
        <v>173</v>
      </c>
      <c r="B9" s="305" t="n">
        <v>0.01</v>
      </c>
      <c r="C9" s="306" t="n">
        <v>1.45447601990574E-006</v>
      </c>
      <c r="D9" s="306" t="n">
        <v>2.5633835280555</v>
      </c>
      <c r="E9" s="306"/>
      <c r="F9" s="306"/>
      <c r="G9" s="303"/>
    </row>
    <row r="10" customFormat="false" ht="14.4" hidden="false" customHeight="false" outlineLevel="0" collapsed="false">
      <c r="A10" s="303" t="n">
        <v>200</v>
      </c>
      <c r="B10" s="305" t="n">
        <v>0.01</v>
      </c>
      <c r="C10" s="306" t="n">
        <v>2.64124516464493E-006</v>
      </c>
      <c r="D10" s="306" t="n">
        <v>2.47722525169333</v>
      </c>
      <c r="E10" s="306"/>
      <c r="F10" s="306"/>
      <c r="G10" s="303"/>
    </row>
    <row r="11" customFormat="false" ht="14.4" hidden="false" customHeight="false" outlineLevel="0" collapsed="false">
      <c r="A11" s="303" t="n">
        <v>300</v>
      </c>
      <c r="B11" s="305" t="n">
        <v>0.01</v>
      </c>
      <c r="C11" s="306" t="n">
        <v>1.85624208577873E-005</v>
      </c>
      <c r="D11" s="306" t="n">
        <v>2.21556862679711</v>
      </c>
      <c r="E11" s="306"/>
      <c r="F11" s="306"/>
      <c r="G11" s="303"/>
    </row>
    <row r="12" customFormat="false" ht="14.4" hidden="false" customHeight="false" outlineLevel="0" collapsed="false">
      <c r="A12" s="303" t="n">
        <v>550</v>
      </c>
      <c r="B12" s="305" t="n">
        <v>0.01</v>
      </c>
      <c r="C12" s="306" t="n">
        <v>0.000828491613187514</v>
      </c>
      <c r="D12" s="306" t="n">
        <v>1.70951129135145</v>
      </c>
      <c r="E12" s="306"/>
      <c r="F12" s="306"/>
      <c r="G12" s="303"/>
    </row>
    <row r="13" customFormat="false" ht="14.4" hidden="false" customHeight="false" outlineLevel="0" collapsed="false">
      <c r="A13" s="304" t="s">
        <v>1206</v>
      </c>
      <c r="B13" s="304" t="s">
        <v>1203</v>
      </c>
      <c r="C13" s="304" t="s">
        <v>1204</v>
      </c>
      <c r="D13" s="304" t="s">
        <v>1205</v>
      </c>
      <c r="E13" s="304" t="s">
        <v>1207</v>
      </c>
      <c r="F13" s="304" t="s">
        <v>1208</v>
      </c>
      <c r="G13" s="304" t="s">
        <v>1209</v>
      </c>
    </row>
    <row r="14" customFormat="false" ht="14.4" hidden="false" customHeight="false" outlineLevel="0" collapsed="false">
      <c r="A14" s="303" t="n">
        <v>14</v>
      </c>
      <c r="B14" s="306" t="n">
        <v>-7.507</v>
      </c>
      <c r="C14" s="306" t="n">
        <v>6.573</v>
      </c>
      <c r="D14" s="306" t="n">
        <v>0.4619</v>
      </c>
      <c r="E14" s="306" t="n">
        <v>77.77</v>
      </c>
      <c r="F14" s="306" t="n">
        <v>0.4987</v>
      </c>
      <c r="G14" s="305" t="n">
        <v>2</v>
      </c>
    </row>
    <row r="15" customFormat="false" ht="14.4" hidden="false" customHeight="false" outlineLevel="0" collapsed="false">
      <c r="A15" s="303" t="n">
        <v>26</v>
      </c>
      <c r="B15" s="306" t="n">
        <v>0.06679</v>
      </c>
      <c r="C15" s="306" t="n">
        <v>0.01105</v>
      </c>
      <c r="D15" s="306" t="n">
        <v>-1.136E-005</v>
      </c>
      <c r="E15" s="306" t="n">
        <v>0.01112</v>
      </c>
      <c r="F15" s="306" t="n">
        <v>-1.233E-005</v>
      </c>
      <c r="G15" s="305" t="n">
        <v>2</v>
      </c>
    </row>
    <row r="16" customFormat="false" ht="14.4" hidden="false" customHeight="false" outlineLevel="0" collapsed="false">
      <c r="A16" s="303" t="n">
        <v>60</v>
      </c>
      <c r="B16" s="306" t="n">
        <v>0.08146</v>
      </c>
      <c r="C16" s="306" t="n">
        <v>0.02345</v>
      </c>
      <c r="D16" s="306" t="n">
        <v>6.032E-005</v>
      </c>
      <c r="E16" s="306" t="n">
        <v>0.02476</v>
      </c>
      <c r="F16" s="306" t="n">
        <v>7.185E-005</v>
      </c>
      <c r="G16" s="305" t="n">
        <v>2</v>
      </c>
    </row>
    <row r="17" customFormat="false" ht="14.4" hidden="false" customHeight="false" outlineLevel="0" collapsed="false">
      <c r="A17" s="303" t="n">
        <v>125</v>
      </c>
      <c r="B17" s="306" t="n">
        <v>0.000642</v>
      </c>
      <c r="C17" s="306" t="n">
        <v>-0.0006271</v>
      </c>
      <c r="D17" s="306" t="n">
        <v>0.0003253</v>
      </c>
      <c r="E17" s="306" t="n">
        <v>0.009901</v>
      </c>
      <c r="F17" s="306" t="n">
        <v>0.0005366</v>
      </c>
      <c r="G17" s="305" t="n">
        <v>0.5</v>
      </c>
    </row>
    <row r="18" customFormat="false" ht="14.4" hidden="false" customHeight="false" outlineLevel="0" collapsed="false">
      <c r="A18" s="303" t="n">
        <v>147</v>
      </c>
      <c r="B18" s="306" t="n">
        <v>0.000653</v>
      </c>
      <c r="C18" s="306" t="n">
        <v>-0.0007301</v>
      </c>
      <c r="D18" s="306" t="n">
        <v>0.0004516</v>
      </c>
      <c r="E18" s="306" t="n">
        <v>0.01583</v>
      </c>
      <c r="F18" s="306" t="n">
        <v>0.0007185</v>
      </c>
      <c r="G18" s="305" t="n">
        <v>0.5</v>
      </c>
    </row>
    <row r="19" customFormat="false" ht="14.4" hidden="false" customHeight="false" outlineLevel="0" collapsed="false">
      <c r="A19" s="303" t="n">
        <v>160</v>
      </c>
      <c r="B19" s="306" t="n">
        <v>0.000447</v>
      </c>
      <c r="C19" s="306" t="n">
        <v>-0.0005579</v>
      </c>
      <c r="D19" s="306" t="n">
        <v>0.0005211</v>
      </c>
      <c r="E19" s="306" t="n">
        <v>0.01002</v>
      </c>
      <c r="F19" s="306" t="n">
        <v>0.0008164</v>
      </c>
      <c r="G19" s="305" t="n">
        <v>0.5</v>
      </c>
    </row>
    <row r="20" customFormat="false" ht="14.4" hidden="false" customHeight="false" outlineLevel="0" collapsed="false">
      <c r="A20" s="303" t="n">
        <v>173</v>
      </c>
      <c r="B20" s="306" t="n">
        <v>0.000545</v>
      </c>
      <c r="C20" s="306" t="n">
        <v>-0.0007716</v>
      </c>
      <c r="D20" s="306" t="n">
        <v>0.0006506</v>
      </c>
      <c r="E20" s="306" t="n">
        <v>0.006875</v>
      </c>
      <c r="F20" s="306" t="n">
        <v>0.001019</v>
      </c>
      <c r="G20" s="305" t="n">
        <v>0.5</v>
      </c>
    </row>
    <row r="21" customFormat="false" ht="14.4" hidden="false" customHeight="false" outlineLevel="0" collapsed="false">
      <c r="A21" s="303" t="n">
        <v>200</v>
      </c>
      <c r="B21" s="306" t="n">
        <v>0.001001</v>
      </c>
      <c r="C21" s="306" t="n">
        <v>-0.00145</v>
      </c>
      <c r="D21" s="306" t="n">
        <v>0.0009127</v>
      </c>
      <c r="E21" s="306" t="n">
        <v>0.006057</v>
      </c>
      <c r="F21" s="306" t="n">
        <v>0.001428</v>
      </c>
      <c r="G21" s="305" t="n">
        <v>0.5</v>
      </c>
    </row>
    <row r="22" customFormat="false" ht="14.4" hidden="false" customHeight="false" outlineLevel="0" collapsed="false">
      <c r="A22" s="303" t="n">
        <v>300</v>
      </c>
      <c r="B22" s="306" t="n">
        <v>0.00094</v>
      </c>
      <c r="C22" s="306" t="n">
        <v>-0.001543</v>
      </c>
      <c r="D22" s="306" t="n">
        <v>0.00199</v>
      </c>
      <c r="E22" s="306" t="n">
        <v>0.024</v>
      </c>
      <c r="F22" s="306" t="n">
        <v>0.003073</v>
      </c>
      <c r="G22" s="305" t="n">
        <v>0.5</v>
      </c>
    </row>
    <row r="23" customFormat="false" ht="14.4" hidden="false" customHeight="false" outlineLevel="0" collapsed="false">
      <c r="A23" s="303" t="n">
        <v>550</v>
      </c>
      <c r="B23" s="306" t="n">
        <v>0.00073</v>
      </c>
      <c r="C23" s="306" t="n">
        <v>-0.001509</v>
      </c>
      <c r="D23" s="306" t="n">
        <v>0.006482</v>
      </c>
      <c r="E23" s="306" t="n">
        <v>0.06371</v>
      </c>
      <c r="F23" s="306" t="n">
        <v>0.009933</v>
      </c>
      <c r="G23" s="305" t="n">
        <v>0.5</v>
      </c>
    </row>
    <row r="24" customFormat="false" ht="14.4" hidden="false" customHeight="false" outlineLevel="0" collapsed="false">
      <c r="A24" s="304" t="s">
        <v>1084</v>
      </c>
      <c r="B24" s="304" t="s">
        <v>1203</v>
      </c>
      <c r="C24" s="304" t="s">
        <v>1204</v>
      </c>
      <c r="D24" s="304" t="s">
        <v>1205</v>
      </c>
      <c r="E24" s="303"/>
      <c r="F24" s="303"/>
      <c r="G24" s="303"/>
    </row>
    <row r="25" customFormat="false" ht="14.4" hidden="false" customHeight="false" outlineLevel="0" collapsed="false">
      <c r="A25" s="303" t="n">
        <v>14</v>
      </c>
      <c r="B25" s="303" t="n">
        <v>115.9</v>
      </c>
      <c r="C25" s="303" t="n">
        <v>2.5</v>
      </c>
      <c r="D25" s="303" t="n">
        <v>1.87</v>
      </c>
      <c r="E25" s="303"/>
      <c r="F25" s="303"/>
      <c r="G25" s="303"/>
    </row>
    <row r="26" customFormat="false" ht="14.4" hidden="false" customHeight="false" outlineLevel="0" collapsed="false">
      <c r="A26" s="303" t="n">
        <v>26</v>
      </c>
      <c r="B26" s="303" t="n">
        <v>70.83</v>
      </c>
      <c r="C26" s="303" t="n">
        <v>2.34</v>
      </c>
      <c r="D26" s="303" t="n">
        <v>1.65</v>
      </c>
      <c r="E26" s="303"/>
      <c r="F26" s="303"/>
      <c r="G26" s="303"/>
    </row>
    <row r="27" customFormat="false" ht="14.4" hidden="false" customHeight="false" outlineLevel="0" collapsed="false">
      <c r="A27" s="303" t="n">
        <v>60</v>
      </c>
      <c r="B27" s="303" t="n">
        <v>357.1</v>
      </c>
      <c r="C27" s="303" t="n">
        <v>2.05</v>
      </c>
      <c r="D27" s="303" t="n">
        <v>1.12</v>
      </c>
      <c r="E27" s="303"/>
      <c r="F27" s="303"/>
      <c r="G27" s="303"/>
    </row>
    <row r="28" customFormat="false" ht="14.4" hidden="false" customHeight="false" outlineLevel="0" collapsed="false">
      <c r="A28" s="303" t="n">
        <v>125</v>
      </c>
      <c r="B28" s="303" t="n">
        <v>53.05</v>
      </c>
      <c r="C28" s="303" t="n">
        <v>2.06</v>
      </c>
      <c r="D28" s="303" t="n">
        <v>1.56</v>
      </c>
      <c r="E28" s="303"/>
      <c r="F28" s="303"/>
      <c r="G28" s="303"/>
    </row>
    <row r="29" customFormat="false" ht="14.4" hidden="false" customHeight="false" outlineLevel="0" collapsed="false">
      <c r="A29" s="303" t="n">
        <v>147</v>
      </c>
      <c r="B29" s="303" t="n">
        <v>52.16</v>
      </c>
      <c r="C29" s="303" t="n">
        <v>2</v>
      </c>
      <c r="D29" s="303" t="n">
        <v>1.57</v>
      </c>
      <c r="E29" s="303"/>
      <c r="F29" s="303"/>
      <c r="G29" s="303"/>
    </row>
    <row r="30" customFormat="false" ht="14.4" hidden="false" customHeight="false" outlineLevel="0" collapsed="false">
      <c r="A30" s="303" t="n">
        <v>160</v>
      </c>
      <c r="B30" s="303" t="n">
        <v>52.16</v>
      </c>
      <c r="C30" s="303" t="n">
        <v>2</v>
      </c>
      <c r="D30" s="303" t="n">
        <v>1.57</v>
      </c>
      <c r="E30" s="303"/>
      <c r="F30" s="303"/>
      <c r="G30" s="303"/>
    </row>
    <row r="31" customFormat="false" ht="14.4" hidden="false" customHeight="false" outlineLevel="0" collapsed="false">
      <c r="A31" s="303" t="n">
        <v>173</v>
      </c>
      <c r="B31" s="303" t="n">
        <v>52.16</v>
      </c>
      <c r="C31" s="303" t="n">
        <v>2</v>
      </c>
      <c r="D31" s="303" t="n">
        <v>1.57</v>
      </c>
      <c r="E31" s="303"/>
      <c r="F31" s="303"/>
      <c r="G31" s="303"/>
    </row>
    <row r="32" customFormat="false" ht="14.4" hidden="false" customHeight="false" outlineLevel="0" collapsed="false">
      <c r="A32" s="303" t="n">
        <v>200</v>
      </c>
      <c r="B32" s="303" t="n">
        <v>37.97</v>
      </c>
      <c r="C32" s="303" t="n">
        <v>2.09</v>
      </c>
      <c r="D32" s="303" t="n">
        <v>1.68</v>
      </c>
      <c r="E32" s="303"/>
      <c r="F32" s="303"/>
      <c r="G32" s="303"/>
    </row>
    <row r="33" customFormat="false" ht="14.4" hidden="false" customHeight="false" outlineLevel="0" collapsed="false">
      <c r="A33" s="303" t="n">
        <v>300</v>
      </c>
      <c r="B33" s="303" t="n">
        <v>37.97</v>
      </c>
      <c r="C33" s="303" t="n">
        <v>2.09</v>
      </c>
      <c r="D33" s="303" t="n">
        <v>1.68</v>
      </c>
      <c r="E33" s="303"/>
      <c r="F33" s="303"/>
      <c r="G33" s="303"/>
    </row>
    <row r="34" customFormat="false" ht="14.4" hidden="false" customHeight="false" outlineLevel="0" collapsed="false">
      <c r="A34" s="303" t="n">
        <v>550</v>
      </c>
      <c r="B34" s="303" t="n">
        <v>181</v>
      </c>
      <c r="C34" s="303" t="n">
        <v>2.13</v>
      </c>
      <c r="D34" s="303" t="n">
        <v>1.47</v>
      </c>
      <c r="E34" s="303"/>
      <c r="F34" s="303"/>
      <c r="G34" s="30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3" activeCellId="0" sqref="E3"/>
    </sheetView>
  </sheetViews>
  <sheetFormatPr defaultRowHeight="14.4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10.44"/>
    <col collapsed="false" customWidth="true" hidden="false" outlineLevel="0" max="3" min="3" style="0" width="10.33"/>
    <col collapsed="false" customWidth="true" hidden="false" outlineLevel="0" max="4" min="4" style="0" width="12.11"/>
    <col collapsed="false" customWidth="true" hidden="false" outlineLevel="0" max="5" min="5" style="0" width="10.44"/>
    <col collapsed="false" customWidth="true" hidden="false" outlineLevel="0" max="6" min="6" style="0" width="12.33"/>
    <col collapsed="false" customWidth="true" hidden="false" outlineLevel="0" max="1025" min="7" style="0" width="8.51"/>
  </cols>
  <sheetData>
    <row r="1" customFormat="false" ht="14.4" hidden="false" customHeight="false" outlineLevel="0" collapsed="false">
      <c r="A1" s="302" t="s">
        <v>72</v>
      </c>
      <c r="B1" s="303"/>
      <c r="C1" s="303"/>
      <c r="D1" s="303"/>
      <c r="E1" s="303"/>
      <c r="F1" s="303"/>
      <c r="G1" s="303"/>
    </row>
    <row r="2" customFormat="false" ht="14.4" hidden="false" customHeight="false" outlineLevel="0" collapsed="false">
      <c r="A2" s="304" t="s">
        <v>1202</v>
      </c>
      <c r="B2" s="304" t="s">
        <v>1203</v>
      </c>
      <c r="C2" s="304" t="s">
        <v>1204</v>
      </c>
      <c r="D2" s="304" t="s">
        <v>1205</v>
      </c>
      <c r="E2" s="304" t="s">
        <v>1207</v>
      </c>
      <c r="F2" s="304" t="s">
        <v>1208</v>
      </c>
      <c r="G2" s="303"/>
    </row>
    <row r="3" customFormat="false" ht="14.4" hidden="false" customHeight="false" outlineLevel="0" collapsed="false">
      <c r="A3" s="303" t="n">
        <v>14</v>
      </c>
      <c r="B3" s="305" t="n">
        <v>0.01</v>
      </c>
      <c r="C3" s="306" t="n">
        <v>3.80747736071331E-008</v>
      </c>
      <c r="D3" s="306" t="n">
        <v>1.99065734238349</v>
      </c>
      <c r="E3" s="306"/>
      <c r="F3" s="306"/>
      <c r="G3" s="303"/>
    </row>
    <row r="4" customFormat="false" ht="14.4" hidden="false" customHeight="false" outlineLevel="0" collapsed="false">
      <c r="A4" s="303" t="n">
        <v>26</v>
      </c>
      <c r="B4" s="305" t="n">
        <v>0.01</v>
      </c>
      <c r="C4" s="306" t="n">
        <v>7.19262458284059E-008</v>
      </c>
      <c r="D4" s="306" t="n">
        <v>2.06897375862189</v>
      </c>
      <c r="E4" s="306"/>
      <c r="F4" s="306"/>
      <c r="G4" s="303"/>
    </row>
    <row r="5" customFormat="false" ht="14.4" hidden="false" customHeight="false" outlineLevel="0" collapsed="false">
      <c r="A5" s="303" t="n">
        <v>60</v>
      </c>
      <c r="B5" s="305" t="n">
        <v>0.01</v>
      </c>
      <c r="C5" s="306" t="n">
        <v>2.58715488815208E-007</v>
      </c>
      <c r="D5" s="306" t="n">
        <v>2.16595851751039</v>
      </c>
      <c r="E5" s="306"/>
      <c r="F5" s="306"/>
      <c r="G5" s="303"/>
    </row>
    <row r="6" customFormat="false" ht="14.4" hidden="false" customHeight="false" outlineLevel="0" collapsed="false">
      <c r="A6" s="303" t="n">
        <v>125</v>
      </c>
      <c r="B6" s="305" t="n">
        <v>0.01</v>
      </c>
      <c r="C6" s="306" t="n">
        <v>1.46097273069032E-006</v>
      </c>
      <c r="D6" s="306" t="n">
        <v>2.1079820627935</v>
      </c>
      <c r="E6" s="306"/>
      <c r="F6" s="306"/>
      <c r="G6" s="303"/>
    </row>
    <row r="7" customFormat="false" ht="14.4" hidden="false" customHeight="false" outlineLevel="0" collapsed="false">
      <c r="A7" s="303" t="n">
        <v>147</v>
      </c>
      <c r="B7" s="305" t="n">
        <v>0.01</v>
      </c>
      <c r="C7" s="306" t="n">
        <v>1.96796905026758E-006</v>
      </c>
      <c r="D7" s="306" t="n">
        <v>2.13083439227476</v>
      </c>
      <c r="E7" s="306"/>
      <c r="F7" s="306"/>
      <c r="G7" s="303"/>
    </row>
    <row r="8" customFormat="false" ht="14.4" hidden="false" customHeight="false" outlineLevel="0" collapsed="false">
      <c r="A8" s="303" t="n">
        <v>160</v>
      </c>
      <c r="B8" s="305" t="n">
        <v>0.01</v>
      </c>
      <c r="C8" s="306" t="n">
        <v>2.75470530383089E-006</v>
      </c>
      <c r="D8" s="306" t="n">
        <v>2.0944335903464</v>
      </c>
      <c r="E8" s="306"/>
      <c r="F8" s="306"/>
      <c r="G8" s="303"/>
    </row>
    <row r="9" customFormat="false" ht="14.4" hidden="false" customHeight="false" outlineLevel="0" collapsed="false">
      <c r="A9" s="304" t="s">
        <v>1206</v>
      </c>
      <c r="B9" s="304" t="s">
        <v>1203</v>
      </c>
      <c r="C9" s="304" t="s">
        <v>1204</v>
      </c>
      <c r="D9" s="304" t="s">
        <v>1205</v>
      </c>
      <c r="E9" s="304" t="s">
        <v>1207</v>
      </c>
      <c r="F9" s="304" t="s">
        <v>1208</v>
      </c>
      <c r="G9" s="304" t="s">
        <v>1209</v>
      </c>
    </row>
    <row r="10" customFormat="false" ht="14.4" hidden="false" customHeight="false" outlineLevel="0" collapsed="false">
      <c r="A10" s="303" t="n">
        <v>14</v>
      </c>
      <c r="B10" s="306" t="n">
        <v>-0.05945</v>
      </c>
      <c r="C10" s="306" t="n">
        <v>0.008703</v>
      </c>
      <c r="D10" s="306" t="n">
        <v>0.0003623</v>
      </c>
      <c r="E10" s="306" t="n">
        <v>0.0529</v>
      </c>
      <c r="F10" s="306" t="n">
        <v>0.0003474</v>
      </c>
      <c r="G10" s="305" t="n">
        <v>2</v>
      </c>
    </row>
    <row r="11" customFormat="false" ht="14.4" hidden="false" customHeight="false" outlineLevel="0" collapsed="false">
      <c r="A11" s="303" t="n">
        <v>26</v>
      </c>
      <c r="B11" s="306" t="n">
        <v>-0.04067</v>
      </c>
      <c r="C11" s="306" t="n">
        <v>0.01637</v>
      </c>
      <c r="D11" s="306" t="n">
        <v>0.0003742</v>
      </c>
      <c r="E11" s="306" t="n">
        <v>0.05316</v>
      </c>
      <c r="F11" s="306" t="n">
        <v>0.0003413</v>
      </c>
      <c r="G11" s="305" t="n">
        <v>2</v>
      </c>
    </row>
    <row r="12" customFormat="false" ht="14.4" hidden="false" customHeight="false" outlineLevel="0" collapsed="false">
      <c r="A12" s="303" t="n">
        <v>60</v>
      </c>
      <c r="B12" s="306" t="n">
        <v>-0.1695</v>
      </c>
      <c r="C12" s="306" t="n">
        <v>0.1215</v>
      </c>
      <c r="D12" s="306" t="n">
        <v>0.01213</v>
      </c>
      <c r="E12" s="306" t="n">
        <v>0.6938</v>
      </c>
      <c r="F12" s="306" t="n">
        <v>0.01016</v>
      </c>
      <c r="G12" s="305" t="n">
        <v>2</v>
      </c>
    </row>
    <row r="13" customFormat="false" ht="14.4" hidden="false" customHeight="false" outlineLevel="0" collapsed="false">
      <c r="A13" s="303" t="n">
        <v>125</v>
      </c>
      <c r="B13" s="306" t="n">
        <v>0.000532</v>
      </c>
      <c r="C13" s="306" t="n">
        <v>-0.0006811</v>
      </c>
      <c r="D13" s="306" t="n">
        <v>0.0003506</v>
      </c>
      <c r="E13" s="306" t="n">
        <v>0.01052</v>
      </c>
      <c r="F13" s="306" t="n">
        <v>0.0001694</v>
      </c>
      <c r="G13" s="305" t="n">
        <v>0.5</v>
      </c>
    </row>
    <row r="14" customFormat="false" ht="14.4" hidden="false" customHeight="false" outlineLevel="0" collapsed="false">
      <c r="A14" s="303" t="n">
        <v>147</v>
      </c>
      <c r="B14" s="306" t="n">
        <v>0.000267</v>
      </c>
      <c r="C14" s="306" t="n">
        <v>-0.0007829</v>
      </c>
      <c r="D14" s="306" t="n">
        <v>0.000529</v>
      </c>
      <c r="E14" s="306" t="n">
        <v>0.002215</v>
      </c>
      <c r="F14" s="306" t="n">
        <v>0.0002606</v>
      </c>
      <c r="G14" s="305" t="n">
        <v>0.5</v>
      </c>
    </row>
    <row r="15" customFormat="false" ht="14.4" hidden="false" customHeight="false" outlineLevel="0" collapsed="false">
      <c r="A15" s="303" t="n">
        <v>160</v>
      </c>
      <c r="B15" s="306" t="n">
        <v>0.000267</v>
      </c>
      <c r="C15" s="306" t="n">
        <v>-0.0007829</v>
      </c>
      <c r="D15" s="306" t="n">
        <v>0.000529</v>
      </c>
      <c r="E15" s="306" t="n">
        <v>0.002215</v>
      </c>
      <c r="F15" s="306" t="n">
        <v>0.0002606</v>
      </c>
      <c r="G15" s="305" t="n">
        <v>0.5</v>
      </c>
    </row>
    <row r="16" customFormat="false" ht="14.4" hidden="false" customHeight="false" outlineLevel="0" collapsed="false">
      <c r="A16" s="304" t="s">
        <v>1084</v>
      </c>
      <c r="B16" s="304" t="s">
        <v>1203</v>
      </c>
      <c r="C16" s="304" t="s">
        <v>1204</v>
      </c>
      <c r="D16" s="304" t="s">
        <v>1205</v>
      </c>
      <c r="E16" s="303"/>
      <c r="F16" s="303"/>
      <c r="G16" s="303"/>
    </row>
    <row r="17" customFormat="false" ht="14.4" hidden="false" customHeight="false" outlineLevel="0" collapsed="false">
      <c r="A17" s="303" t="n">
        <v>14</v>
      </c>
      <c r="B17" s="303" t="n">
        <v>388.8</v>
      </c>
      <c r="C17" s="303" t="n">
        <v>2.31</v>
      </c>
      <c r="D17" s="303" t="n">
        <v>1.54</v>
      </c>
      <c r="E17" s="303"/>
      <c r="F17" s="303"/>
      <c r="G17" s="303"/>
    </row>
    <row r="18" customFormat="false" ht="14.4" hidden="false" customHeight="false" outlineLevel="0" collapsed="false">
      <c r="A18" s="303" t="n">
        <v>26</v>
      </c>
      <c r="B18" s="303" t="n">
        <v>374.9</v>
      </c>
      <c r="C18" s="303" t="n">
        <v>2.21</v>
      </c>
      <c r="D18" s="303" t="n">
        <v>1.49</v>
      </c>
      <c r="E18" s="303"/>
      <c r="F18" s="303"/>
      <c r="G18" s="303"/>
    </row>
    <row r="19" customFormat="false" ht="14.4" hidden="false" customHeight="false" outlineLevel="0" collapsed="false">
      <c r="A19" s="303" t="n">
        <v>60</v>
      </c>
      <c r="B19" s="303" t="n">
        <v>492</v>
      </c>
      <c r="C19" s="303" t="n">
        <v>2.22</v>
      </c>
      <c r="D19" s="303" t="n">
        <v>1.32</v>
      </c>
      <c r="E19" s="303"/>
      <c r="F19" s="303"/>
      <c r="G19" s="303"/>
    </row>
    <row r="20" customFormat="false" ht="14.4" hidden="false" customHeight="false" outlineLevel="0" collapsed="false">
      <c r="A20" s="303" t="n">
        <v>125</v>
      </c>
      <c r="B20" s="303" t="n">
        <v>246</v>
      </c>
      <c r="C20" s="303" t="n">
        <v>2.23</v>
      </c>
      <c r="D20" s="303" t="n">
        <v>1.47</v>
      </c>
      <c r="E20" s="303"/>
      <c r="F20" s="303"/>
      <c r="G20" s="303"/>
    </row>
    <row r="21" customFormat="false" ht="14.4" hidden="false" customHeight="false" outlineLevel="0" collapsed="false">
      <c r="A21" s="303" t="n">
        <v>147</v>
      </c>
      <c r="B21" s="303" t="n">
        <v>447.6</v>
      </c>
      <c r="C21" s="303" t="n">
        <v>2.3</v>
      </c>
      <c r="D21" s="303" t="n">
        <v>1.41</v>
      </c>
      <c r="E21" s="303"/>
      <c r="F21" s="303"/>
      <c r="G21" s="303"/>
    </row>
    <row r="22" customFormat="false" ht="14.4" hidden="false" customHeight="false" outlineLevel="0" collapsed="false">
      <c r="A22" s="303" t="n">
        <v>160</v>
      </c>
      <c r="B22" s="303" t="n">
        <v>447.6</v>
      </c>
      <c r="C22" s="303" t="n">
        <v>2.3</v>
      </c>
      <c r="D22" s="303" t="n">
        <v>1.41</v>
      </c>
      <c r="E22" s="303"/>
      <c r="F22" s="303"/>
      <c r="G22" s="30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4.4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12.33"/>
    <col collapsed="false" customWidth="true" hidden="false" outlineLevel="0" max="3" min="3" style="0" width="11.55"/>
    <col collapsed="false" customWidth="true" hidden="false" outlineLevel="0" max="4" min="4" style="0" width="14"/>
    <col collapsed="false" customWidth="true" hidden="false" outlineLevel="0" max="5" min="5" style="0" width="11.89"/>
    <col collapsed="false" customWidth="true" hidden="false" outlineLevel="0" max="6" min="6" style="0" width="16.33"/>
    <col collapsed="false" customWidth="true" hidden="false" outlineLevel="0" max="1025" min="7" style="0" width="8.51"/>
  </cols>
  <sheetData>
    <row r="1" customFormat="false" ht="14.4" hidden="false" customHeight="false" outlineLevel="0" collapsed="false">
      <c r="A1" s="302" t="s">
        <v>211</v>
      </c>
      <c r="B1" s="303"/>
      <c r="C1" s="303"/>
      <c r="D1" s="303"/>
      <c r="E1" s="303"/>
      <c r="F1" s="303"/>
      <c r="G1" s="303"/>
    </row>
    <row r="2" customFormat="false" ht="14.4" hidden="false" customHeight="false" outlineLevel="0" collapsed="false">
      <c r="A2" s="304" t="s">
        <v>1202</v>
      </c>
      <c r="B2" s="304" t="s">
        <v>1203</v>
      </c>
      <c r="C2" s="304" t="s">
        <v>1204</v>
      </c>
      <c r="D2" s="304" t="s">
        <v>1205</v>
      </c>
      <c r="E2" s="304" t="s">
        <v>1207</v>
      </c>
      <c r="F2" s="304" t="s">
        <v>1208</v>
      </c>
      <c r="G2" s="303"/>
    </row>
    <row r="3" customFormat="false" ht="14.4" hidden="false" customHeight="false" outlineLevel="0" collapsed="false">
      <c r="A3" s="303" t="n">
        <v>26</v>
      </c>
      <c r="B3" s="31" t="n">
        <v>0.01</v>
      </c>
      <c r="C3" s="31" t="n">
        <v>1.01552684878664E-007</v>
      </c>
      <c r="D3" s="31" t="n">
        <v>1.97573806470045</v>
      </c>
      <c r="E3" s="31"/>
      <c r="F3" s="31"/>
      <c r="G3" s="303"/>
    </row>
    <row r="4" customFormat="false" ht="14.4" hidden="false" customHeight="false" outlineLevel="0" collapsed="false">
      <c r="A4" s="303" t="n">
        <v>40</v>
      </c>
      <c r="B4" s="31" t="n">
        <v>0.01</v>
      </c>
      <c r="C4" s="31" t="n">
        <v>9.80755391043024E-008</v>
      </c>
      <c r="D4" s="31" t="n">
        <v>2.18753729688924</v>
      </c>
      <c r="E4" s="31"/>
      <c r="F4" s="31"/>
      <c r="G4" s="303"/>
    </row>
    <row r="5" customFormat="false" ht="14.4" hidden="false" customHeight="false" outlineLevel="0" collapsed="false">
      <c r="A5" s="303" t="n">
        <v>60</v>
      </c>
      <c r="B5" s="305" t="n">
        <v>0.01</v>
      </c>
      <c r="C5" s="306" t="n">
        <v>4.03110825738596E-007</v>
      </c>
      <c r="D5" s="306" t="n">
        <v>2.05027756065582</v>
      </c>
      <c r="E5" s="306"/>
      <c r="F5" s="306"/>
      <c r="G5" s="303"/>
    </row>
    <row r="6" customFormat="false" ht="14.4" hidden="false" customHeight="false" outlineLevel="0" collapsed="false">
      <c r="A6" s="352" t="n">
        <v>26</v>
      </c>
      <c r="B6" s="353" t="n">
        <v>0.01</v>
      </c>
      <c r="C6" s="354" t="n">
        <v>1.01552684878664E-007</v>
      </c>
      <c r="D6" s="354" t="n">
        <v>1.97573806470045</v>
      </c>
      <c r="E6" s="354"/>
      <c r="F6" s="354"/>
      <c r="G6" s="355" t="s">
        <v>17</v>
      </c>
    </row>
    <row r="7" customFormat="false" ht="14.4" hidden="false" customHeight="false" outlineLevel="0" collapsed="false">
      <c r="A7" s="352" t="n">
        <v>40</v>
      </c>
      <c r="B7" s="353" t="n">
        <v>0.01</v>
      </c>
      <c r="C7" s="354" t="n">
        <v>9.80755391043024E-008</v>
      </c>
      <c r="D7" s="354" t="n">
        <v>2.18753729688924</v>
      </c>
      <c r="E7" s="354"/>
      <c r="F7" s="354"/>
      <c r="G7" s="355"/>
    </row>
    <row r="8" customFormat="false" ht="15" hidden="false" customHeight="false" outlineLevel="0" collapsed="false">
      <c r="A8" s="304" t="s">
        <v>1206</v>
      </c>
      <c r="B8" s="304" t="s">
        <v>1203</v>
      </c>
      <c r="C8" s="304" t="s">
        <v>1204</v>
      </c>
      <c r="D8" s="304" t="s">
        <v>1205</v>
      </c>
      <c r="E8" s="304" t="s">
        <v>1207</v>
      </c>
      <c r="F8" s="304" t="s">
        <v>1208</v>
      </c>
      <c r="G8" s="304" t="s">
        <v>1209</v>
      </c>
    </row>
    <row r="9" customFormat="false" ht="15" hidden="false" customHeight="false" outlineLevel="0" collapsed="false">
      <c r="A9" s="303" t="n">
        <v>26</v>
      </c>
      <c r="B9" s="356" t="n">
        <v>0.04445</v>
      </c>
      <c r="C9" s="356" t="n">
        <v>0.02547</v>
      </c>
      <c r="D9" s="356" t="n">
        <v>0.0005153</v>
      </c>
      <c r="E9" s="356" t="n">
        <v>0.09162</v>
      </c>
      <c r="F9" s="356" t="n">
        <v>0.000351</v>
      </c>
      <c r="G9" s="357" t="n">
        <v>2</v>
      </c>
    </row>
    <row r="10" customFormat="false" ht="15" hidden="false" customHeight="false" outlineLevel="0" collapsed="false">
      <c r="A10" s="303" t="n">
        <v>60</v>
      </c>
      <c r="B10" s="356" t="n">
        <v>0.02455</v>
      </c>
      <c r="C10" s="356" t="n">
        <v>0.08789</v>
      </c>
      <c r="D10" s="356" t="n">
        <v>0.006444</v>
      </c>
      <c r="E10" s="356" t="n">
        <v>0.4188</v>
      </c>
      <c r="F10" s="356" t="n">
        <v>0.004668</v>
      </c>
      <c r="G10" s="357" t="n">
        <v>2</v>
      </c>
    </row>
    <row r="11" customFormat="false" ht="15" hidden="false" customHeight="false" outlineLevel="0" collapsed="false">
      <c r="A11" s="303" t="n">
        <v>26</v>
      </c>
      <c r="B11" s="356" t="n">
        <v>2.275E-005</v>
      </c>
      <c r="C11" s="356" t="n">
        <v>0.064</v>
      </c>
      <c r="D11" s="356" t="n">
        <v>0.002615</v>
      </c>
      <c r="E11" s="356" t="n">
        <v>0.3654</v>
      </c>
      <c r="F11" s="356" t="n">
        <v>0.001972</v>
      </c>
      <c r="G11" s="357" t="n">
        <v>2</v>
      </c>
      <c r="H11" s="358" t="s">
        <v>17</v>
      </c>
    </row>
    <row r="12" customFormat="false" ht="15" hidden="false" customHeight="false" outlineLevel="0" collapsed="false">
      <c r="A12" s="303" t="n">
        <v>40</v>
      </c>
      <c r="B12" s="356" t="n">
        <v>0.006495</v>
      </c>
      <c r="C12" s="356" t="n">
        <v>0.07939</v>
      </c>
      <c r="D12" s="356" t="n">
        <v>0.004816</v>
      </c>
      <c r="E12" s="356" t="n">
        <v>0.4312</v>
      </c>
      <c r="F12" s="356" t="n">
        <v>0.003647</v>
      </c>
      <c r="G12" s="357" t="n">
        <v>2</v>
      </c>
      <c r="H12" s="358"/>
    </row>
    <row r="13" customFormat="false" ht="14.4" hidden="false" customHeight="false" outlineLevel="0" collapsed="false">
      <c r="A13" s="304" t="s">
        <v>1084</v>
      </c>
      <c r="C13" s="304" t="s">
        <v>1203</v>
      </c>
      <c r="D13" s="304" t="s">
        <v>1204</v>
      </c>
      <c r="E13" s="304" t="s">
        <v>1205</v>
      </c>
      <c r="F13" s="303"/>
      <c r="G13" s="303"/>
    </row>
    <row r="14" customFormat="false" ht="14.4" hidden="false" customHeight="false" outlineLevel="0" collapsed="false">
      <c r="A14" s="31" t="s">
        <v>1464</v>
      </c>
      <c r="B14" s="327" t="n">
        <v>26</v>
      </c>
      <c r="C14" s="327" t="n">
        <v>510</v>
      </c>
      <c r="D14" s="327" t="n">
        <v>1.83</v>
      </c>
      <c r="E14" s="327" t="n">
        <v>1.18</v>
      </c>
      <c r="F14" s="359" t="s">
        <v>51</v>
      </c>
      <c r="G14" s="303"/>
    </row>
    <row r="15" customFormat="false" ht="14.4" hidden="false" customHeight="false" outlineLevel="0" collapsed="false">
      <c r="A15" s="31" t="s">
        <v>1464</v>
      </c>
      <c r="B15" s="303" t="n">
        <v>60</v>
      </c>
      <c r="C15" s="303" t="n">
        <v>440</v>
      </c>
      <c r="D15" s="303" t="n">
        <v>1.865</v>
      </c>
      <c r="E15" s="303" t="n">
        <v>1.152</v>
      </c>
      <c r="F15" s="359"/>
      <c r="G15" s="303"/>
    </row>
    <row r="16" customFormat="false" ht="14.4" hidden="false" customHeight="false" outlineLevel="0" collapsed="false">
      <c r="A16" s="31" t="s">
        <v>1464</v>
      </c>
      <c r="B16" s="303" t="n">
        <v>40</v>
      </c>
      <c r="C16" s="303" t="n">
        <v>475</v>
      </c>
      <c r="D16" s="303" t="n">
        <v>1.845</v>
      </c>
      <c r="E16" s="303" t="n">
        <v>1.166</v>
      </c>
      <c r="F16" s="359"/>
    </row>
    <row r="17" customFormat="false" ht="14.4" hidden="false" customHeight="false" outlineLevel="0" collapsed="false">
      <c r="A17" s="31" t="s">
        <v>1465</v>
      </c>
      <c r="B17" s="303" t="n">
        <v>60</v>
      </c>
      <c r="C17" s="303" t="n">
        <v>330</v>
      </c>
      <c r="D17" s="303" t="n">
        <v>1.865</v>
      </c>
      <c r="E17" s="303" t="n">
        <v>1.282</v>
      </c>
      <c r="F17" s="359"/>
    </row>
    <row r="18" customFormat="false" ht="14.4" hidden="false" customHeight="false" outlineLevel="0" collapsed="false">
      <c r="A18" s="31" t="s">
        <v>1465</v>
      </c>
      <c r="B18" s="327" t="n">
        <v>26</v>
      </c>
      <c r="C18" s="327" t="n">
        <v>510</v>
      </c>
      <c r="D18" s="327" t="n">
        <v>1.83</v>
      </c>
      <c r="E18" s="327" t="n">
        <v>1.18</v>
      </c>
      <c r="F18" s="359"/>
    </row>
    <row r="19" customFormat="false" ht="14.4" hidden="false" customHeight="false" outlineLevel="0" collapsed="false">
      <c r="A19" s="31" t="s">
        <v>1465</v>
      </c>
      <c r="B19" s="327" t="n">
        <v>40</v>
      </c>
      <c r="C19" s="303" t="n">
        <v>475</v>
      </c>
      <c r="D19" s="303" t="n">
        <v>1.845</v>
      </c>
      <c r="E19" s="303" t="n">
        <v>1.166</v>
      </c>
      <c r="F19" s="359"/>
    </row>
    <row r="20" customFormat="false" ht="14.4" hidden="false" customHeight="false" outlineLevel="0" collapsed="false">
      <c r="A20" s="31" t="s">
        <v>1466</v>
      </c>
      <c r="B20" s="303" t="n">
        <v>26</v>
      </c>
      <c r="C20" s="31" t="n">
        <v>335</v>
      </c>
      <c r="D20" s="31" t="n">
        <v>1.825</v>
      </c>
      <c r="E20" s="31" t="n">
        <v>1.332</v>
      </c>
      <c r="F20" s="359"/>
    </row>
    <row r="21" customFormat="false" ht="14.4" hidden="false" customHeight="false" outlineLevel="0" collapsed="false">
      <c r="A21" s="31" t="s">
        <v>1466</v>
      </c>
      <c r="B21" s="31" t="n">
        <v>60</v>
      </c>
      <c r="C21" s="31" t="n">
        <v>330</v>
      </c>
      <c r="D21" s="31" t="n">
        <v>1.865</v>
      </c>
      <c r="E21" s="31" t="n">
        <v>1.282</v>
      </c>
      <c r="F21" s="359"/>
    </row>
    <row r="22" customFormat="false" ht="14.4" hidden="false" customHeight="false" outlineLevel="0" collapsed="false">
      <c r="A22" s="31" t="s">
        <v>1466</v>
      </c>
      <c r="B22" s="31" t="n">
        <v>40</v>
      </c>
      <c r="C22" s="31" t="n">
        <v>333</v>
      </c>
      <c r="D22" s="31" t="n">
        <v>1.845</v>
      </c>
      <c r="E22" s="31" t="n">
        <v>1.31</v>
      </c>
      <c r="F22" s="359"/>
    </row>
    <row r="24" customFormat="false" ht="14.4" hidden="false" customHeight="false" outlineLevel="0" collapsed="false">
      <c r="A24" s="31" t="s">
        <v>1464</v>
      </c>
      <c r="B24" s="327" t="n">
        <v>26</v>
      </c>
      <c r="C24" s="352" t="n">
        <v>545</v>
      </c>
      <c r="D24" s="352" t="n">
        <v>2.02</v>
      </c>
      <c r="E24" s="352" t="n">
        <v>1.189</v>
      </c>
      <c r="F24" s="359" t="s">
        <v>17</v>
      </c>
    </row>
    <row r="25" customFormat="false" ht="14.4" hidden="false" customHeight="false" outlineLevel="0" collapsed="false">
      <c r="A25" s="31" t="s">
        <v>1464</v>
      </c>
      <c r="B25" s="303" t="n">
        <v>60</v>
      </c>
      <c r="C25" s="303" t="n">
        <v>661</v>
      </c>
      <c r="D25" s="303" t="n">
        <v>2.15</v>
      </c>
      <c r="E25" s="303" t="n">
        <v>1.16</v>
      </c>
      <c r="F25" s="359"/>
    </row>
    <row r="26" customFormat="false" ht="14.4" hidden="false" customHeight="false" outlineLevel="0" collapsed="false">
      <c r="A26" s="31" t="s">
        <v>1464</v>
      </c>
      <c r="B26" s="352" t="n">
        <v>40</v>
      </c>
      <c r="C26" s="352" t="n">
        <v>661</v>
      </c>
      <c r="D26" s="352" t="n">
        <v>2.15</v>
      </c>
      <c r="E26" s="352" t="n">
        <v>1.16</v>
      </c>
      <c r="F26" s="359"/>
    </row>
    <row r="27" customFormat="false" ht="14.4" hidden="false" customHeight="false" outlineLevel="0" collapsed="false">
      <c r="A27" s="31" t="s">
        <v>1465</v>
      </c>
      <c r="B27" s="352" t="n">
        <v>26</v>
      </c>
      <c r="C27" s="352" t="n">
        <v>379</v>
      </c>
      <c r="D27" s="352" t="n">
        <v>1.995</v>
      </c>
      <c r="E27" s="352" t="n">
        <v>1.33</v>
      </c>
      <c r="F27" s="359"/>
    </row>
    <row r="28" customFormat="false" ht="14.4" hidden="false" customHeight="false" outlineLevel="0" collapsed="false">
      <c r="A28" s="31" t="s">
        <v>1465</v>
      </c>
      <c r="B28" s="352" t="n">
        <v>40</v>
      </c>
      <c r="C28" s="352" t="n">
        <v>661</v>
      </c>
      <c r="D28" s="352" t="n">
        <v>2.15</v>
      </c>
      <c r="E28" s="352" t="n">
        <v>1.16</v>
      </c>
      <c r="F28" s="359"/>
    </row>
    <row r="29" customFormat="false" ht="14.4" hidden="false" customHeight="false" outlineLevel="0" collapsed="false">
      <c r="A29" s="31" t="s">
        <v>1465</v>
      </c>
      <c r="B29" s="352" t="n">
        <v>60</v>
      </c>
      <c r="C29" s="352" t="n">
        <v>661</v>
      </c>
      <c r="D29" s="352" t="n">
        <v>2.15</v>
      </c>
      <c r="E29" s="352" t="n">
        <v>1.16</v>
      </c>
      <c r="F29" s="359"/>
    </row>
    <row r="30" customFormat="false" ht="14.4" hidden="false" customHeight="false" outlineLevel="0" collapsed="false">
      <c r="A30" s="31" t="s">
        <v>1466</v>
      </c>
      <c r="B30" s="303" t="n">
        <v>26</v>
      </c>
      <c r="C30" s="352" t="n">
        <v>379</v>
      </c>
      <c r="D30" s="352" t="n">
        <v>1.995</v>
      </c>
      <c r="E30" s="352" t="n">
        <v>1.33</v>
      </c>
      <c r="F30" s="359"/>
    </row>
    <row r="31" customFormat="false" ht="14.4" hidden="false" customHeight="false" outlineLevel="0" collapsed="false">
      <c r="A31" s="31" t="s">
        <v>1466</v>
      </c>
      <c r="B31" s="31" t="n">
        <v>60</v>
      </c>
      <c r="C31" s="31" t="n">
        <v>441</v>
      </c>
      <c r="D31" s="31" t="n">
        <v>2.16</v>
      </c>
      <c r="E31" s="31" t="n">
        <v>1.35</v>
      </c>
      <c r="F31" s="359"/>
    </row>
    <row r="32" customFormat="false" ht="14.4" hidden="false" customHeight="false" outlineLevel="0" collapsed="false">
      <c r="A32" s="31" t="s">
        <v>1466</v>
      </c>
      <c r="B32" s="352" t="n">
        <v>40</v>
      </c>
      <c r="C32" s="352" t="n">
        <v>441</v>
      </c>
      <c r="D32" s="352" t="n">
        <v>2.16</v>
      </c>
      <c r="E32" s="352" t="n">
        <v>1.35</v>
      </c>
      <c r="F32" s="359"/>
    </row>
  </sheetData>
  <mergeCells count="4">
    <mergeCell ref="G6:G7"/>
    <mergeCell ref="H11:H12"/>
    <mergeCell ref="F14:F22"/>
    <mergeCell ref="F24:F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V87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809" activePane="bottomLeft" state="frozen"/>
      <selection pane="topLeft" activeCell="A1" activeCellId="0" sqref="A1"/>
      <selection pane="bottomLeft" activeCell="H843" activeCellId="0" sqref="H843"/>
    </sheetView>
  </sheetViews>
  <sheetFormatPr defaultRowHeight="14.4" zeroHeight="false" outlineLevelRow="0" outlineLevelCol="0"/>
  <cols>
    <col collapsed="false" customWidth="true" hidden="false" outlineLevel="0" max="1" min="1" style="22" width="12.66"/>
    <col collapsed="false" customWidth="true" hidden="false" outlineLevel="0" max="2" min="2" style="22" width="17.55"/>
    <col collapsed="false" customWidth="true" hidden="false" outlineLevel="0" max="3" min="3" style="23" width="17"/>
    <col collapsed="false" customWidth="true" hidden="false" outlineLevel="0" max="4" min="4" style="22" width="5.66"/>
    <col collapsed="false" customWidth="true" hidden="false" outlineLevel="0" max="5" min="5" style="22" width="9.11"/>
    <col collapsed="false" customWidth="true" hidden="false" outlineLevel="0" max="6" min="6" style="22" width="12.44"/>
    <col collapsed="false" customWidth="true" hidden="false" outlineLevel="0" max="7" min="7" style="22" width="10.55"/>
    <col collapsed="false" customWidth="true" hidden="false" outlineLevel="0" max="9" min="8" style="22" width="20.67"/>
    <col collapsed="false" customWidth="true" hidden="false" outlineLevel="0" max="11" min="10" style="22" width="14.89"/>
    <col collapsed="false" customWidth="true" hidden="false" outlineLevel="0" max="13" min="12" style="22" width="16"/>
    <col collapsed="false" customWidth="true" hidden="false" outlineLevel="0" max="15" min="14" style="22" width="15.55"/>
    <col collapsed="false" customWidth="true" hidden="false" outlineLevel="0" max="17" min="16" style="22" width="19.11"/>
    <col collapsed="false" customWidth="true" hidden="false" outlineLevel="0" max="18" min="18" style="22" width="8.55"/>
    <col collapsed="false" customWidth="true" hidden="false" outlineLevel="0" max="19" min="19" style="22" width="9.44"/>
    <col collapsed="false" customWidth="true" hidden="false" outlineLevel="0" max="20" min="20" style="22" width="14"/>
    <col collapsed="false" customWidth="true" hidden="false" outlineLevel="0" max="1025" min="21" style="22" width="9.11"/>
  </cols>
  <sheetData>
    <row r="1" customFormat="false" ht="16.2" hidden="false" customHeight="false" outlineLevel="0" collapsed="false">
      <c r="A1" s="24" t="s">
        <v>11</v>
      </c>
      <c r="B1" s="24" t="s">
        <v>12</v>
      </c>
      <c r="C1" s="25" t="s">
        <v>13</v>
      </c>
      <c r="D1" s="26" t="s">
        <v>14</v>
      </c>
      <c r="E1" s="26" t="s">
        <v>15</v>
      </c>
      <c r="F1" s="26" t="s">
        <v>16</v>
      </c>
      <c r="G1" s="26" t="s">
        <v>17</v>
      </c>
      <c r="H1" s="27" t="s">
        <v>18</v>
      </c>
      <c r="I1" s="27" t="s">
        <v>19</v>
      </c>
      <c r="J1" s="27" t="s">
        <v>20</v>
      </c>
      <c r="K1" s="28" t="s">
        <v>21</v>
      </c>
      <c r="L1" s="27" t="s">
        <v>22</v>
      </c>
      <c r="M1" s="28" t="s">
        <v>23</v>
      </c>
      <c r="N1" s="27" t="s">
        <v>24</v>
      </c>
      <c r="O1" s="28" t="s">
        <v>25</v>
      </c>
      <c r="P1" s="28" t="s">
        <v>26</v>
      </c>
      <c r="Q1" s="28" t="s">
        <v>27</v>
      </c>
      <c r="R1" s="29" t="s">
        <v>28</v>
      </c>
      <c r="S1" s="29" t="s">
        <v>29</v>
      </c>
      <c r="T1" s="24" t="s">
        <v>30</v>
      </c>
      <c r="U1" s="22" t="s">
        <v>13</v>
      </c>
      <c r="V1" s="22" t="s">
        <v>31</v>
      </c>
    </row>
    <row r="2" customFormat="false" ht="14.4" hidden="true" customHeight="false" outlineLevel="0" collapsed="false">
      <c r="A2" s="30" t="n">
        <v>4741</v>
      </c>
      <c r="B2" s="22" t="s">
        <v>32</v>
      </c>
      <c r="C2" s="31" t="n">
        <v>4741</v>
      </c>
      <c r="D2" s="31" t="n">
        <v>26</v>
      </c>
      <c r="E2" s="31" t="s">
        <v>33</v>
      </c>
      <c r="F2" s="31" t="n">
        <v>0</v>
      </c>
      <c r="G2" s="31" t="s">
        <v>34</v>
      </c>
      <c r="H2" s="31" t="n">
        <v>0</v>
      </c>
      <c r="I2" s="31" t="n">
        <v>0</v>
      </c>
      <c r="J2" s="31" t="n">
        <v>1.634</v>
      </c>
      <c r="K2" s="32" t="n">
        <v>41.5</v>
      </c>
      <c r="L2" s="31" t="n">
        <v>1.894</v>
      </c>
      <c r="M2" s="31" t="n">
        <v>48.11</v>
      </c>
      <c r="N2" s="31" t="n">
        <v>1.099</v>
      </c>
      <c r="O2" s="31" t="n">
        <v>27.91</v>
      </c>
      <c r="P2" s="31" t="n">
        <v>0</v>
      </c>
      <c r="Q2" s="31" t="n">
        <v>0</v>
      </c>
      <c r="R2" s="31" t="n">
        <v>53.6</v>
      </c>
      <c r="S2" s="31" t="n">
        <v>53600</v>
      </c>
      <c r="T2" s="31"/>
    </row>
    <row r="3" customFormat="false" ht="14.4" hidden="true" customHeight="false" outlineLevel="0" collapsed="false">
      <c r="A3" s="30" t="n">
        <v>4741</v>
      </c>
      <c r="B3" s="22" t="s">
        <v>35</v>
      </c>
      <c r="C3" s="31" t="n">
        <v>4741</v>
      </c>
      <c r="D3" s="31" t="n">
        <v>26</v>
      </c>
      <c r="E3" s="31" t="s">
        <v>33</v>
      </c>
      <c r="F3" s="31" t="n">
        <v>0</v>
      </c>
      <c r="G3" s="31" t="s">
        <v>34</v>
      </c>
      <c r="H3" s="31" t="n">
        <v>0</v>
      </c>
      <c r="I3" s="31" t="n">
        <v>0</v>
      </c>
      <c r="J3" s="31" t="n">
        <v>1.634</v>
      </c>
      <c r="K3" s="32" t="n">
        <v>41.5</v>
      </c>
      <c r="L3" s="31" t="n">
        <v>1.894</v>
      </c>
      <c r="M3" s="31" t="n">
        <v>48.11</v>
      </c>
      <c r="N3" s="31" t="n">
        <v>0.806</v>
      </c>
      <c r="O3" s="31" t="n">
        <v>20.5</v>
      </c>
      <c r="P3" s="31" t="n">
        <v>0</v>
      </c>
      <c r="Q3" s="31" t="n">
        <v>0</v>
      </c>
      <c r="R3" s="31" t="n">
        <v>39.9</v>
      </c>
      <c r="S3" s="31" t="n">
        <v>39900</v>
      </c>
      <c r="T3" s="31"/>
    </row>
    <row r="4" customFormat="false" ht="14.4" hidden="true" customHeight="false" outlineLevel="0" collapsed="false">
      <c r="A4" s="30" t="n">
        <v>4741</v>
      </c>
      <c r="B4" s="22" t="s">
        <v>36</v>
      </c>
      <c r="C4" s="31" t="n">
        <v>4741</v>
      </c>
      <c r="D4" s="31" t="n">
        <v>60</v>
      </c>
      <c r="E4" s="31" t="s">
        <v>33</v>
      </c>
      <c r="F4" s="31" t="n">
        <v>0</v>
      </c>
      <c r="G4" s="31" t="s">
        <v>34</v>
      </c>
      <c r="H4" s="31" t="n">
        <v>0</v>
      </c>
      <c r="I4" s="31" t="n">
        <v>0</v>
      </c>
      <c r="J4" s="31" t="n">
        <v>1.634</v>
      </c>
      <c r="K4" s="32" t="n">
        <v>41.5</v>
      </c>
      <c r="L4" s="31" t="n">
        <v>1.894</v>
      </c>
      <c r="M4" s="31" t="n">
        <v>48.11</v>
      </c>
      <c r="N4" s="31" t="n">
        <v>1.099</v>
      </c>
      <c r="O4" s="31" t="n">
        <v>27.91</v>
      </c>
      <c r="P4" s="31" t="n">
        <v>0</v>
      </c>
      <c r="Q4" s="31" t="n">
        <v>0</v>
      </c>
      <c r="R4" s="31" t="n">
        <v>53.6</v>
      </c>
      <c r="S4" s="31" t="n">
        <v>53600</v>
      </c>
      <c r="T4" s="31"/>
    </row>
    <row r="5" customFormat="false" ht="14.4" hidden="true" customHeight="false" outlineLevel="0" collapsed="false">
      <c r="A5" s="30" t="n">
        <v>5528</v>
      </c>
      <c r="B5" s="22" t="s">
        <v>37</v>
      </c>
      <c r="C5" s="31" t="n">
        <v>5528</v>
      </c>
      <c r="D5" s="31" t="n">
        <v>26</v>
      </c>
      <c r="E5" s="31" t="s">
        <v>33</v>
      </c>
      <c r="F5" s="31" t="n">
        <v>0</v>
      </c>
      <c r="G5" s="31" t="s">
        <v>34</v>
      </c>
      <c r="H5" s="31" t="n">
        <v>0</v>
      </c>
      <c r="I5" s="31" t="n">
        <v>0</v>
      </c>
      <c r="J5" s="31" t="n">
        <v>1.101</v>
      </c>
      <c r="K5" s="31" t="n">
        <v>27.97</v>
      </c>
      <c r="L5" s="31" t="n">
        <v>2.185</v>
      </c>
      <c r="M5" s="32" t="n">
        <v>55.5</v>
      </c>
      <c r="N5" s="31" t="n">
        <v>0.827</v>
      </c>
      <c r="O5" s="33" t="n">
        <v>21</v>
      </c>
      <c r="P5" s="31" t="n">
        <v>0</v>
      </c>
      <c r="Q5" s="31" t="n">
        <v>0</v>
      </c>
      <c r="R5" s="31" t="n">
        <v>31.2</v>
      </c>
      <c r="S5" s="31" t="n">
        <v>31200</v>
      </c>
      <c r="T5" s="31"/>
    </row>
    <row r="6" customFormat="false" ht="14.4" hidden="true" customHeight="false" outlineLevel="0" collapsed="false">
      <c r="A6" s="30" t="n">
        <v>5528</v>
      </c>
      <c r="B6" s="22" t="s">
        <v>38</v>
      </c>
      <c r="C6" s="31" t="n">
        <v>5528</v>
      </c>
      <c r="D6" s="31" t="n">
        <v>40</v>
      </c>
      <c r="E6" s="31" t="s">
        <v>33</v>
      </c>
      <c r="F6" s="31" t="n">
        <v>0</v>
      </c>
      <c r="G6" s="31" t="s">
        <v>34</v>
      </c>
      <c r="H6" s="31" t="n">
        <v>0</v>
      </c>
      <c r="I6" s="31" t="n">
        <v>0</v>
      </c>
      <c r="J6" s="31" t="n">
        <v>1.101</v>
      </c>
      <c r="K6" s="31" t="n">
        <v>27.97</v>
      </c>
      <c r="L6" s="31" t="n">
        <v>2.185</v>
      </c>
      <c r="M6" s="32" t="n">
        <v>55.5</v>
      </c>
      <c r="N6" s="31" t="n">
        <v>0.827</v>
      </c>
      <c r="O6" s="33" t="n">
        <v>21</v>
      </c>
      <c r="P6" s="31" t="n">
        <v>0</v>
      </c>
      <c r="Q6" s="31" t="n">
        <v>0</v>
      </c>
      <c r="R6" s="31" t="n">
        <v>31.2</v>
      </c>
      <c r="S6" s="31" t="n">
        <v>31200</v>
      </c>
      <c r="T6" s="31"/>
    </row>
    <row r="7" customFormat="false" ht="14.4" hidden="true" customHeight="false" outlineLevel="0" collapsed="false">
      <c r="A7" s="30" t="n">
        <v>5528</v>
      </c>
      <c r="B7" s="22" t="s">
        <v>39</v>
      </c>
      <c r="C7" s="31" t="n">
        <v>5528</v>
      </c>
      <c r="D7" s="31" t="n">
        <v>60</v>
      </c>
      <c r="E7" s="31" t="s">
        <v>33</v>
      </c>
      <c r="F7" s="31" t="n">
        <v>0</v>
      </c>
      <c r="G7" s="31" t="s">
        <v>34</v>
      </c>
      <c r="H7" s="31" t="n">
        <v>0</v>
      </c>
      <c r="I7" s="31" t="n">
        <v>0</v>
      </c>
      <c r="J7" s="31" t="n">
        <v>1.101</v>
      </c>
      <c r="K7" s="31" t="n">
        <v>27.97</v>
      </c>
      <c r="L7" s="31" t="n">
        <v>2.185</v>
      </c>
      <c r="M7" s="32" t="n">
        <v>55.5</v>
      </c>
      <c r="N7" s="31" t="n">
        <v>0.827</v>
      </c>
      <c r="O7" s="33" t="n">
        <v>21</v>
      </c>
      <c r="P7" s="31" t="n">
        <v>0</v>
      </c>
      <c r="Q7" s="31" t="n">
        <v>0</v>
      </c>
      <c r="R7" s="31" t="n">
        <v>31.2</v>
      </c>
      <c r="S7" s="31" t="n">
        <v>31200</v>
      </c>
      <c r="T7" s="31"/>
    </row>
    <row r="8" customFormat="false" ht="14.4" hidden="true" customHeight="false" outlineLevel="0" collapsed="false">
      <c r="A8" s="30" t="n">
        <v>6030</v>
      </c>
      <c r="B8" s="22" t="s">
        <v>40</v>
      </c>
      <c r="C8" s="31" t="n">
        <v>6030</v>
      </c>
      <c r="D8" s="31" t="n">
        <v>90</v>
      </c>
      <c r="E8" s="31" t="s">
        <v>33</v>
      </c>
      <c r="F8" s="31" t="n">
        <v>0</v>
      </c>
      <c r="G8" s="31" t="s">
        <v>34</v>
      </c>
      <c r="H8" s="31" t="n">
        <v>0</v>
      </c>
      <c r="I8" s="31" t="n">
        <v>0</v>
      </c>
      <c r="J8" s="31" t="n">
        <v>1.191</v>
      </c>
      <c r="K8" s="31" t="n">
        <v>30.25</v>
      </c>
      <c r="L8" s="31" t="n">
        <v>2.372</v>
      </c>
      <c r="M8" s="31" t="n">
        <v>60.25</v>
      </c>
      <c r="N8" s="31" t="n">
        <v>0.601</v>
      </c>
      <c r="O8" s="31" t="n">
        <v>15.25</v>
      </c>
      <c r="P8" s="31" t="n">
        <v>0</v>
      </c>
      <c r="Q8" s="31" t="n">
        <v>0</v>
      </c>
      <c r="R8" s="33" t="n">
        <v>27</v>
      </c>
      <c r="S8" s="31" t="n">
        <v>27000</v>
      </c>
      <c r="T8" s="31"/>
    </row>
    <row r="9" customFormat="false" ht="14.4" hidden="true" customHeight="false" outlineLevel="0" collapsed="false">
      <c r="A9" s="30" t="n">
        <v>6030</v>
      </c>
      <c r="B9" s="22" t="s">
        <v>41</v>
      </c>
      <c r="C9" s="31" t="n">
        <v>6030</v>
      </c>
      <c r="D9" s="31" t="n">
        <v>60</v>
      </c>
      <c r="E9" s="31" t="s">
        <v>33</v>
      </c>
      <c r="F9" s="31" t="n">
        <v>0</v>
      </c>
      <c r="G9" s="31" t="s">
        <v>34</v>
      </c>
      <c r="H9" s="31" t="n">
        <v>0</v>
      </c>
      <c r="I9" s="31" t="n">
        <v>0</v>
      </c>
      <c r="J9" s="31" t="n">
        <v>1.191</v>
      </c>
      <c r="K9" s="31" t="n">
        <v>30.25</v>
      </c>
      <c r="L9" s="31" t="n">
        <v>2.372</v>
      </c>
      <c r="M9" s="31" t="n">
        <v>60.25</v>
      </c>
      <c r="N9" s="31" t="n">
        <v>0.591</v>
      </c>
      <c r="O9" s="31" t="n">
        <v>15.25</v>
      </c>
      <c r="P9" s="31" t="n">
        <v>0</v>
      </c>
      <c r="Q9" s="31" t="n">
        <v>0</v>
      </c>
      <c r="R9" s="33" t="n">
        <v>27</v>
      </c>
      <c r="S9" s="31" t="n">
        <v>27000</v>
      </c>
      <c r="T9" s="31"/>
    </row>
    <row r="10" customFormat="false" ht="14.4" hidden="true" customHeight="false" outlineLevel="0" collapsed="false">
      <c r="A10" s="30" t="n">
        <v>6030</v>
      </c>
      <c r="B10" s="22" t="s">
        <v>42</v>
      </c>
      <c r="C10" s="31" t="n">
        <v>6030</v>
      </c>
      <c r="D10" s="31" t="n">
        <v>26</v>
      </c>
      <c r="E10" s="31" t="s">
        <v>33</v>
      </c>
      <c r="F10" s="31" t="n">
        <v>0</v>
      </c>
      <c r="G10" s="31" t="s">
        <v>34</v>
      </c>
      <c r="H10" s="31" t="n">
        <v>0</v>
      </c>
      <c r="I10" s="31" t="n">
        <v>0</v>
      </c>
      <c r="J10" s="31" t="n">
        <v>1.191</v>
      </c>
      <c r="K10" s="31" t="n">
        <v>30.25</v>
      </c>
      <c r="L10" s="31" t="n">
        <v>2.372</v>
      </c>
      <c r="M10" s="31" t="n">
        <v>60.25</v>
      </c>
      <c r="N10" s="31" t="n">
        <v>0.591</v>
      </c>
      <c r="O10" s="31" t="n">
        <v>15.25</v>
      </c>
      <c r="P10" s="31" t="n">
        <v>0</v>
      </c>
      <c r="Q10" s="31" t="n">
        <v>0</v>
      </c>
      <c r="R10" s="33" t="n">
        <v>27</v>
      </c>
      <c r="S10" s="31" t="n">
        <v>27000</v>
      </c>
      <c r="T10" s="31"/>
    </row>
    <row r="11" customFormat="false" ht="14.4" hidden="true" customHeight="false" outlineLevel="0" collapsed="false">
      <c r="A11" s="30" t="n">
        <v>8020</v>
      </c>
      <c r="B11" s="22" t="s">
        <v>43</v>
      </c>
      <c r="C11" s="31" t="n">
        <v>8020</v>
      </c>
      <c r="D11" s="31" t="n">
        <v>26</v>
      </c>
      <c r="E11" s="31" t="s">
        <v>33</v>
      </c>
      <c r="F11" s="31" t="n">
        <v>155</v>
      </c>
      <c r="G11" s="31" t="s">
        <v>44</v>
      </c>
      <c r="H11" s="31" t="n">
        <v>18.5</v>
      </c>
      <c r="I11" s="31" t="n">
        <v>185</v>
      </c>
      <c r="J11" s="31" t="n">
        <v>1.525</v>
      </c>
      <c r="K11" s="31" t="n">
        <v>38.74</v>
      </c>
      <c r="L11" s="31" t="n">
        <v>3.197</v>
      </c>
      <c r="M11" s="31" t="n">
        <v>81.21</v>
      </c>
      <c r="N11" s="31" t="n">
        <v>1.265</v>
      </c>
      <c r="O11" s="31" t="n">
        <v>32.13</v>
      </c>
      <c r="P11" s="31" t="n">
        <v>6.29</v>
      </c>
      <c r="Q11" s="31" t="n">
        <v>629</v>
      </c>
      <c r="R11" s="31" t="n">
        <v>116</v>
      </c>
      <c r="S11" s="31" t="n">
        <v>116000</v>
      </c>
      <c r="T11" s="31"/>
    </row>
    <row r="12" customFormat="false" ht="14.4" hidden="true" customHeight="false" outlineLevel="0" collapsed="false">
      <c r="A12" s="30" t="n">
        <v>8020</v>
      </c>
      <c r="B12" s="22" t="s">
        <v>45</v>
      </c>
      <c r="C12" s="31" t="n">
        <v>8020</v>
      </c>
      <c r="D12" s="31" t="n">
        <v>26</v>
      </c>
      <c r="E12" s="31" t="s">
        <v>33</v>
      </c>
      <c r="F12" s="31" t="n">
        <v>145</v>
      </c>
      <c r="G12" s="31" t="s">
        <v>44</v>
      </c>
      <c r="H12" s="31" t="n">
        <v>18.5</v>
      </c>
      <c r="I12" s="31" t="n">
        <v>185</v>
      </c>
      <c r="J12" s="31" t="n">
        <v>1.525</v>
      </c>
      <c r="K12" s="31" t="n">
        <v>38.74</v>
      </c>
      <c r="L12" s="31" t="n">
        <v>3.197</v>
      </c>
      <c r="M12" s="31" t="n">
        <v>81.21</v>
      </c>
      <c r="N12" s="31" t="n">
        <v>1.185</v>
      </c>
      <c r="O12" s="32" t="n">
        <v>30.1</v>
      </c>
      <c r="P12" s="31" t="n">
        <v>5.84</v>
      </c>
      <c r="Q12" s="31" t="n">
        <v>584</v>
      </c>
      <c r="R12" s="31" t="n">
        <v>108</v>
      </c>
      <c r="S12" s="31" t="n">
        <v>108000</v>
      </c>
      <c r="T12" s="31"/>
    </row>
    <row r="13" customFormat="false" ht="14.4" hidden="true" customHeight="false" outlineLevel="0" collapsed="false">
      <c r="A13" s="30" t="n">
        <v>8030</v>
      </c>
      <c r="B13" s="22" t="s">
        <v>46</v>
      </c>
      <c r="C13" s="31" t="n">
        <v>8030</v>
      </c>
      <c r="D13" s="31" t="n">
        <v>26</v>
      </c>
      <c r="E13" s="31" t="s">
        <v>33</v>
      </c>
      <c r="F13" s="31" t="n">
        <v>0</v>
      </c>
      <c r="G13" s="31" t="s">
        <v>34</v>
      </c>
      <c r="H13" s="31" t="n">
        <v>0</v>
      </c>
      <c r="I13" s="31" t="n">
        <v>0</v>
      </c>
      <c r="J13" s="31" t="n">
        <v>1.213</v>
      </c>
      <c r="K13" s="31" t="n">
        <v>30.81</v>
      </c>
      <c r="L13" s="31" t="n">
        <v>3.189</v>
      </c>
      <c r="M13" s="32" t="n">
        <v>81</v>
      </c>
      <c r="N13" s="31" t="n">
        <v>1.382</v>
      </c>
      <c r="O13" s="32" t="n">
        <v>35.1</v>
      </c>
      <c r="P13" s="31" t="n">
        <v>0</v>
      </c>
      <c r="Q13" s="31" t="n">
        <v>0</v>
      </c>
      <c r="R13" s="33" t="n">
        <v>85.4</v>
      </c>
      <c r="S13" s="31" t="n">
        <v>85400</v>
      </c>
      <c r="T13" s="31"/>
    </row>
    <row r="14" customFormat="false" ht="14.4" hidden="true" customHeight="false" outlineLevel="0" collapsed="false">
      <c r="A14" s="30" t="n">
        <v>8030</v>
      </c>
      <c r="B14" s="22" t="s">
        <v>47</v>
      </c>
      <c r="C14" s="31" t="n">
        <v>8030</v>
      </c>
      <c r="D14" s="31" t="n">
        <v>40</v>
      </c>
      <c r="E14" s="31" t="s">
        <v>33</v>
      </c>
      <c r="F14" s="31" t="n">
        <v>0</v>
      </c>
      <c r="G14" s="31" t="s">
        <v>34</v>
      </c>
      <c r="H14" s="31" t="n">
        <v>0</v>
      </c>
      <c r="I14" s="31" t="n">
        <v>0</v>
      </c>
      <c r="J14" s="31" t="n">
        <v>1.213</v>
      </c>
      <c r="K14" s="31" t="n">
        <v>30.81</v>
      </c>
      <c r="L14" s="31" t="n">
        <v>3.189</v>
      </c>
      <c r="M14" s="32" t="n">
        <v>81</v>
      </c>
      <c r="N14" s="31" t="n">
        <v>1.382</v>
      </c>
      <c r="O14" s="32" t="n">
        <v>35.1</v>
      </c>
      <c r="P14" s="31" t="n">
        <v>0</v>
      </c>
      <c r="Q14" s="31" t="n">
        <v>0</v>
      </c>
      <c r="R14" s="33" t="n">
        <v>85.4</v>
      </c>
      <c r="S14" s="31" t="n">
        <v>85400</v>
      </c>
      <c r="T14" s="31"/>
    </row>
    <row r="15" customFormat="false" ht="14.4" hidden="true" customHeight="false" outlineLevel="0" collapsed="false">
      <c r="A15" s="30" t="n">
        <v>8044</v>
      </c>
      <c r="B15" s="22" t="s">
        <v>48</v>
      </c>
      <c r="C15" s="31" t="n">
        <v>8044</v>
      </c>
      <c r="D15" s="31" t="n">
        <v>26</v>
      </c>
      <c r="E15" s="31" t="s">
        <v>33</v>
      </c>
      <c r="F15" s="31" t="n">
        <v>137</v>
      </c>
      <c r="G15" s="31" t="s">
        <v>44</v>
      </c>
      <c r="H15" s="31" t="n">
        <v>20.8</v>
      </c>
      <c r="I15" s="31" t="n">
        <v>208</v>
      </c>
      <c r="J15" s="34" t="n">
        <v>1.78</v>
      </c>
      <c r="K15" s="31" t="n">
        <v>45.21</v>
      </c>
      <c r="L15" s="31" t="n">
        <v>3.197</v>
      </c>
      <c r="M15" s="32" t="n">
        <v>81.2</v>
      </c>
      <c r="N15" s="31" t="n">
        <v>1.185</v>
      </c>
      <c r="O15" s="32" t="n">
        <v>30.1</v>
      </c>
      <c r="P15" s="32" t="n">
        <v>5.84</v>
      </c>
      <c r="Q15" s="31" t="n">
        <v>584</v>
      </c>
      <c r="R15" s="31" t="n">
        <v>121</v>
      </c>
      <c r="S15" s="31" t="n">
        <v>121000</v>
      </c>
      <c r="T15" s="31"/>
    </row>
    <row r="16" customFormat="false" ht="14.4" hidden="true" customHeight="false" outlineLevel="0" collapsed="false">
      <c r="A16" s="35" t="n">
        <v>55098</v>
      </c>
      <c r="B16" s="22" t="s">
        <v>49</v>
      </c>
      <c r="C16" s="23" t="n">
        <v>102</v>
      </c>
      <c r="D16" s="22" t="n">
        <v>125</v>
      </c>
      <c r="E16" s="22" t="s">
        <v>50</v>
      </c>
      <c r="F16" s="22" t="n">
        <v>232</v>
      </c>
      <c r="G16" s="22" t="s">
        <v>51</v>
      </c>
      <c r="H16" s="22" t="n">
        <v>24.3</v>
      </c>
      <c r="I16" s="22" t="n">
        <v>243</v>
      </c>
      <c r="J16" s="22" t="n">
        <v>2.195</v>
      </c>
      <c r="K16" s="22" t="n">
        <v>55.75</v>
      </c>
      <c r="L16" s="22" t="n">
        <v>4.055</v>
      </c>
      <c r="M16" s="36" t="n">
        <v>103</v>
      </c>
      <c r="N16" s="22" t="n">
        <v>0.705</v>
      </c>
      <c r="O16" s="22" t="n">
        <v>17.9</v>
      </c>
      <c r="P16" s="22" t="n">
        <v>3.58</v>
      </c>
      <c r="Q16" s="22" t="n">
        <v>358</v>
      </c>
      <c r="R16" s="22" t="n">
        <v>86.9</v>
      </c>
      <c r="S16" s="22" t="n">
        <v>86900</v>
      </c>
      <c r="T16" s="22" t="n">
        <v>24.7</v>
      </c>
      <c r="U16" s="22" t="n">
        <f aca="false">C16*1</f>
        <v>102</v>
      </c>
      <c r="V16" s="22" t="n">
        <f aca="false">VLOOKUP(U16,'Powder Core Toroid OD'!$A$2:$B$36,2,0)</f>
        <v>101.6</v>
      </c>
    </row>
    <row r="17" customFormat="false" ht="14.4" hidden="true" customHeight="false" outlineLevel="0" collapsed="false">
      <c r="A17" s="35" t="n">
        <v>55099</v>
      </c>
      <c r="B17" s="22" t="s">
        <v>52</v>
      </c>
      <c r="C17" s="23" t="n">
        <v>102</v>
      </c>
      <c r="D17" s="22" t="n">
        <v>60</v>
      </c>
      <c r="E17" s="22" t="s">
        <v>50</v>
      </c>
      <c r="F17" s="22" t="n">
        <v>111</v>
      </c>
      <c r="G17" s="22" t="s">
        <v>51</v>
      </c>
      <c r="H17" s="22" t="n">
        <v>24.3</v>
      </c>
      <c r="I17" s="22" t="n">
        <v>243</v>
      </c>
      <c r="J17" s="22" t="n">
        <v>2.195</v>
      </c>
      <c r="K17" s="22" t="n">
        <v>55.75</v>
      </c>
      <c r="L17" s="22" t="n">
        <v>4.055</v>
      </c>
      <c r="M17" s="36" t="n">
        <v>103</v>
      </c>
      <c r="N17" s="22" t="n">
        <v>0.705</v>
      </c>
      <c r="O17" s="22" t="n">
        <v>17.9</v>
      </c>
      <c r="P17" s="22" t="n">
        <v>3.58</v>
      </c>
      <c r="Q17" s="22" t="n">
        <v>358</v>
      </c>
      <c r="R17" s="22" t="n">
        <v>86.9</v>
      </c>
      <c r="S17" s="22" t="n">
        <v>86900</v>
      </c>
      <c r="T17" s="22" t="n">
        <v>24.7</v>
      </c>
      <c r="U17" s="22" t="n">
        <f aca="false">C17*1</f>
        <v>102</v>
      </c>
      <c r="V17" s="22" t="n">
        <f aca="false">VLOOKUP(U17,'Powder Core Toroid OD'!$A$2:$B$36,2,0)</f>
        <v>101.6</v>
      </c>
    </row>
    <row r="18" customFormat="false" ht="14.4" hidden="true" customHeight="false" outlineLevel="0" collapsed="false">
      <c r="A18" s="35" t="n">
        <v>55101</v>
      </c>
      <c r="B18" s="22" t="s">
        <v>53</v>
      </c>
      <c r="C18" s="23" t="n">
        <v>102</v>
      </c>
      <c r="D18" s="22" t="n">
        <v>14</v>
      </c>
      <c r="E18" s="22" t="s">
        <v>50</v>
      </c>
      <c r="F18" s="22" t="n">
        <v>26</v>
      </c>
      <c r="G18" s="22" t="s">
        <v>51</v>
      </c>
      <c r="H18" s="22" t="n">
        <v>24.3</v>
      </c>
      <c r="I18" s="22" t="n">
        <v>243</v>
      </c>
      <c r="J18" s="22" t="n">
        <v>2.195</v>
      </c>
      <c r="K18" s="22" t="n">
        <v>55.75</v>
      </c>
      <c r="L18" s="22" t="n">
        <v>4.055</v>
      </c>
      <c r="M18" s="36" t="n">
        <v>103</v>
      </c>
      <c r="N18" s="22" t="n">
        <v>0.705</v>
      </c>
      <c r="O18" s="22" t="n">
        <v>17.9</v>
      </c>
      <c r="P18" s="22" t="n">
        <v>3.58</v>
      </c>
      <c r="Q18" s="22" t="n">
        <v>358</v>
      </c>
      <c r="R18" s="22" t="n">
        <v>86.9</v>
      </c>
      <c r="S18" s="22" t="n">
        <v>86900</v>
      </c>
      <c r="T18" s="22" t="n">
        <v>24.7</v>
      </c>
      <c r="U18" s="22" t="n">
        <f aca="false">C18*1</f>
        <v>102</v>
      </c>
      <c r="V18" s="22" t="n">
        <f aca="false">VLOOKUP(U18,'Powder Core Toroid OD'!$A$2:$B$36,2,0)</f>
        <v>101.6</v>
      </c>
    </row>
    <row r="19" customFormat="false" ht="14.4" hidden="true" customHeight="false" outlineLevel="0" collapsed="false">
      <c r="A19" s="35" t="n">
        <v>55102</v>
      </c>
      <c r="B19" s="22" t="s">
        <v>54</v>
      </c>
      <c r="C19" s="23" t="n">
        <v>102</v>
      </c>
      <c r="D19" s="22" t="n">
        <v>26</v>
      </c>
      <c r="E19" s="22" t="s">
        <v>50</v>
      </c>
      <c r="F19" s="22" t="n">
        <v>48</v>
      </c>
      <c r="G19" s="22" t="s">
        <v>51</v>
      </c>
      <c r="H19" s="22" t="n">
        <v>24.3</v>
      </c>
      <c r="I19" s="22" t="n">
        <v>243</v>
      </c>
      <c r="J19" s="22" t="n">
        <v>2.195</v>
      </c>
      <c r="K19" s="22" t="n">
        <v>55.75</v>
      </c>
      <c r="L19" s="22" t="n">
        <v>4.055</v>
      </c>
      <c r="M19" s="36" t="n">
        <v>103</v>
      </c>
      <c r="N19" s="22" t="n">
        <v>0.705</v>
      </c>
      <c r="O19" s="22" t="n">
        <v>17.9</v>
      </c>
      <c r="P19" s="22" t="n">
        <v>3.58</v>
      </c>
      <c r="Q19" s="22" t="n">
        <v>358</v>
      </c>
      <c r="R19" s="22" t="n">
        <v>86.9</v>
      </c>
      <c r="S19" s="22" t="n">
        <v>86900</v>
      </c>
      <c r="T19" s="22" t="n">
        <v>24.7</v>
      </c>
      <c r="U19" s="22" t="n">
        <f aca="false">C19*1</f>
        <v>102</v>
      </c>
      <c r="V19" s="22" t="n">
        <f aca="false">VLOOKUP(U19,'Powder Core Toroid OD'!$A$2:$B$36,2,0)</f>
        <v>101.6</v>
      </c>
    </row>
    <row r="20" customFormat="false" ht="14.4" hidden="true" customHeight="false" outlineLevel="0" collapsed="false">
      <c r="A20" s="37" t="n">
        <v>55164</v>
      </c>
      <c r="B20" s="38" t="s">
        <v>55</v>
      </c>
      <c r="C20" s="39" t="n">
        <v>165</v>
      </c>
      <c r="D20" s="38" t="n">
        <v>14</v>
      </c>
      <c r="E20" s="38" t="s">
        <v>50</v>
      </c>
      <c r="F20" s="38" t="n">
        <v>42</v>
      </c>
      <c r="G20" s="38" t="s">
        <v>51</v>
      </c>
      <c r="H20" s="38" t="n">
        <v>41.2</v>
      </c>
      <c r="I20" s="38" t="n">
        <v>412</v>
      </c>
      <c r="J20" s="38" t="n">
        <v>3.977</v>
      </c>
      <c r="K20" s="40" t="n">
        <v>101</v>
      </c>
      <c r="L20" s="38" t="n">
        <v>6.555</v>
      </c>
      <c r="M20" s="40" t="n">
        <v>166.5</v>
      </c>
      <c r="N20" s="38" t="n">
        <v>1.305</v>
      </c>
      <c r="O20" s="41" t="n">
        <v>33.15</v>
      </c>
      <c r="P20" s="38" t="n">
        <v>9.87</v>
      </c>
      <c r="Q20" s="38" t="n">
        <v>987</v>
      </c>
      <c r="R20" s="38" t="n">
        <v>407</v>
      </c>
      <c r="S20" s="38" t="n">
        <v>407000</v>
      </c>
      <c r="T20" s="38" t="n">
        <v>80.3</v>
      </c>
      <c r="U20" s="22" t="n">
        <f aca="false">C20*1</f>
        <v>165</v>
      </c>
      <c r="V20" s="22" t="n">
        <f aca="false">VLOOKUP(U20,'Powder Core Toroid OD'!$A$2:$B$36,2,0)</f>
        <v>165.1</v>
      </c>
    </row>
    <row r="21" customFormat="false" ht="14.4" hidden="true" customHeight="false" outlineLevel="0" collapsed="false">
      <c r="A21" s="37" t="n">
        <v>55165</v>
      </c>
      <c r="B21" s="38" t="s">
        <v>56</v>
      </c>
      <c r="C21" s="39" t="n">
        <v>165</v>
      </c>
      <c r="D21" s="38" t="n">
        <v>26</v>
      </c>
      <c r="E21" s="38" t="s">
        <v>50</v>
      </c>
      <c r="F21" s="38" t="n">
        <v>78</v>
      </c>
      <c r="G21" s="38" t="s">
        <v>51</v>
      </c>
      <c r="H21" s="38" t="n">
        <v>41.2</v>
      </c>
      <c r="I21" s="38" t="n">
        <v>412</v>
      </c>
      <c r="J21" s="38" t="n">
        <v>3.977</v>
      </c>
      <c r="K21" s="40" t="n">
        <v>101</v>
      </c>
      <c r="L21" s="38" t="n">
        <v>6.555</v>
      </c>
      <c r="M21" s="40" t="n">
        <v>166.5</v>
      </c>
      <c r="N21" s="38" t="n">
        <v>1.305</v>
      </c>
      <c r="O21" s="41" t="n">
        <v>33.15</v>
      </c>
      <c r="P21" s="38" t="n">
        <v>9.87</v>
      </c>
      <c r="Q21" s="38" t="n">
        <v>987</v>
      </c>
      <c r="R21" s="38" t="n">
        <v>407</v>
      </c>
      <c r="S21" s="38" t="n">
        <v>407000</v>
      </c>
      <c r="T21" s="38" t="n">
        <v>80.3</v>
      </c>
      <c r="U21" s="22" t="n">
        <f aca="false">C21*1</f>
        <v>165</v>
      </c>
      <c r="V21" s="22" t="n">
        <f aca="false">VLOOKUP(U21,'Powder Core Toroid OD'!$A$2:$B$36,2,0)</f>
        <v>165.1</v>
      </c>
    </row>
    <row r="22" customFormat="false" ht="14.4" hidden="true" customHeight="false" outlineLevel="0" collapsed="false">
      <c r="A22" s="37" t="n">
        <v>55167</v>
      </c>
      <c r="B22" s="38" t="s">
        <v>57</v>
      </c>
      <c r="C22" s="39" t="n">
        <v>165</v>
      </c>
      <c r="D22" s="38" t="n">
        <v>60</v>
      </c>
      <c r="E22" s="38" t="s">
        <v>50</v>
      </c>
      <c r="F22" s="38" t="n">
        <v>180</v>
      </c>
      <c r="G22" s="38" t="s">
        <v>51</v>
      </c>
      <c r="H22" s="38" t="n">
        <v>41.2</v>
      </c>
      <c r="I22" s="38" t="n">
        <v>412</v>
      </c>
      <c r="J22" s="38" t="n">
        <v>3.977</v>
      </c>
      <c r="K22" s="40" t="n">
        <v>101</v>
      </c>
      <c r="L22" s="38" t="n">
        <v>6.555</v>
      </c>
      <c r="M22" s="40" t="n">
        <v>166.5</v>
      </c>
      <c r="N22" s="38" t="n">
        <v>1.305</v>
      </c>
      <c r="O22" s="41" t="n">
        <v>33.15</v>
      </c>
      <c r="P22" s="38" t="n">
        <v>9.87</v>
      </c>
      <c r="Q22" s="38" t="n">
        <v>987</v>
      </c>
      <c r="R22" s="38" t="n">
        <v>407</v>
      </c>
      <c r="S22" s="38" t="n">
        <v>407000</v>
      </c>
      <c r="T22" s="38" t="n">
        <v>80.3</v>
      </c>
      <c r="U22" s="22" t="n">
        <f aca="false">C22*1</f>
        <v>165</v>
      </c>
      <c r="V22" s="22" t="n">
        <f aca="false">VLOOKUP(U22,'Powder Core Toroid OD'!$A$2:$B$36,2,0)</f>
        <v>165.1</v>
      </c>
    </row>
    <row r="23" customFormat="false" ht="14.4" hidden="true" customHeight="false" outlineLevel="0" collapsed="false">
      <c r="A23" s="35" t="n">
        <v>55195</v>
      </c>
      <c r="B23" s="22" t="s">
        <v>58</v>
      </c>
      <c r="C23" s="23" t="n">
        <v>195</v>
      </c>
      <c r="D23" s="22" t="n">
        <v>125</v>
      </c>
      <c r="E23" s="22" t="s">
        <v>50</v>
      </c>
      <c r="F23" s="22" t="n">
        <v>287</v>
      </c>
      <c r="G23" s="22" t="s">
        <v>51</v>
      </c>
      <c r="H23" s="22" t="n">
        <v>12.5</v>
      </c>
      <c r="I23" s="22" t="n">
        <v>125</v>
      </c>
      <c r="J23" s="22" t="n">
        <v>1.007</v>
      </c>
      <c r="K23" s="22" t="n">
        <v>25.57</v>
      </c>
      <c r="L23" s="22" t="n">
        <v>2.285</v>
      </c>
      <c r="M23" s="22" t="n">
        <v>58.04</v>
      </c>
      <c r="N23" s="22" t="n">
        <v>0.635</v>
      </c>
      <c r="O23" s="22" t="n">
        <v>16.2</v>
      </c>
      <c r="P23" s="22" t="n">
        <v>2.29</v>
      </c>
      <c r="Q23" s="22" t="n">
        <v>229</v>
      </c>
      <c r="R23" s="22" t="n">
        <v>28.6</v>
      </c>
      <c r="S23" s="22" t="n">
        <v>28600</v>
      </c>
      <c r="T23" s="22" t="n">
        <v>5.14</v>
      </c>
      <c r="U23" s="22" t="n">
        <f aca="false">C23*1</f>
        <v>195</v>
      </c>
      <c r="V23" s="22" t="n">
        <f aca="false">VLOOKUP(U23,'Powder Core Toroid OD'!$A$2:$B$36,2,0)</f>
        <v>57.2</v>
      </c>
    </row>
    <row r="24" customFormat="false" ht="14.4" hidden="true" customHeight="false" outlineLevel="0" collapsed="false">
      <c r="A24" s="37" t="n">
        <v>55336</v>
      </c>
      <c r="B24" s="38" t="s">
        <v>59</v>
      </c>
      <c r="C24" s="39" t="n">
        <v>337</v>
      </c>
      <c r="D24" s="38" t="n">
        <v>14</v>
      </c>
      <c r="E24" s="38" t="s">
        <v>50</v>
      </c>
      <c r="F24" s="38" t="n">
        <v>37</v>
      </c>
      <c r="G24" s="38" t="s">
        <v>51</v>
      </c>
      <c r="H24" s="38" t="n">
        <v>32.4</v>
      </c>
      <c r="I24" s="38" t="n">
        <v>324</v>
      </c>
      <c r="J24" s="38" t="n">
        <v>3.039</v>
      </c>
      <c r="K24" s="38" t="n">
        <v>77.19</v>
      </c>
      <c r="L24" s="38" t="n">
        <v>5.274</v>
      </c>
      <c r="M24" s="40" t="n">
        <v>134</v>
      </c>
      <c r="N24" s="38" t="n">
        <v>1.055</v>
      </c>
      <c r="O24" s="41" t="n">
        <v>26.8</v>
      </c>
      <c r="P24" s="38" t="n">
        <v>6.78</v>
      </c>
      <c r="Q24" s="38" t="n">
        <v>678</v>
      </c>
      <c r="R24" s="38" t="n">
        <v>220</v>
      </c>
      <c r="S24" s="38" t="n">
        <v>220000</v>
      </c>
      <c r="T24" s="38" t="n">
        <v>47.1</v>
      </c>
      <c r="U24" s="22" t="n">
        <f aca="false">C24*1</f>
        <v>337</v>
      </c>
      <c r="V24" s="22" t="n">
        <f aca="false">VLOOKUP(U24,'Powder Core Toroid OD'!$A$2:$B$36,2,0)</f>
        <v>132.6</v>
      </c>
    </row>
    <row r="25" customFormat="false" ht="14.4" hidden="true" customHeight="false" outlineLevel="0" collapsed="false">
      <c r="A25" s="37" t="n">
        <v>55337</v>
      </c>
      <c r="B25" s="38" t="s">
        <v>60</v>
      </c>
      <c r="C25" s="39" t="n">
        <v>337</v>
      </c>
      <c r="D25" s="38" t="n">
        <v>26</v>
      </c>
      <c r="E25" s="38" t="s">
        <v>50</v>
      </c>
      <c r="F25" s="38" t="n">
        <v>68</v>
      </c>
      <c r="G25" s="38" t="s">
        <v>51</v>
      </c>
      <c r="H25" s="38" t="n">
        <v>32.4</v>
      </c>
      <c r="I25" s="38" t="n">
        <v>324</v>
      </c>
      <c r="J25" s="38" t="n">
        <v>3.039</v>
      </c>
      <c r="K25" s="38" t="n">
        <v>77.19</v>
      </c>
      <c r="L25" s="38" t="n">
        <v>5.274</v>
      </c>
      <c r="M25" s="40" t="n">
        <v>134</v>
      </c>
      <c r="N25" s="38" t="n">
        <v>1.055</v>
      </c>
      <c r="O25" s="41" t="n">
        <v>26.8</v>
      </c>
      <c r="P25" s="38" t="n">
        <v>6.78</v>
      </c>
      <c r="Q25" s="38" t="n">
        <v>678</v>
      </c>
      <c r="R25" s="38" t="n">
        <v>220</v>
      </c>
      <c r="S25" s="38" t="n">
        <v>220000</v>
      </c>
      <c r="T25" s="38" t="n">
        <v>47.1</v>
      </c>
      <c r="U25" s="22" t="n">
        <f aca="false">C25*1</f>
        <v>337</v>
      </c>
      <c r="V25" s="22" t="n">
        <f aca="false">VLOOKUP(U25,'Powder Core Toroid OD'!$A$2:$B$36,2,0)</f>
        <v>132.6</v>
      </c>
    </row>
    <row r="26" customFormat="false" ht="14.4" hidden="true" customHeight="false" outlineLevel="0" collapsed="false">
      <c r="A26" s="37" t="n">
        <v>55339</v>
      </c>
      <c r="B26" s="38" t="s">
        <v>61</v>
      </c>
      <c r="C26" s="39" t="n">
        <v>337</v>
      </c>
      <c r="D26" s="38" t="n">
        <v>60</v>
      </c>
      <c r="E26" s="38" t="s">
        <v>50</v>
      </c>
      <c r="F26" s="38" t="n">
        <v>158</v>
      </c>
      <c r="G26" s="38" t="s">
        <v>51</v>
      </c>
      <c r="H26" s="38" t="n">
        <v>32.4</v>
      </c>
      <c r="I26" s="38" t="n">
        <v>324</v>
      </c>
      <c r="J26" s="38" t="n">
        <v>3.039</v>
      </c>
      <c r="K26" s="38" t="n">
        <v>77.19</v>
      </c>
      <c r="L26" s="38" t="n">
        <v>5.274</v>
      </c>
      <c r="M26" s="40" t="n">
        <v>134</v>
      </c>
      <c r="N26" s="38" t="n">
        <v>1.055</v>
      </c>
      <c r="O26" s="41" t="n">
        <v>26.8</v>
      </c>
      <c r="P26" s="38" t="n">
        <v>6.78</v>
      </c>
      <c r="Q26" s="38" t="n">
        <v>678</v>
      </c>
      <c r="R26" s="38" t="n">
        <v>220</v>
      </c>
      <c r="S26" s="38" t="n">
        <v>220000</v>
      </c>
      <c r="T26" s="38" t="n">
        <v>47.1</v>
      </c>
      <c r="U26" s="22" t="n">
        <f aca="false">C26*1</f>
        <v>337</v>
      </c>
      <c r="V26" s="22" t="n">
        <f aca="false">VLOOKUP(U26,'Powder Core Toroid OD'!$A$2:$B$36,2,0)</f>
        <v>132.6</v>
      </c>
    </row>
    <row r="27" customFormat="false" ht="14.4" hidden="true" customHeight="false" outlineLevel="0" collapsed="false">
      <c r="A27" s="37" t="n">
        <v>55340</v>
      </c>
      <c r="B27" s="38" t="s">
        <v>62</v>
      </c>
      <c r="C27" s="39" t="n">
        <v>337</v>
      </c>
      <c r="D27" s="38" t="n">
        <v>125</v>
      </c>
      <c r="E27" s="38" t="s">
        <v>50</v>
      </c>
      <c r="F27" s="38" t="n">
        <v>329</v>
      </c>
      <c r="G27" s="38" t="s">
        <v>51</v>
      </c>
      <c r="H27" s="38" t="n">
        <v>32.4</v>
      </c>
      <c r="I27" s="38" t="n">
        <v>324</v>
      </c>
      <c r="J27" s="38" t="n">
        <v>3.039</v>
      </c>
      <c r="K27" s="38" t="n">
        <v>77.19</v>
      </c>
      <c r="L27" s="38" t="n">
        <v>5.274</v>
      </c>
      <c r="M27" s="40" t="n">
        <v>134</v>
      </c>
      <c r="N27" s="38" t="n">
        <v>1.055</v>
      </c>
      <c r="O27" s="41" t="n">
        <v>26.8</v>
      </c>
      <c r="P27" s="38" t="n">
        <v>6.78</v>
      </c>
      <c r="Q27" s="38" t="n">
        <v>678</v>
      </c>
      <c r="R27" s="38" t="n">
        <v>220</v>
      </c>
      <c r="S27" s="38" t="n">
        <v>220000</v>
      </c>
      <c r="T27" s="38" t="n">
        <v>47.1</v>
      </c>
      <c r="U27" s="22" t="n">
        <f aca="false">C27*1</f>
        <v>337</v>
      </c>
      <c r="V27" s="22" t="n">
        <f aca="false">VLOOKUP(U27,'Powder Core Toroid OD'!$A$2:$B$36,2,0)</f>
        <v>132.6</v>
      </c>
    </row>
    <row r="28" customFormat="false" ht="14.4" hidden="true" customHeight="false" outlineLevel="0" collapsed="false">
      <c r="A28" s="35" t="n">
        <v>55614</v>
      </c>
      <c r="B28" s="22" t="s">
        <v>63</v>
      </c>
      <c r="C28" s="23" t="n">
        <v>620</v>
      </c>
      <c r="D28" s="22" t="n">
        <v>14</v>
      </c>
      <c r="E28" s="22" t="s">
        <v>50</v>
      </c>
      <c r="F28" s="22" t="n">
        <v>44</v>
      </c>
      <c r="G28" s="22" t="s">
        <v>51</v>
      </c>
      <c r="H28" s="22" t="n">
        <v>14.4</v>
      </c>
      <c r="I28" s="22" t="n">
        <v>144</v>
      </c>
      <c r="J28" s="22" t="n">
        <v>1.248</v>
      </c>
      <c r="K28" s="42" t="n">
        <v>31.69</v>
      </c>
      <c r="L28" s="22" t="n">
        <v>2.477</v>
      </c>
      <c r="M28" s="42" t="n">
        <v>62.91</v>
      </c>
      <c r="N28" s="43" t="n">
        <v>1.02</v>
      </c>
      <c r="O28" s="42" t="n">
        <v>25.91</v>
      </c>
      <c r="P28" s="42" t="n">
        <v>3.6</v>
      </c>
      <c r="Q28" s="22" t="n">
        <v>360</v>
      </c>
      <c r="R28" s="22" t="n">
        <v>51.8</v>
      </c>
      <c r="S28" s="22" t="n">
        <v>51800</v>
      </c>
      <c r="T28" s="22" t="n">
        <v>7.89</v>
      </c>
      <c r="U28" s="22" t="n">
        <f aca="false">C28*1</f>
        <v>620</v>
      </c>
      <c r="V28" s="22" t="n">
        <f aca="false">VLOOKUP(U28,'Powder Core Toroid OD'!$A$2:$B$36,2,0)</f>
        <v>62</v>
      </c>
    </row>
    <row r="29" customFormat="false" ht="14.4" hidden="true" customHeight="false" outlineLevel="0" collapsed="false">
      <c r="A29" s="35" t="n">
        <v>55615</v>
      </c>
      <c r="B29" s="22" t="s">
        <v>64</v>
      </c>
      <c r="C29" s="23" t="n">
        <v>620</v>
      </c>
      <c r="D29" s="22" t="n">
        <v>26</v>
      </c>
      <c r="E29" s="22" t="s">
        <v>50</v>
      </c>
      <c r="F29" s="22" t="n">
        <v>82</v>
      </c>
      <c r="G29" s="22" t="s">
        <v>51</v>
      </c>
      <c r="H29" s="22" t="n">
        <v>14.4</v>
      </c>
      <c r="I29" s="22" t="n">
        <v>144</v>
      </c>
      <c r="J29" s="22" t="n">
        <v>1.248</v>
      </c>
      <c r="K29" s="42" t="n">
        <v>31.69</v>
      </c>
      <c r="L29" s="22" t="n">
        <v>2.477</v>
      </c>
      <c r="M29" s="42" t="n">
        <v>62.91</v>
      </c>
      <c r="N29" s="43" t="n">
        <v>1.02</v>
      </c>
      <c r="O29" s="42" t="n">
        <v>25.91</v>
      </c>
      <c r="P29" s="42" t="n">
        <v>3.6</v>
      </c>
      <c r="Q29" s="22" t="n">
        <v>360</v>
      </c>
      <c r="R29" s="22" t="n">
        <v>51.8</v>
      </c>
      <c r="S29" s="22" t="n">
        <v>51800</v>
      </c>
      <c r="T29" s="22" t="n">
        <v>7.89</v>
      </c>
      <c r="U29" s="22" t="n">
        <f aca="false">C29*1</f>
        <v>620</v>
      </c>
      <c r="V29" s="22" t="n">
        <f aca="false">VLOOKUP(U29,'Powder Core Toroid OD'!$A$2:$B$36,2,0)</f>
        <v>62</v>
      </c>
    </row>
    <row r="30" customFormat="false" ht="14.4" hidden="true" customHeight="false" outlineLevel="0" collapsed="false">
      <c r="A30" s="35" t="n">
        <v>55617</v>
      </c>
      <c r="B30" s="22" t="s">
        <v>65</v>
      </c>
      <c r="C30" s="23" t="n">
        <v>620</v>
      </c>
      <c r="D30" s="22" t="n">
        <v>60</v>
      </c>
      <c r="E30" s="22" t="s">
        <v>50</v>
      </c>
      <c r="F30" s="22" t="n">
        <v>189</v>
      </c>
      <c r="G30" s="22" t="s">
        <v>51</v>
      </c>
      <c r="H30" s="22" t="n">
        <v>14.4</v>
      </c>
      <c r="I30" s="22" t="n">
        <v>144</v>
      </c>
      <c r="J30" s="22" t="n">
        <v>1.248</v>
      </c>
      <c r="K30" s="42" t="n">
        <v>31.69</v>
      </c>
      <c r="L30" s="22" t="n">
        <v>2.477</v>
      </c>
      <c r="M30" s="42" t="n">
        <v>62.91</v>
      </c>
      <c r="N30" s="43" t="n">
        <v>1.02</v>
      </c>
      <c r="O30" s="42" t="n">
        <v>25.91</v>
      </c>
      <c r="P30" s="42" t="n">
        <v>3.6</v>
      </c>
      <c r="Q30" s="22" t="n">
        <v>360</v>
      </c>
      <c r="R30" s="22" t="n">
        <v>51.8</v>
      </c>
      <c r="S30" s="22" t="n">
        <v>51800</v>
      </c>
      <c r="T30" s="22" t="n">
        <v>7.89</v>
      </c>
      <c r="U30" s="22" t="n">
        <f aca="false">C30*1</f>
        <v>620</v>
      </c>
      <c r="V30" s="22" t="n">
        <f aca="false">VLOOKUP(U30,'Powder Core Toroid OD'!$A$2:$B$36,2,0)</f>
        <v>62</v>
      </c>
    </row>
    <row r="31" customFormat="false" ht="14.4" hidden="true" customHeight="false" outlineLevel="0" collapsed="false">
      <c r="A31" s="35" t="n">
        <v>55620</v>
      </c>
      <c r="B31" s="22" t="s">
        <v>66</v>
      </c>
      <c r="C31" s="23" t="n">
        <v>620</v>
      </c>
      <c r="D31" s="22" t="n">
        <v>125</v>
      </c>
      <c r="E31" s="22" t="s">
        <v>50</v>
      </c>
      <c r="F31" s="22" t="n">
        <v>394</v>
      </c>
      <c r="G31" s="22" t="s">
        <v>51</v>
      </c>
      <c r="H31" s="22" t="n">
        <v>14.4</v>
      </c>
      <c r="I31" s="22" t="n">
        <v>144</v>
      </c>
      <c r="J31" s="22" t="n">
        <v>1.248</v>
      </c>
      <c r="K31" s="42" t="n">
        <v>31.69</v>
      </c>
      <c r="L31" s="22" t="n">
        <v>2.477</v>
      </c>
      <c r="M31" s="42" t="n">
        <v>62.91</v>
      </c>
      <c r="N31" s="43" t="n">
        <v>1.02</v>
      </c>
      <c r="O31" s="42" t="n">
        <v>25.91</v>
      </c>
      <c r="P31" s="42" t="n">
        <v>3.6</v>
      </c>
      <c r="Q31" s="22" t="n">
        <v>360</v>
      </c>
      <c r="R31" s="22" t="n">
        <v>51.8</v>
      </c>
      <c r="S31" s="22" t="n">
        <v>51800</v>
      </c>
      <c r="T31" s="22" t="n">
        <v>7.89</v>
      </c>
      <c r="U31" s="22" t="n">
        <f aca="false">C31*1</f>
        <v>620</v>
      </c>
      <c r="V31" s="22" t="n">
        <f aca="false">VLOOKUP(U31,'Powder Core Toroid OD'!$A$2:$B$36,2,0)</f>
        <v>62</v>
      </c>
    </row>
    <row r="32" customFormat="false" ht="14.4" hidden="true" customHeight="false" outlineLevel="0" collapsed="false">
      <c r="A32" s="35" t="n">
        <v>55734</v>
      </c>
      <c r="B32" s="22" t="s">
        <v>67</v>
      </c>
      <c r="C32" s="23" t="n">
        <v>740</v>
      </c>
      <c r="D32" s="22" t="n">
        <v>14</v>
      </c>
      <c r="E32" s="22" t="s">
        <v>50</v>
      </c>
      <c r="F32" s="22" t="n">
        <v>48</v>
      </c>
      <c r="G32" s="22" t="s">
        <v>51</v>
      </c>
      <c r="H32" s="22" t="n">
        <v>18.4</v>
      </c>
      <c r="I32" s="22" t="n">
        <v>184</v>
      </c>
      <c r="J32" s="22" t="n">
        <v>1.748</v>
      </c>
      <c r="K32" s="42" t="n">
        <v>44.39</v>
      </c>
      <c r="L32" s="22" t="n">
        <v>2.953</v>
      </c>
      <c r="M32" s="42" t="n">
        <v>75.01</v>
      </c>
      <c r="N32" s="43" t="n">
        <v>1.414</v>
      </c>
      <c r="O32" s="42" t="n">
        <v>35.92</v>
      </c>
      <c r="P32" s="42" t="n">
        <v>4.97</v>
      </c>
      <c r="Q32" s="22" t="n">
        <v>497</v>
      </c>
      <c r="R32" s="22" t="n">
        <v>91.4</v>
      </c>
      <c r="S32" s="22" t="n">
        <v>91400</v>
      </c>
      <c r="T32" s="22" t="n">
        <v>15.5</v>
      </c>
      <c r="U32" s="22" t="n">
        <f aca="false">C32*1</f>
        <v>740</v>
      </c>
      <c r="V32" s="22" t="n">
        <f aca="false">VLOOKUP(U32,'Powder Core Toroid OD'!$A$2:$B$36,2,0)</f>
        <v>74.1</v>
      </c>
    </row>
    <row r="33" customFormat="false" ht="14.4" hidden="true" customHeight="false" outlineLevel="0" collapsed="false">
      <c r="A33" s="35" t="n">
        <v>55735</v>
      </c>
      <c r="B33" s="22" t="s">
        <v>68</v>
      </c>
      <c r="C33" s="23" t="n">
        <v>740</v>
      </c>
      <c r="D33" s="22" t="n">
        <v>26</v>
      </c>
      <c r="E33" s="22" t="s">
        <v>50</v>
      </c>
      <c r="F33" s="22" t="n">
        <v>88</v>
      </c>
      <c r="G33" s="22" t="s">
        <v>51</v>
      </c>
      <c r="H33" s="22" t="n">
        <v>18.4</v>
      </c>
      <c r="I33" s="22" t="n">
        <v>184</v>
      </c>
      <c r="J33" s="22" t="n">
        <v>1.748</v>
      </c>
      <c r="K33" s="42" t="n">
        <v>44.39</v>
      </c>
      <c r="L33" s="22" t="n">
        <v>2.953</v>
      </c>
      <c r="M33" s="42" t="n">
        <v>75.01</v>
      </c>
      <c r="N33" s="43" t="n">
        <v>1.414</v>
      </c>
      <c r="O33" s="42" t="n">
        <v>35.92</v>
      </c>
      <c r="P33" s="42" t="n">
        <v>4.97</v>
      </c>
      <c r="Q33" s="22" t="n">
        <v>497</v>
      </c>
      <c r="R33" s="22" t="n">
        <v>91.4</v>
      </c>
      <c r="S33" s="22" t="n">
        <v>91400</v>
      </c>
      <c r="T33" s="22" t="n">
        <v>15.5</v>
      </c>
      <c r="U33" s="22" t="n">
        <f aca="false">C33*1</f>
        <v>740</v>
      </c>
      <c r="V33" s="22" t="n">
        <f aca="false">VLOOKUP(U33,'Powder Core Toroid OD'!$A$2:$B$36,2,0)</f>
        <v>74.1</v>
      </c>
    </row>
    <row r="34" customFormat="false" ht="14.4" hidden="true" customHeight="false" outlineLevel="0" collapsed="false">
      <c r="A34" s="35" t="n">
        <v>55737</v>
      </c>
      <c r="B34" s="22" t="s">
        <v>69</v>
      </c>
      <c r="C34" s="23" t="n">
        <v>740</v>
      </c>
      <c r="D34" s="22" t="n">
        <v>60</v>
      </c>
      <c r="E34" s="22" t="s">
        <v>50</v>
      </c>
      <c r="F34" s="22" t="n">
        <v>204</v>
      </c>
      <c r="G34" s="22" t="s">
        <v>51</v>
      </c>
      <c r="H34" s="22" t="n">
        <v>18.4</v>
      </c>
      <c r="I34" s="22" t="n">
        <v>184</v>
      </c>
      <c r="J34" s="22" t="n">
        <v>1.748</v>
      </c>
      <c r="K34" s="42" t="n">
        <v>44.39</v>
      </c>
      <c r="L34" s="22" t="n">
        <v>2.953</v>
      </c>
      <c r="M34" s="42" t="n">
        <v>75.01</v>
      </c>
      <c r="N34" s="43" t="n">
        <v>1.414</v>
      </c>
      <c r="O34" s="42" t="n">
        <v>35.92</v>
      </c>
      <c r="P34" s="42" t="n">
        <v>4.97</v>
      </c>
      <c r="Q34" s="22" t="n">
        <v>497</v>
      </c>
      <c r="R34" s="22" t="n">
        <v>91.4</v>
      </c>
      <c r="S34" s="22" t="n">
        <v>91400</v>
      </c>
      <c r="T34" s="22" t="n">
        <v>15.5</v>
      </c>
      <c r="U34" s="22" t="n">
        <f aca="false">C34*1</f>
        <v>740</v>
      </c>
      <c r="V34" s="22" t="n">
        <f aca="false">VLOOKUP(U34,'Powder Core Toroid OD'!$A$2:$B$36,2,0)</f>
        <v>74.1</v>
      </c>
    </row>
    <row r="35" customFormat="false" ht="14.4" hidden="true" customHeight="false" outlineLevel="0" collapsed="false">
      <c r="A35" s="35" t="n">
        <v>55740</v>
      </c>
      <c r="B35" s="22" t="s">
        <v>70</v>
      </c>
      <c r="C35" s="23" t="n">
        <v>740</v>
      </c>
      <c r="D35" s="22" t="n">
        <v>125</v>
      </c>
      <c r="E35" s="22" t="s">
        <v>50</v>
      </c>
      <c r="F35" s="22" t="n">
        <v>425</v>
      </c>
      <c r="G35" s="22" t="s">
        <v>51</v>
      </c>
      <c r="H35" s="22" t="n">
        <v>18.4</v>
      </c>
      <c r="I35" s="22" t="n">
        <v>184</v>
      </c>
      <c r="J35" s="22" t="n">
        <v>1.748</v>
      </c>
      <c r="K35" s="42" t="n">
        <v>44.39</v>
      </c>
      <c r="L35" s="22" t="n">
        <v>2.953</v>
      </c>
      <c r="M35" s="42" t="n">
        <v>75.01</v>
      </c>
      <c r="N35" s="43" t="n">
        <v>1.414</v>
      </c>
      <c r="O35" s="42" t="n">
        <v>35.92</v>
      </c>
      <c r="P35" s="42" t="n">
        <v>4.97</v>
      </c>
      <c r="Q35" s="22" t="n">
        <v>497</v>
      </c>
      <c r="R35" s="22" t="n">
        <v>91.4</v>
      </c>
      <c r="S35" s="22" t="n">
        <v>91400</v>
      </c>
      <c r="T35" s="22" t="n">
        <v>15.5</v>
      </c>
      <c r="U35" s="22" t="n">
        <f aca="false">C35*1</f>
        <v>740</v>
      </c>
      <c r="V35" s="22" t="n">
        <f aca="false">VLOOKUP(U35,'Powder Core Toroid OD'!$A$2:$B$36,2,0)</f>
        <v>74.1</v>
      </c>
    </row>
    <row r="36" customFormat="false" ht="14.4" hidden="true" customHeight="false" outlineLevel="0" collapsed="false">
      <c r="A36" s="35" t="n">
        <v>58098</v>
      </c>
      <c r="B36" s="22" t="s">
        <v>71</v>
      </c>
      <c r="C36" s="23" t="n">
        <v>102</v>
      </c>
      <c r="D36" s="22" t="n">
        <v>125</v>
      </c>
      <c r="E36" s="22" t="s">
        <v>72</v>
      </c>
      <c r="F36" s="22" t="n">
        <v>232</v>
      </c>
      <c r="G36" s="22" t="s">
        <v>51</v>
      </c>
      <c r="H36" s="22" t="n">
        <v>24.3</v>
      </c>
      <c r="I36" s="22" t="n">
        <v>243</v>
      </c>
      <c r="J36" s="22" t="n">
        <v>2.195</v>
      </c>
      <c r="K36" s="22" t="n">
        <v>55.75</v>
      </c>
      <c r="L36" s="22" t="n">
        <v>4.055</v>
      </c>
      <c r="M36" s="36" t="n">
        <v>103</v>
      </c>
      <c r="N36" s="22" t="n">
        <v>0.705</v>
      </c>
      <c r="O36" s="22" t="n">
        <v>17.9</v>
      </c>
      <c r="P36" s="22" t="n">
        <v>3.58</v>
      </c>
      <c r="Q36" s="22" t="n">
        <v>358</v>
      </c>
      <c r="R36" s="22" t="n">
        <v>86.9</v>
      </c>
      <c r="S36" s="22" t="n">
        <v>86900</v>
      </c>
      <c r="T36" s="22" t="n">
        <v>24.7</v>
      </c>
      <c r="U36" s="22" t="n">
        <f aca="false">C36*1</f>
        <v>102</v>
      </c>
      <c r="V36" s="22" t="n">
        <f aca="false">VLOOKUP(U36,'Powder Core Toroid OD'!$A$2:$B$36,2,0)</f>
        <v>101.6</v>
      </c>
    </row>
    <row r="37" customFormat="false" ht="14.4" hidden="true" customHeight="false" outlineLevel="0" collapsed="false">
      <c r="A37" s="35" t="n">
        <v>58099</v>
      </c>
      <c r="B37" s="22" t="s">
        <v>73</v>
      </c>
      <c r="C37" s="23" t="n">
        <v>102</v>
      </c>
      <c r="D37" s="22" t="n">
        <v>60</v>
      </c>
      <c r="E37" s="22" t="s">
        <v>72</v>
      </c>
      <c r="F37" s="22" t="n">
        <v>111</v>
      </c>
      <c r="G37" s="22" t="s">
        <v>51</v>
      </c>
      <c r="H37" s="22" t="n">
        <v>24.3</v>
      </c>
      <c r="I37" s="22" t="n">
        <v>243</v>
      </c>
      <c r="J37" s="22" t="n">
        <v>2.195</v>
      </c>
      <c r="K37" s="22" t="n">
        <v>55.75</v>
      </c>
      <c r="L37" s="22" t="n">
        <v>4.055</v>
      </c>
      <c r="M37" s="36" t="n">
        <v>103</v>
      </c>
      <c r="N37" s="22" t="n">
        <v>0.705</v>
      </c>
      <c r="O37" s="22" t="n">
        <v>17.9</v>
      </c>
      <c r="P37" s="22" t="n">
        <v>3.58</v>
      </c>
      <c r="Q37" s="22" t="n">
        <v>358</v>
      </c>
      <c r="R37" s="22" t="n">
        <v>86.9</v>
      </c>
      <c r="S37" s="22" t="n">
        <v>86900</v>
      </c>
      <c r="T37" s="22" t="n">
        <v>24.7</v>
      </c>
      <c r="U37" s="22" t="n">
        <f aca="false">C37*1</f>
        <v>102</v>
      </c>
      <c r="V37" s="22" t="n">
        <f aca="false">VLOOKUP(U37,'Powder Core Toroid OD'!$A$2:$B$36,2,0)</f>
        <v>101.6</v>
      </c>
    </row>
    <row r="38" customFormat="false" ht="14.4" hidden="true" customHeight="false" outlineLevel="0" collapsed="false">
      <c r="A38" s="35" t="n">
        <v>58101</v>
      </c>
      <c r="B38" s="22" t="s">
        <v>74</v>
      </c>
      <c r="C38" s="23" t="n">
        <v>102</v>
      </c>
      <c r="D38" s="22" t="n">
        <v>14</v>
      </c>
      <c r="E38" s="22" t="s">
        <v>72</v>
      </c>
      <c r="F38" s="22" t="n">
        <v>26</v>
      </c>
      <c r="G38" s="22" t="s">
        <v>51</v>
      </c>
      <c r="H38" s="22" t="n">
        <v>24.3</v>
      </c>
      <c r="I38" s="22" t="n">
        <v>243</v>
      </c>
      <c r="J38" s="22" t="n">
        <v>2.195</v>
      </c>
      <c r="K38" s="22" t="n">
        <v>55.75</v>
      </c>
      <c r="L38" s="22" t="n">
        <v>4.055</v>
      </c>
      <c r="M38" s="36" t="n">
        <v>103</v>
      </c>
      <c r="N38" s="22" t="n">
        <v>0.705</v>
      </c>
      <c r="O38" s="22" t="n">
        <v>17.9</v>
      </c>
      <c r="P38" s="22" t="n">
        <v>3.58</v>
      </c>
      <c r="Q38" s="22" t="n">
        <v>358</v>
      </c>
      <c r="R38" s="22" t="n">
        <v>86.9</v>
      </c>
      <c r="S38" s="22" t="n">
        <v>86900</v>
      </c>
      <c r="T38" s="22" t="n">
        <v>24.7</v>
      </c>
      <c r="U38" s="22" t="n">
        <f aca="false">C38*1</f>
        <v>102</v>
      </c>
      <c r="V38" s="22" t="n">
        <f aca="false">VLOOKUP(U38,'Powder Core Toroid OD'!$A$2:$B$36,2,0)</f>
        <v>101.6</v>
      </c>
    </row>
    <row r="39" customFormat="false" ht="14.4" hidden="true" customHeight="false" outlineLevel="0" collapsed="false">
      <c r="A39" s="35" t="n">
        <v>58102</v>
      </c>
      <c r="B39" s="22" t="s">
        <v>75</v>
      </c>
      <c r="C39" s="23" t="n">
        <v>102</v>
      </c>
      <c r="D39" s="22" t="n">
        <v>26</v>
      </c>
      <c r="E39" s="22" t="s">
        <v>72</v>
      </c>
      <c r="F39" s="22" t="n">
        <v>48</v>
      </c>
      <c r="G39" s="22" t="s">
        <v>51</v>
      </c>
      <c r="H39" s="22" t="n">
        <v>24.3</v>
      </c>
      <c r="I39" s="22" t="n">
        <v>243</v>
      </c>
      <c r="J39" s="22" t="n">
        <v>2.195</v>
      </c>
      <c r="K39" s="22" t="n">
        <v>55.75</v>
      </c>
      <c r="L39" s="22" t="n">
        <v>4.055</v>
      </c>
      <c r="M39" s="36" t="n">
        <v>103</v>
      </c>
      <c r="N39" s="22" t="n">
        <v>0.705</v>
      </c>
      <c r="O39" s="22" t="n">
        <v>17.9</v>
      </c>
      <c r="P39" s="22" t="n">
        <v>3.58</v>
      </c>
      <c r="Q39" s="22" t="n">
        <v>358</v>
      </c>
      <c r="R39" s="22" t="n">
        <v>86.9</v>
      </c>
      <c r="S39" s="22" t="n">
        <v>86900</v>
      </c>
      <c r="T39" s="22" t="n">
        <v>24.7</v>
      </c>
      <c r="U39" s="22" t="n">
        <f aca="false">C39*1</f>
        <v>102</v>
      </c>
      <c r="V39" s="22" t="n">
        <f aca="false">VLOOKUP(U39,'Powder Core Toroid OD'!$A$2:$B$36,2,0)</f>
        <v>101.6</v>
      </c>
    </row>
    <row r="40" customFormat="false" ht="14.4" hidden="true" customHeight="false" outlineLevel="0" collapsed="false">
      <c r="A40" s="37" t="n">
        <v>58164</v>
      </c>
      <c r="B40" s="38" t="s">
        <v>76</v>
      </c>
      <c r="C40" s="39" t="n">
        <v>165</v>
      </c>
      <c r="D40" s="38" t="n">
        <v>14</v>
      </c>
      <c r="E40" s="38" t="s">
        <v>72</v>
      </c>
      <c r="F40" s="38" t="n">
        <v>42</v>
      </c>
      <c r="G40" s="38" t="s">
        <v>51</v>
      </c>
      <c r="H40" s="38" t="n">
        <v>41.2</v>
      </c>
      <c r="I40" s="38" t="n">
        <v>412</v>
      </c>
      <c r="J40" s="38" t="n">
        <v>3.977</v>
      </c>
      <c r="K40" s="40" t="n">
        <v>101</v>
      </c>
      <c r="L40" s="38" t="n">
        <v>6.555</v>
      </c>
      <c r="M40" s="40" t="n">
        <v>166.5</v>
      </c>
      <c r="N40" s="38" t="n">
        <v>1.305</v>
      </c>
      <c r="O40" s="41" t="n">
        <v>33.15</v>
      </c>
      <c r="P40" s="38" t="n">
        <v>9.87</v>
      </c>
      <c r="Q40" s="38" t="n">
        <v>987</v>
      </c>
      <c r="R40" s="38" t="n">
        <v>407</v>
      </c>
      <c r="S40" s="38" t="n">
        <v>407000</v>
      </c>
      <c r="T40" s="38" t="n">
        <v>80.3</v>
      </c>
      <c r="U40" s="22" t="n">
        <f aca="false">C40*1</f>
        <v>165</v>
      </c>
      <c r="V40" s="22" t="n">
        <f aca="false">VLOOKUP(U40,'Powder Core Toroid OD'!$A$2:$B$36,2,0)</f>
        <v>165.1</v>
      </c>
    </row>
    <row r="41" customFormat="false" ht="14.4" hidden="true" customHeight="false" outlineLevel="0" collapsed="false">
      <c r="A41" s="37" t="n">
        <v>58165</v>
      </c>
      <c r="B41" s="38" t="s">
        <v>77</v>
      </c>
      <c r="C41" s="39" t="n">
        <v>165</v>
      </c>
      <c r="D41" s="38" t="n">
        <v>26</v>
      </c>
      <c r="E41" s="38" t="s">
        <v>72</v>
      </c>
      <c r="F41" s="38" t="n">
        <v>78</v>
      </c>
      <c r="G41" s="38" t="s">
        <v>51</v>
      </c>
      <c r="H41" s="38" t="n">
        <v>41.2</v>
      </c>
      <c r="I41" s="38" t="n">
        <v>412</v>
      </c>
      <c r="J41" s="38" t="n">
        <v>3.977</v>
      </c>
      <c r="K41" s="40" t="n">
        <v>101</v>
      </c>
      <c r="L41" s="38" t="n">
        <v>6.555</v>
      </c>
      <c r="M41" s="40" t="n">
        <v>166.5</v>
      </c>
      <c r="N41" s="38" t="n">
        <v>1.305</v>
      </c>
      <c r="O41" s="41" t="n">
        <v>33.15</v>
      </c>
      <c r="P41" s="38" t="n">
        <v>9.87</v>
      </c>
      <c r="Q41" s="38" t="n">
        <v>987</v>
      </c>
      <c r="R41" s="38" t="n">
        <v>407</v>
      </c>
      <c r="S41" s="38" t="n">
        <v>407000</v>
      </c>
      <c r="T41" s="38" t="n">
        <v>80.3</v>
      </c>
      <c r="U41" s="22" t="n">
        <f aca="false">C41*1</f>
        <v>165</v>
      </c>
      <c r="V41" s="22" t="n">
        <f aca="false">VLOOKUP(U41,'Powder Core Toroid OD'!$A$2:$B$36,2,0)</f>
        <v>165.1</v>
      </c>
    </row>
    <row r="42" customFormat="false" ht="14.4" hidden="true" customHeight="false" outlineLevel="0" collapsed="false">
      <c r="A42" s="37" t="n">
        <v>58167</v>
      </c>
      <c r="B42" s="38" t="s">
        <v>78</v>
      </c>
      <c r="C42" s="39" t="n">
        <v>165</v>
      </c>
      <c r="D42" s="38" t="n">
        <v>60</v>
      </c>
      <c r="E42" s="38" t="s">
        <v>72</v>
      </c>
      <c r="F42" s="38" t="n">
        <v>180</v>
      </c>
      <c r="G42" s="38" t="s">
        <v>51</v>
      </c>
      <c r="H42" s="38" t="n">
        <v>41.2</v>
      </c>
      <c r="I42" s="38" t="n">
        <v>412</v>
      </c>
      <c r="J42" s="38" t="n">
        <v>3.977</v>
      </c>
      <c r="K42" s="40" t="n">
        <v>101</v>
      </c>
      <c r="L42" s="38" t="n">
        <v>6.555</v>
      </c>
      <c r="M42" s="40" t="n">
        <v>166.5</v>
      </c>
      <c r="N42" s="38" t="n">
        <v>1.305</v>
      </c>
      <c r="O42" s="41" t="n">
        <v>33.15</v>
      </c>
      <c r="P42" s="38" t="n">
        <v>9.87</v>
      </c>
      <c r="Q42" s="38" t="n">
        <v>987</v>
      </c>
      <c r="R42" s="38" t="n">
        <v>407</v>
      </c>
      <c r="S42" s="38" t="n">
        <v>407000</v>
      </c>
      <c r="T42" s="38" t="n">
        <v>80.3</v>
      </c>
      <c r="U42" s="22" t="n">
        <f aca="false">C42*1</f>
        <v>165</v>
      </c>
      <c r="V42" s="22" t="n">
        <f aca="false">VLOOKUP(U42,'Powder Core Toroid OD'!$A$2:$B$36,2,0)</f>
        <v>165.1</v>
      </c>
    </row>
    <row r="43" customFormat="false" ht="14.4" hidden="true" customHeight="false" outlineLevel="0" collapsed="false">
      <c r="A43" s="37" t="n">
        <v>58336</v>
      </c>
      <c r="B43" s="38" t="s">
        <v>79</v>
      </c>
      <c r="C43" s="39" t="n">
        <v>337</v>
      </c>
      <c r="D43" s="38" t="n">
        <v>14</v>
      </c>
      <c r="E43" s="38" t="s">
        <v>72</v>
      </c>
      <c r="F43" s="38" t="n">
        <v>37</v>
      </c>
      <c r="G43" s="38" t="s">
        <v>51</v>
      </c>
      <c r="H43" s="38" t="n">
        <v>32.4</v>
      </c>
      <c r="I43" s="38" t="n">
        <v>324</v>
      </c>
      <c r="J43" s="38" t="n">
        <v>3.039</v>
      </c>
      <c r="K43" s="38" t="n">
        <v>77.19</v>
      </c>
      <c r="L43" s="38" t="n">
        <v>5.274</v>
      </c>
      <c r="M43" s="40" t="n">
        <v>134</v>
      </c>
      <c r="N43" s="38" t="n">
        <v>1.055</v>
      </c>
      <c r="O43" s="41" t="n">
        <v>26.8</v>
      </c>
      <c r="P43" s="38" t="n">
        <v>6.78</v>
      </c>
      <c r="Q43" s="38" t="n">
        <v>678</v>
      </c>
      <c r="R43" s="38" t="n">
        <v>220</v>
      </c>
      <c r="S43" s="38" t="n">
        <v>220000</v>
      </c>
      <c r="T43" s="38" t="n">
        <v>47.1</v>
      </c>
      <c r="U43" s="22" t="n">
        <f aca="false">C43*1</f>
        <v>337</v>
      </c>
      <c r="V43" s="22" t="n">
        <f aca="false">VLOOKUP(U43,'Powder Core Toroid OD'!$A$2:$B$36,2,0)</f>
        <v>132.6</v>
      </c>
    </row>
    <row r="44" customFormat="false" ht="14.4" hidden="true" customHeight="false" outlineLevel="0" collapsed="false">
      <c r="A44" s="37" t="n">
        <v>58337</v>
      </c>
      <c r="B44" s="38" t="s">
        <v>80</v>
      </c>
      <c r="C44" s="39" t="n">
        <v>337</v>
      </c>
      <c r="D44" s="38" t="n">
        <v>26</v>
      </c>
      <c r="E44" s="38" t="s">
        <v>72</v>
      </c>
      <c r="F44" s="38" t="n">
        <v>68</v>
      </c>
      <c r="G44" s="38" t="s">
        <v>51</v>
      </c>
      <c r="H44" s="38" t="n">
        <v>32.4</v>
      </c>
      <c r="I44" s="38" t="n">
        <v>324</v>
      </c>
      <c r="J44" s="38" t="n">
        <v>3.039</v>
      </c>
      <c r="K44" s="38" t="n">
        <v>77.19</v>
      </c>
      <c r="L44" s="38" t="n">
        <v>5.274</v>
      </c>
      <c r="M44" s="40" t="n">
        <v>134</v>
      </c>
      <c r="N44" s="38" t="n">
        <v>1.055</v>
      </c>
      <c r="O44" s="41" t="n">
        <v>26.8</v>
      </c>
      <c r="P44" s="38" t="n">
        <v>6.78</v>
      </c>
      <c r="Q44" s="38" t="n">
        <v>678</v>
      </c>
      <c r="R44" s="38" t="n">
        <v>220</v>
      </c>
      <c r="S44" s="38" t="n">
        <v>220000</v>
      </c>
      <c r="T44" s="38" t="n">
        <v>47.1</v>
      </c>
      <c r="U44" s="22" t="n">
        <f aca="false">C44*1</f>
        <v>337</v>
      </c>
      <c r="V44" s="22" t="n">
        <f aca="false">VLOOKUP(U44,'Powder Core Toroid OD'!$A$2:$B$36,2,0)</f>
        <v>132.6</v>
      </c>
    </row>
    <row r="45" customFormat="false" ht="14.4" hidden="true" customHeight="false" outlineLevel="0" collapsed="false">
      <c r="A45" s="37" t="n">
        <v>58339</v>
      </c>
      <c r="B45" s="38" t="s">
        <v>81</v>
      </c>
      <c r="C45" s="39" t="n">
        <v>337</v>
      </c>
      <c r="D45" s="38" t="n">
        <v>60</v>
      </c>
      <c r="E45" s="38" t="s">
        <v>72</v>
      </c>
      <c r="F45" s="38" t="n">
        <v>158</v>
      </c>
      <c r="G45" s="38" t="s">
        <v>51</v>
      </c>
      <c r="H45" s="38" t="n">
        <v>32.4</v>
      </c>
      <c r="I45" s="38" t="n">
        <v>324</v>
      </c>
      <c r="J45" s="38" t="n">
        <v>3.039</v>
      </c>
      <c r="K45" s="38" t="n">
        <v>77.19</v>
      </c>
      <c r="L45" s="38" t="n">
        <v>5.274</v>
      </c>
      <c r="M45" s="40" t="n">
        <v>134</v>
      </c>
      <c r="N45" s="38" t="n">
        <v>1.055</v>
      </c>
      <c r="O45" s="41" t="n">
        <v>26.8</v>
      </c>
      <c r="P45" s="38" t="n">
        <v>6.78</v>
      </c>
      <c r="Q45" s="38" t="n">
        <v>678</v>
      </c>
      <c r="R45" s="38" t="n">
        <v>220</v>
      </c>
      <c r="S45" s="38" t="n">
        <v>220000</v>
      </c>
      <c r="T45" s="38" t="n">
        <v>47.1</v>
      </c>
      <c r="U45" s="22" t="n">
        <f aca="false">C45*1</f>
        <v>337</v>
      </c>
      <c r="V45" s="22" t="n">
        <f aca="false">VLOOKUP(U45,'Powder Core Toroid OD'!$A$2:$B$36,2,0)</f>
        <v>132.6</v>
      </c>
    </row>
    <row r="46" customFormat="false" ht="14.4" hidden="true" customHeight="false" outlineLevel="0" collapsed="false">
      <c r="A46" s="37" t="n">
        <v>58340</v>
      </c>
      <c r="B46" s="38" t="s">
        <v>82</v>
      </c>
      <c r="C46" s="39" t="n">
        <v>337</v>
      </c>
      <c r="D46" s="38" t="n">
        <v>125</v>
      </c>
      <c r="E46" s="38" t="s">
        <v>72</v>
      </c>
      <c r="F46" s="38" t="n">
        <v>329</v>
      </c>
      <c r="G46" s="38" t="s">
        <v>51</v>
      </c>
      <c r="H46" s="38" t="n">
        <v>32.4</v>
      </c>
      <c r="I46" s="38" t="n">
        <v>324</v>
      </c>
      <c r="J46" s="38" t="n">
        <v>3.039</v>
      </c>
      <c r="K46" s="38" t="n">
        <v>77.19</v>
      </c>
      <c r="L46" s="38" t="n">
        <v>5.274</v>
      </c>
      <c r="M46" s="40" t="n">
        <v>134</v>
      </c>
      <c r="N46" s="38" t="n">
        <v>1.055</v>
      </c>
      <c r="O46" s="41" t="n">
        <v>26.8</v>
      </c>
      <c r="P46" s="38" t="n">
        <v>6.78</v>
      </c>
      <c r="Q46" s="38" t="n">
        <v>678</v>
      </c>
      <c r="R46" s="38" t="n">
        <v>220</v>
      </c>
      <c r="S46" s="38" t="n">
        <v>220000</v>
      </c>
      <c r="T46" s="38" t="n">
        <v>47.1</v>
      </c>
      <c r="U46" s="22" t="n">
        <f aca="false">C46*1</f>
        <v>337</v>
      </c>
      <c r="V46" s="22" t="n">
        <f aca="false">VLOOKUP(U46,'Powder Core Toroid OD'!$A$2:$B$36,2,0)</f>
        <v>132.6</v>
      </c>
    </row>
    <row r="47" customFormat="false" ht="14.4" hidden="true" customHeight="false" outlineLevel="0" collapsed="false">
      <c r="A47" s="35" t="n">
        <v>58587</v>
      </c>
      <c r="B47" s="22" t="s">
        <v>83</v>
      </c>
      <c r="C47" s="23" t="n">
        <v>585</v>
      </c>
      <c r="D47" s="22" t="n">
        <v>26</v>
      </c>
      <c r="E47" s="22" t="s">
        <v>72</v>
      </c>
      <c r="F47" s="22" t="n">
        <v>16</v>
      </c>
      <c r="G47" s="22" t="s">
        <v>51</v>
      </c>
      <c r="H47" s="22" t="n">
        <v>8.95</v>
      </c>
      <c r="I47" s="22" t="n">
        <v>89.5</v>
      </c>
      <c r="J47" s="22" t="n">
        <v>0.888</v>
      </c>
      <c r="K47" s="22" t="n">
        <v>22.5</v>
      </c>
      <c r="L47" s="22" t="n">
        <v>1.385</v>
      </c>
      <c r="M47" s="22" t="n">
        <v>35.18</v>
      </c>
      <c r="N47" s="22" t="n">
        <v>0.385</v>
      </c>
      <c r="O47" s="22" t="n">
        <v>9.78</v>
      </c>
      <c r="P47" s="22" t="n">
        <v>0.464</v>
      </c>
      <c r="Q47" s="22" t="n">
        <v>46.4</v>
      </c>
      <c r="R47" s="42" t="n">
        <v>4.15</v>
      </c>
      <c r="S47" s="22" t="n">
        <v>4150</v>
      </c>
      <c r="T47" s="22" t="n">
        <v>3.99</v>
      </c>
      <c r="U47" s="22" t="n">
        <f aca="false">C47*1</f>
        <v>585</v>
      </c>
      <c r="V47" s="22" t="n">
        <f aca="false">VLOOKUP(U47,'Powder Core Toroid OD'!$A$2:$B$36,2,0)</f>
        <v>34.3</v>
      </c>
    </row>
    <row r="48" customFormat="false" ht="14.4" hidden="true" customHeight="false" outlineLevel="0" collapsed="false">
      <c r="A48" s="35" t="n">
        <v>58614</v>
      </c>
      <c r="B48" s="22" t="s">
        <v>84</v>
      </c>
      <c r="C48" s="23" t="n">
        <v>620</v>
      </c>
      <c r="D48" s="22" t="n">
        <v>14</v>
      </c>
      <c r="E48" s="22" t="s">
        <v>72</v>
      </c>
      <c r="F48" s="22" t="n">
        <v>44</v>
      </c>
      <c r="G48" s="22" t="s">
        <v>51</v>
      </c>
      <c r="H48" s="22" t="n">
        <v>14.4</v>
      </c>
      <c r="I48" s="22" t="n">
        <v>144</v>
      </c>
      <c r="J48" s="22" t="n">
        <v>1.248</v>
      </c>
      <c r="K48" s="42" t="n">
        <v>31.69</v>
      </c>
      <c r="L48" s="22" t="n">
        <v>2.477</v>
      </c>
      <c r="M48" s="42" t="n">
        <v>62.91</v>
      </c>
      <c r="N48" s="43" t="n">
        <v>1.02</v>
      </c>
      <c r="O48" s="42" t="n">
        <v>25.91</v>
      </c>
      <c r="P48" s="42" t="n">
        <v>3.6</v>
      </c>
      <c r="Q48" s="22" t="n">
        <v>360</v>
      </c>
      <c r="R48" s="22" t="n">
        <v>51.8</v>
      </c>
      <c r="S48" s="22" t="n">
        <v>51800</v>
      </c>
      <c r="T48" s="22" t="n">
        <v>7.89</v>
      </c>
      <c r="U48" s="22" t="n">
        <f aca="false">C48*1</f>
        <v>620</v>
      </c>
      <c r="V48" s="22" t="n">
        <f aca="false">VLOOKUP(U48,'Powder Core Toroid OD'!$A$2:$B$36,2,0)</f>
        <v>62</v>
      </c>
    </row>
    <row r="49" customFormat="false" ht="14.4" hidden="true" customHeight="false" outlineLevel="0" collapsed="false">
      <c r="A49" s="35" t="n">
        <v>58615</v>
      </c>
      <c r="B49" s="22" t="s">
        <v>85</v>
      </c>
      <c r="C49" s="23" t="n">
        <v>620</v>
      </c>
      <c r="D49" s="22" t="n">
        <v>26</v>
      </c>
      <c r="E49" s="22" t="s">
        <v>72</v>
      </c>
      <c r="F49" s="22" t="n">
        <v>82</v>
      </c>
      <c r="G49" s="22" t="s">
        <v>51</v>
      </c>
      <c r="H49" s="22" t="n">
        <v>14.4</v>
      </c>
      <c r="I49" s="22" t="n">
        <v>144</v>
      </c>
      <c r="J49" s="22" t="n">
        <v>1.248</v>
      </c>
      <c r="K49" s="42" t="n">
        <v>31.69</v>
      </c>
      <c r="L49" s="22" t="n">
        <v>2.477</v>
      </c>
      <c r="M49" s="42" t="n">
        <v>62.91</v>
      </c>
      <c r="N49" s="43" t="n">
        <v>1.02</v>
      </c>
      <c r="O49" s="42" t="n">
        <v>25.91</v>
      </c>
      <c r="P49" s="42" t="n">
        <v>3.6</v>
      </c>
      <c r="Q49" s="22" t="n">
        <v>360</v>
      </c>
      <c r="R49" s="22" t="n">
        <v>51.8</v>
      </c>
      <c r="S49" s="22" t="n">
        <v>51800</v>
      </c>
      <c r="T49" s="22" t="n">
        <v>7.89</v>
      </c>
      <c r="U49" s="22" t="n">
        <f aca="false">C49*1</f>
        <v>620</v>
      </c>
      <c r="V49" s="22" t="n">
        <f aca="false">VLOOKUP(U49,'Powder Core Toroid OD'!$A$2:$B$36,2,0)</f>
        <v>62</v>
      </c>
    </row>
    <row r="50" customFormat="false" ht="14.4" hidden="true" customHeight="false" outlineLevel="0" collapsed="false">
      <c r="A50" s="35" t="n">
        <v>58617</v>
      </c>
      <c r="B50" s="22" t="s">
        <v>86</v>
      </c>
      <c r="C50" s="23" t="n">
        <v>620</v>
      </c>
      <c r="D50" s="22" t="n">
        <v>60</v>
      </c>
      <c r="E50" s="22" t="s">
        <v>72</v>
      </c>
      <c r="F50" s="22" t="n">
        <v>189</v>
      </c>
      <c r="G50" s="22" t="s">
        <v>51</v>
      </c>
      <c r="H50" s="22" t="n">
        <v>14.4</v>
      </c>
      <c r="I50" s="22" t="n">
        <v>144</v>
      </c>
      <c r="J50" s="22" t="n">
        <v>1.248</v>
      </c>
      <c r="K50" s="42" t="n">
        <v>31.69</v>
      </c>
      <c r="L50" s="22" t="n">
        <v>2.477</v>
      </c>
      <c r="M50" s="42" t="n">
        <v>62.91</v>
      </c>
      <c r="N50" s="43" t="n">
        <v>1.02</v>
      </c>
      <c r="O50" s="42" t="n">
        <v>25.91</v>
      </c>
      <c r="P50" s="42" t="n">
        <v>3.6</v>
      </c>
      <c r="Q50" s="22" t="n">
        <v>360</v>
      </c>
      <c r="R50" s="22" t="n">
        <v>51.8</v>
      </c>
      <c r="S50" s="22" t="n">
        <v>51800</v>
      </c>
      <c r="T50" s="22" t="n">
        <v>7.89</v>
      </c>
      <c r="U50" s="22" t="n">
        <f aca="false">C50*1</f>
        <v>620</v>
      </c>
      <c r="V50" s="22" t="n">
        <f aca="false">VLOOKUP(U50,'Powder Core Toroid OD'!$A$2:$B$36,2,0)</f>
        <v>62</v>
      </c>
    </row>
    <row r="51" customFormat="false" ht="14.4" hidden="true" customHeight="false" outlineLevel="0" collapsed="false">
      <c r="A51" s="35" t="n">
        <v>58620</v>
      </c>
      <c r="B51" s="22" t="s">
        <v>87</v>
      </c>
      <c r="C51" s="23" t="n">
        <v>620</v>
      </c>
      <c r="D51" s="22" t="n">
        <v>125</v>
      </c>
      <c r="E51" s="22" t="s">
        <v>72</v>
      </c>
      <c r="F51" s="22" t="n">
        <v>394</v>
      </c>
      <c r="G51" s="22" t="s">
        <v>51</v>
      </c>
      <c r="H51" s="22" t="n">
        <v>14.4</v>
      </c>
      <c r="I51" s="22" t="n">
        <v>144</v>
      </c>
      <c r="J51" s="22" t="n">
        <v>1.248</v>
      </c>
      <c r="K51" s="42" t="n">
        <v>31.69</v>
      </c>
      <c r="L51" s="22" t="n">
        <v>2.477</v>
      </c>
      <c r="M51" s="42" t="n">
        <v>62.91</v>
      </c>
      <c r="N51" s="43" t="n">
        <v>1.02</v>
      </c>
      <c r="O51" s="42" t="n">
        <v>25.91</v>
      </c>
      <c r="P51" s="42" t="n">
        <v>3.6</v>
      </c>
      <c r="Q51" s="22" t="n">
        <v>360</v>
      </c>
      <c r="R51" s="22" t="n">
        <v>51.8</v>
      </c>
      <c r="S51" s="22" t="n">
        <v>51800</v>
      </c>
      <c r="T51" s="22" t="n">
        <v>7.89</v>
      </c>
      <c r="U51" s="22" t="n">
        <f aca="false">C51*1</f>
        <v>620</v>
      </c>
      <c r="V51" s="22" t="n">
        <f aca="false">VLOOKUP(U51,'Powder Core Toroid OD'!$A$2:$B$36,2,0)</f>
        <v>62</v>
      </c>
    </row>
    <row r="52" customFormat="false" ht="14.4" hidden="true" customHeight="false" outlineLevel="0" collapsed="false">
      <c r="A52" s="35" t="n">
        <v>58734</v>
      </c>
      <c r="B52" s="22" t="s">
        <v>88</v>
      </c>
      <c r="C52" s="23" t="n">
        <v>740</v>
      </c>
      <c r="D52" s="22" t="n">
        <v>14</v>
      </c>
      <c r="E52" s="22" t="s">
        <v>72</v>
      </c>
      <c r="F52" s="22" t="n">
        <v>48</v>
      </c>
      <c r="G52" s="22" t="s">
        <v>51</v>
      </c>
      <c r="H52" s="22" t="n">
        <v>18.4</v>
      </c>
      <c r="I52" s="22" t="n">
        <v>184</v>
      </c>
      <c r="J52" s="22" t="n">
        <v>1.748</v>
      </c>
      <c r="K52" s="42" t="n">
        <v>44.39</v>
      </c>
      <c r="L52" s="22" t="n">
        <v>2.953</v>
      </c>
      <c r="M52" s="42" t="n">
        <v>75.01</v>
      </c>
      <c r="N52" s="43" t="n">
        <v>1.414</v>
      </c>
      <c r="O52" s="42" t="n">
        <v>35.92</v>
      </c>
      <c r="P52" s="42" t="n">
        <v>4.97</v>
      </c>
      <c r="Q52" s="22" t="n">
        <v>497</v>
      </c>
      <c r="R52" s="22" t="n">
        <v>91.4</v>
      </c>
      <c r="S52" s="22" t="n">
        <v>91400</v>
      </c>
      <c r="T52" s="22" t="n">
        <v>15.5</v>
      </c>
      <c r="U52" s="22" t="n">
        <f aca="false">C52*1</f>
        <v>740</v>
      </c>
      <c r="V52" s="22" t="n">
        <f aca="false">VLOOKUP(U52,'Powder Core Toroid OD'!$A$2:$B$36,2,0)</f>
        <v>74.1</v>
      </c>
    </row>
    <row r="53" customFormat="false" ht="14.4" hidden="true" customHeight="false" outlineLevel="0" collapsed="false">
      <c r="A53" s="35" t="n">
        <v>58735</v>
      </c>
      <c r="B53" s="22" t="s">
        <v>89</v>
      </c>
      <c r="C53" s="23" t="n">
        <v>740</v>
      </c>
      <c r="D53" s="22" t="n">
        <v>26</v>
      </c>
      <c r="E53" s="22" t="s">
        <v>72</v>
      </c>
      <c r="F53" s="22" t="n">
        <v>88</v>
      </c>
      <c r="G53" s="22" t="s">
        <v>51</v>
      </c>
      <c r="H53" s="22" t="n">
        <v>18.4</v>
      </c>
      <c r="I53" s="22" t="n">
        <v>184</v>
      </c>
      <c r="J53" s="22" t="n">
        <v>1.748</v>
      </c>
      <c r="K53" s="42" t="n">
        <v>44.39</v>
      </c>
      <c r="L53" s="22" t="n">
        <v>2.953</v>
      </c>
      <c r="M53" s="42" t="n">
        <v>75.01</v>
      </c>
      <c r="N53" s="43" t="n">
        <v>1.414</v>
      </c>
      <c r="O53" s="42" t="n">
        <v>35.92</v>
      </c>
      <c r="P53" s="42" t="n">
        <v>4.97</v>
      </c>
      <c r="Q53" s="22" t="n">
        <v>497</v>
      </c>
      <c r="R53" s="22" t="n">
        <v>91.4</v>
      </c>
      <c r="S53" s="22" t="n">
        <v>91400</v>
      </c>
      <c r="T53" s="22" t="n">
        <v>15.5</v>
      </c>
      <c r="U53" s="22" t="n">
        <f aca="false">C53*1</f>
        <v>740</v>
      </c>
      <c r="V53" s="22" t="n">
        <f aca="false">VLOOKUP(U53,'Powder Core Toroid OD'!$A$2:$B$36,2,0)</f>
        <v>74.1</v>
      </c>
    </row>
    <row r="54" customFormat="false" ht="14.4" hidden="true" customHeight="false" outlineLevel="0" collapsed="false">
      <c r="A54" s="35" t="n">
        <v>58737</v>
      </c>
      <c r="B54" s="22" t="s">
        <v>90</v>
      </c>
      <c r="C54" s="23" t="n">
        <v>740</v>
      </c>
      <c r="D54" s="22" t="n">
        <v>60</v>
      </c>
      <c r="E54" s="22" t="s">
        <v>72</v>
      </c>
      <c r="F54" s="22" t="n">
        <v>204</v>
      </c>
      <c r="G54" s="22" t="s">
        <v>51</v>
      </c>
      <c r="H54" s="22" t="n">
        <v>18.4</v>
      </c>
      <c r="I54" s="22" t="n">
        <v>184</v>
      </c>
      <c r="J54" s="22" t="n">
        <v>1.748</v>
      </c>
      <c r="K54" s="42" t="n">
        <v>44.39</v>
      </c>
      <c r="L54" s="22" t="n">
        <v>2.953</v>
      </c>
      <c r="M54" s="42" t="n">
        <v>75.01</v>
      </c>
      <c r="N54" s="43" t="n">
        <v>1.414</v>
      </c>
      <c r="O54" s="42" t="n">
        <v>35.92</v>
      </c>
      <c r="P54" s="42" t="n">
        <v>4.97</v>
      </c>
      <c r="Q54" s="22" t="n">
        <v>497</v>
      </c>
      <c r="R54" s="22" t="n">
        <v>91.4</v>
      </c>
      <c r="S54" s="22" t="n">
        <v>91400</v>
      </c>
      <c r="T54" s="22" t="n">
        <v>15.5</v>
      </c>
      <c r="U54" s="22" t="n">
        <f aca="false">C54*1</f>
        <v>740</v>
      </c>
      <c r="V54" s="22" t="n">
        <f aca="false">VLOOKUP(U54,'Powder Core Toroid OD'!$A$2:$B$36,2,0)</f>
        <v>74.1</v>
      </c>
    </row>
    <row r="55" customFormat="false" ht="14.4" hidden="true" customHeight="false" outlineLevel="0" collapsed="false">
      <c r="A55" s="35" t="n">
        <v>58740</v>
      </c>
      <c r="B55" s="22" t="s">
        <v>91</v>
      </c>
      <c r="C55" s="23" t="n">
        <v>740</v>
      </c>
      <c r="D55" s="22" t="n">
        <v>125</v>
      </c>
      <c r="E55" s="22" t="s">
        <v>72</v>
      </c>
      <c r="F55" s="22" t="n">
        <v>425</v>
      </c>
      <c r="G55" s="22" t="s">
        <v>51</v>
      </c>
      <c r="H55" s="22" t="n">
        <v>18.4</v>
      </c>
      <c r="I55" s="22" t="n">
        <v>184</v>
      </c>
      <c r="J55" s="22" t="n">
        <v>1.748</v>
      </c>
      <c r="K55" s="42" t="n">
        <v>44.39</v>
      </c>
      <c r="L55" s="22" t="n">
        <v>2.953</v>
      </c>
      <c r="M55" s="42" t="n">
        <v>75.01</v>
      </c>
      <c r="N55" s="43" t="n">
        <v>1.414</v>
      </c>
      <c r="O55" s="42" t="n">
        <v>35.92</v>
      </c>
      <c r="P55" s="42" t="n">
        <v>4.97</v>
      </c>
      <c r="Q55" s="22" t="n">
        <v>497</v>
      </c>
      <c r="R55" s="22" t="n">
        <v>91.4</v>
      </c>
      <c r="S55" s="22" t="n">
        <v>91400</v>
      </c>
      <c r="T55" s="22" t="n">
        <v>15.5</v>
      </c>
      <c r="U55" s="22" t="n">
        <f aca="false">C55*1</f>
        <v>740</v>
      </c>
      <c r="V55" s="22" t="n">
        <f aca="false">VLOOKUP(U55,'Powder Core Toroid OD'!$A$2:$B$36,2,0)</f>
        <v>74.1</v>
      </c>
    </row>
    <row r="56" customFormat="false" ht="14.4" hidden="true" customHeight="false" outlineLevel="0" collapsed="false">
      <c r="A56" s="35" t="n">
        <v>77098</v>
      </c>
      <c r="B56" s="22" t="s">
        <v>92</v>
      </c>
      <c r="C56" s="23" t="n">
        <v>102</v>
      </c>
      <c r="D56" s="22" t="n">
        <v>125</v>
      </c>
      <c r="E56" s="22" t="s">
        <v>33</v>
      </c>
      <c r="F56" s="22" t="n">
        <v>232</v>
      </c>
      <c r="G56" s="22" t="s">
        <v>51</v>
      </c>
      <c r="H56" s="22" t="n">
        <v>24.3</v>
      </c>
      <c r="I56" s="22" t="n">
        <v>243</v>
      </c>
      <c r="J56" s="22" t="n">
        <v>2.195</v>
      </c>
      <c r="K56" s="22" t="n">
        <v>55.75</v>
      </c>
      <c r="L56" s="22" t="n">
        <v>4.055</v>
      </c>
      <c r="M56" s="36" t="n">
        <v>103</v>
      </c>
      <c r="N56" s="22" t="n">
        <v>0.705</v>
      </c>
      <c r="O56" s="22" t="n">
        <v>17.9</v>
      </c>
      <c r="P56" s="22" t="n">
        <v>3.58</v>
      </c>
      <c r="Q56" s="22" t="n">
        <v>358</v>
      </c>
      <c r="R56" s="22" t="n">
        <v>86.9</v>
      </c>
      <c r="S56" s="22" t="n">
        <v>86900</v>
      </c>
      <c r="T56" s="22" t="n">
        <v>24.7</v>
      </c>
      <c r="U56" s="22" t="n">
        <f aca="false">C56*1</f>
        <v>102</v>
      </c>
      <c r="V56" s="22" t="n">
        <f aca="false">VLOOKUP(U56,'Powder Core Toroid OD'!$A$2:$B$36,2,0)</f>
        <v>101.6</v>
      </c>
    </row>
    <row r="57" customFormat="false" ht="14.4" hidden="true" customHeight="false" outlineLevel="0" collapsed="false">
      <c r="A57" s="35" t="n">
        <v>77099</v>
      </c>
      <c r="B57" s="22" t="s">
        <v>93</v>
      </c>
      <c r="C57" s="23" t="n">
        <v>102</v>
      </c>
      <c r="D57" s="22" t="n">
        <v>60</v>
      </c>
      <c r="E57" s="22" t="s">
        <v>33</v>
      </c>
      <c r="F57" s="22" t="n">
        <v>111</v>
      </c>
      <c r="G57" s="22" t="s">
        <v>51</v>
      </c>
      <c r="H57" s="22" t="n">
        <v>24.3</v>
      </c>
      <c r="I57" s="22" t="n">
        <v>243</v>
      </c>
      <c r="J57" s="22" t="n">
        <v>2.195</v>
      </c>
      <c r="K57" s="22" t="n">
        <v>55.75</v>
      </c>
      <c r="L57" s="22" t="n">
        <v>4.055</v>
      </c>
      <c r="M57" s="36" t="n">
        <v>103</v>
      </c>
      <c r="N57" s="22" t="n">
        <v>0.705</v>
      </c>
      <c r="O57" s="22" t="n">
        <v>17.9</v>
      </c>
      <c r="P57" s="22" t="n">
        <v>3.58</v>
      </c>
      <c r="Q57" s="22" t="n">
        <v>358</v>
      </c>
      <c r="R57" s="22" t="n">
        <v>86.9</v>
      </c>
      <c r="S57" s="22" t="n">
        <v>86900</v>
      </c>
      <c r="T57" s="22" t="n">
        <v>24.7</v>
      </c>
      <c r="U57" s="22" t="n">
        <f aca="false">C57*1</f>
        <v>102</v>
      </c>
      <c r="V57" s="22" t="n">
        <f aca="false">VLOOKUP(U57,'Powder Core Toroid OD'!$A$2:$B$36,2,0)</f>
        <v>101.6</v>
      </c>
    </row>
    <row r="58" customFormat="false" ht="14.4" hidden="true" customHeight="false" outlineLevel="0" collapsed="false">
      <c r="A58" s="35" t="n">
        <v>77100</v>
      </c>
      <c r="B58" s="22" t="s">
        <v>94</v>
      </c>
      <c r="C58" s="23" t="n">
        <v>102</v>
      </c>
      <c r="D58" s="22" t="n">
        <v>40</v>
      </c>
      <c r="E58" s="22" t="s">
        <v>33</v>
      </c>
      <c r="F58" s="22" t="n">
        <v>74</v>
      </c>
      <c r="G58" s="22" t="s">
        <v>51</v>
      </c>
      <c r="H58" s="22" t="n">
        <v>24.3</v>
      </c>
      <c r="I58" s="22" t="n">
        <v>243</v>
      </c>
      <c r="J58" s="22" t="n">
        <v>2.195</v>
      </c>
      <c r="K58" s="22" t="n">
        <v>55.75</v>
      </c>
      <c r="L58" s="22" t="n">
        <v>4.055</v>
      </c>
      <c r="M58" s="36" t="n">
        <v>103</v>
      </c>
      <c r="N58" s="22" t="n">
        <v>0.705</v>
      </c>
      <c r="O58" s="22" t="n">
        <v>17.9</v>
      </c>
      <c r="P58" s="22" t="n">
        <v>3.58</v>
      </c>
      <c r="Q58" s="22" t="n">
        <v>358</v>
      </c>
      <c r="R58" s="22" t="n">
        <v>86.9</v>
      </c>
      <c r="S58" s="22" t="n">
        <v>86900</v>
      </c>
      <c r="T58" s="22" t="n">
        <v>24.7</v>
      </c>
      <c r="U58" s="22" t="n">
        <f aca="false">C58*1</f>
        <v>102</v>
      </c>
      <c r="V58" s="22" t="n">
        <f aca="false">VLOOKUP(U58,'Powder Core Toroid OD'!$A$2:$B$36,2,0)</f>
        <v>101.6</v>
      </c>
    </row>
    <row r="59" customFormat="false" ht="14.4" hidden="true" customHeight="false" outlineLevel="0" collapsed="false">
      <c r="A59" s="35" t="n">
        <v>77102</v>
      </c>
      <c r="B59" s="22" t="s">
        <v>95</v>
      </c>
      <c r="C59" s="23" t="n">
        <v>102</v>
      </c>
      <c r="D59" s="22" t="n">
        <v>26</v>
      </c>
      <c r="E59" s="22" t="s">
        <v>33</v>
      </c>
      <c r="F59" s="22" t="n">
        <v>48</v>
      </c>
      <c r="G59" s="22" t="s">
        <v>51</v>
      </c>
      <c r="H59" s="22" t="n">
        <v>24.3</v>
      </c>
      <c r="I59" s="22" t="n">
        <v>243</v>
      </c>
      <c r="J59" s="22" t="n">
        <v>2.195</v>
      </c>
      <c r="K59" s="22" t="n">
        <v>55.75</v>
      </c>
      <c r="L59" s="22" t="n">
        <v>4.055</v>
      </c>
      <c r="M59" s="36" t="n">
        <v>103</v>
      </c>
      <c r="N59" s="22" t="n">
        <v>0.705</v>
      </c>
      <c r="O59" s="22" t="n">
        <v>17.9</v>
      </c>
      <c r="P59" s="22" t="n">
        <v>3.58</v>
      </c>
      <c r="Q59" s="22" t="n">
        <v>358</v>
      </c>
      <c r="R59" s="22" t="n">
        <v>86.9</v>
      </c>
      <c r="S59" s="22" t="n">
        <v>86900</v>
      </c>
      <c r="T59" s="22" t="n">
        <v>24.7</v>
      </c>
      <c r="U59" s="22" t="n">
        <f aca="false">C59*1</f>
        <v>102</v>
      </c>
      <c r="V59" s="22" t="n">
        <f aca="false">VLOOKUP(U59,'Powder Core Toroid OD'!$A$2:$B$36,2,0)</f>
        <v>101.6</v>
      </c>
    </row>
    <row r="60" customFormat="false" ht="14.4" hidden="true" customHeight="false" outlineLevel="0" collapsed="false">
      <c r="A60" s="37" t="n">
        <v>77165</v>
      </c>
      <c r="B60" s="38" t="s">
        <v>96</v>
      </c>
      <c r="C60" s="39" t="n">
        <v>165</v>
      </c>
      <c r="D60" s="38" t="n">
        <v>26</v>
      </c>
      <c r="E60" s="38" t="s">
        <v>33</v>
      </c>
      <c r="F60" s="38" t="n">
        <v>78</v>
      </c>
      <c r="G60" s="38" t="s">
        <v>51</v>
      </c>
      <c r="H60" s="38" t="n">
        <v>41.2</v>
      </c>
      <c r="I60" s="38" t="n">
        <v>412</v>
      </c>
      <c r="J60" s="38" t="n">
        <v>3.977</v>
      </c>
      <c r="K60" s="40" t="n">
        <v>101</v>
      </c>
      <c r="L60" s="38" t="n">
        <v>6.555</v>
      </c>
      <c r="M60" s="40" t="n">
        <v>166.5</v>
      </c>
      <c r="N60" s="38" t="n">
        <v>1.305</v>
      </c>
      <c r="O60" s="41" t="n">
        <v>33.15</v>
      </c>
      <c r="P60" s="38" t="n">
        <v>9.87</v>
      </c>
      <c r="Q60" s="38" t="n">
        <v>987</v>
      </c>
      <c r="R60" s="38" t="n">
        <v>407</v>
      </c>
      <c r="S60" s="38" t="n">
        <v>407000</v>
      </c>
      <c r="T60" s="38" t="n">
        <v>80.3</v>
      </c>
      <c r="U60" s="22" t="n">
        <f aca="false">C60*1</f>
        <v>165</v>
      </c>
      <c r="V60" s="22" t="n">
        <f aca="false">VLOOKUP(U60,'Powder Core Toroid OD'!$A$2:$B$36,2,0)</f>
        <v>165.1</v>
      </c>
    </row>
    <row r="61" customFormat="false" ht="14.4" hidden="true" customHeight="false" outlineLevel="0" collapsed="false">
      <c r="A61" s="37" t="n">
        <v>77337</v>
      </c>
      <c r="B61" s="38" t="s">
        <v>97</v>
      </c>
      <c r="C61" s="39" t="n">
        <v>337</v>
      </c>
      <c r="D61" s="38" t="n">
        <v>26</v>
      </c>
      <c r="E61" s="38" t="s">
        <v>33</v>
      </c>
      <c r="F61" s="38" t="n">
        <v>68</v>
      </c>
      <c r="G61" s="38" t="s">
        <v>51</v>
      </c>
      <c r="H61" s="38" t="n">
        <v>32.4</v>
      </c>
      <c r="I61" s="38" t="n">
        <v>324</v>
      </c>
      <c r="J61" s="38" t="n">
        <v>3.039</v>
      </c>
      <c r="K61" s="38" t="n">
        <v>77.19</v>
      </c>
      <c r="L61" s="38" t="n">
        <v>5.274</v>
      </c>
      <c r="M61" s="40" t="n">
        <v>134</v>
      </c>
      <c r="N61" s="38" t="n">
        <v>1.055</v>
      </c>
      <c r="O61" s="41" t="n">
        <v>26.8</v>
      </c>
      <c r="P61" s="38" t="n">
        <v>6.78</v>
      </c>
      <c r="Q61" s="38" t="n">
        <v>678</v>
      </c>
      <c r="R61" s="38" t="n">
        <v>220</v>
      </c>
      <c r="S61" s="38" t="n">
        <v>220000</v>
      </c>
      <c r="T61" s="38" t="n">
        <v>47.1</v>
      </c>
      <c r="U61" s="22" t="n">
        <f aca="false">C61*1</f>
        <v>337</v>
      </c>
      <c r="V61" s="22" t="n">
        <f aca="false">VLOOKUP(U61,'Powder Core Toroid OD'!$A$2:$B$36,2,0)</f>
        <v>132.6</v>
      </c>
    </row>
    <row r="62" customFormat="false" ht="14.4" hidden="true" customHeight="false" outlineLevel="0" collapsed="false">
      <c r="A62" s="35" t="n">
        <v>77615</v>
      </c>
      <c r="B62" s="22" t="s">
        <v>98</v>
      </c>
      <c r="C62" s="23" t="n">
        <v>620</v>
      </c>
      <c r="D62" s="22" t="n">
        <v>26</v>
      </c>
      <c r="E62" s="22" t="s">
        <v>33</v>
      </c>
      <c r="F62" s="22" t="n">
        <v>82</v>
      </c>
      <c r="G62" s="22" t="s">
        <v>51</v>
      </c>
      <c r="H62" s="22" t="n">
        <v>14.4</v>
      </c>
      <c r="I62" s="22" t="n">
        <v>144</v>
      </c>
      <c r="J62" s="22" t="n">
        <v>1.248</v>
      </c>
      <c r="K62" s="42" t="n">
        <v>31.69</v>
      </c>
      <c r="L62" s="22" t="n">
        <v>2.477</v>
      </c>
      <c r="M62" s="42" t="n">
        <v>62.91</v>
      </c>
      <c r="N62" s="43" t="n">
        <v>1.02</v>
      </c>
      <c r="O62" s="42" t="n">
        <v>25.91</v>
      </c>
      <c r="P62" s="42" t="n">
        <v>3.6</v>
      </c>
      <c r="Q62" s="22" t="n">
        <v>360</v>
      </c>
      <c r="R62" s="22" t="n">
        <v>51.8</v>
      </c>
      <c r="S62" s="22" t="n">
        <v>51800</v>
      </c>
      <c r="T62" s="22" t="n">
        <v>7.89</v>
      </c>
      <c r="U62" s="22" t="n">
        <f aca="false">C62*1</f>
        <v>620</v>
      </c>
      <c r="V62" s="22" t="n">
        <f aca="false">VLOOKUP(U62,'Powder Core Toroid OD'!$A$2:$B$36,2,0)</f>
        <v>62</v>
      </c>
    </row>
    <row r="63" customFormat="false" ht="14.4" hidden="true" customHeight="false" outlineLevel="0" collapsed="false">
      <c r="A63" s="35" t="n">
        <v>77616</v>
      </c>
      <c r="B63" s="22" t="s">
        <v>99</v>
      </c>
      <c r="C63" s="23" t="n">
        <v>620</v>
      </c>
      <c r="D63" s="22" t="n">
        <v>40</v>
      </c>
      <c r="E63" s="22" t="s">
        <v>33</v>
      </c>
      <c r="F63" s="22" t="n">
        <v>126</v>
      </c>
      <c r="G63" s="22" t="s">
        <v>51</v>
      </c>
      <c r="H63" s="22" t="n">
        <v>14.4</v>
      </c>
      <c r="I63" s="22" t="n">
        <v>144</v>
      </c>
      <c r="J63" s="22" t="n">
        <v>1.248</v>
      </c>
      <c r="K63" s="42" t="n">
        <v>31.69</v>
      </c>
      <c r="L63" s="22" t="n">
        <v>2.477</v>
      </c>
      <c r="M63" s="42" t="n">
        <v>62.91</v>
      </c>
      <c r="N63" s="43" t="n">
        <v>1.02</v>
      </c>
      <c r="O63" s="42" t="n">
        <v>25.91</v>
      </c>
      <c r="P63" s="42" t="n">
        <v>3.6</v>
      </c>
      <c r="Q63" s="22" t="n">
        <v>360</v>
      </c>
      <c r="R63" s="22" t="n">
        <v>51.8</v>
      </c>
      <c r="S63" s="22" t="n">
        <v>51800</v>
      </c>
      <c r="T63" s="22" t="n">
        <v>7.89</v>
      </c>
      <c r="U63" s="22" t="n">
        <f aca="false">C63*1</f>
        <v>620</v>
      </c>
      <c r="V63" s="22" t="n">
        <f aca="false">VLOOKUP(U63,'Powder Core Toroid OD'!$A$2:$B$36,2,0)</f>
        <v>62</v>
      </c>
    </row>
    <row r="64" customFormat="false" ht="14.4" hidden="true" customHeight="false" outlineLevel="0" collapsed="false">
      <c r="A64" s="35" t="n">
        <v>77617</v>
      </c>
      <c r="B64" s="22" t="s">
        <v>100</v>
      </c>
      <c r="C64" s="23" t="n">
        <v>620</v>
      </c>
      <c r="D64" s="22" t="n">
        <v>60</v>
      </c>
      <c r="E64" s="22" t="s">
        <v>33</v>
      </c>
      <c r="F64" s="22" t="n">
        <v>189</v>
      </c>
      <c r="G64" s="22" t="s">
        <v>51</v>
      </c>
      <c r="H64" s="22" t="n">
        <v>14.4</v>
      </c>
      <c r="I64" s="22" t="n">
        <v>144</v>
      </c>
      <c r="J64" s="22" t="n">
        <v>1.248</v>
      </c>
      <c r="K64" s="42" t="n">
        <v>31.69</v>
      </c>
      <c r="L64" s="22" t="n">
        <v>2.477</v>
      </c>
      <c r="M64" s="42" t="n">
        <v>62.91</v>
      </c>
      <c r="N64" s="43" t="n">
        <v>1.02</v>
      </c>
      <c r="O64" s="42" t="n">
        <v>25.91</v>
      </c>
      <c r="P64" s="42" t="n">
        <v>3.6</v>
      </c>
      <c r="Q64" s="22" t="n">
        <v>360</v>
      </c>
      <c r="R64" s="22" t="n">
        <v>51.8</v>
      </c>
      <c r="S64" s="22" t="n">
        <v>51800</v>
      </c>
      <c r="T64" s="22" t="n">
        <v>7.89</v>
      </c>
      <c r="U64" s="22" t="n">
        <f aca="false">C64*1</f>
        <v>620</v>
      </c>
      <c r="V64" s="22" t="n">
        <f aca="false">VLOOKUP(U64,'Powder Core Toroid OD'!$A$2:$B$36,2,0)</f>
        <v>62</v>
      </c>
    </row>
    <row r="65" customFormat="false" ht="14.4" hidden="true" customHeight="false" outlineLevel="0" collapsed="false">
      <c r="A65" s="35" t="n">
        <v>77618</v>
      </c>
      <c r="B65" s="22" t="s">
        <v>101</v>
      </c>
      <c r="C65" s="23" t="n">
        <v>620</v>
      </c>
      <c r="D65" s="22" t="n">
        <v>75</v>
      </c>
      <c r="E65" s="22" t="s">
        <v>33</v>
      </c>
      <c r="F65" s="22" t="n">
        <v>237</v>
      </c>
      <c r="G65" s="22" t="s">
        <v>51</v>
      </c>
      <c r="H65" s="22" t="n">
        <v>14.4</v>
      </c>
      <c r="I65" s="22" t="n">
        <v>144</v>
      </c>
      <c r="J65" s="22" t="n">
        <v>1.248</v>
      </c>
      <c r="K65" s="42" t="n">
        <v>31.69</v>
      </c>
      <c r="L65" s="22" t="n">
        <v>2.477</v>
      </c>
      <c r="M65" s="42" t="n">
        <v>62.91</v>
      </c>
      <c r="N65" s="43" t="n">
        <v>1.02</v>
      </c>
      <c r="O65" s="42" t="n">
        <v>25.91</v>
      </c>
      <c r="P65" s="42" t="n">
        <v>3.6</v>
      </c>
      <c r="Q65" s="22" t="n">
        <v>360</v>
      </c>
      <c r="R65" s="22" t="n">
        <v>51.8</v>
      </c>
      <c r="S65" s="22" t="n">
        <v>51800</v>
      </c>
      <c r="T65" s="22" t="n">
        <v>7.89</v>
      </c>
      <c r="U65" s="22" t="n">
        <f aca="false">C65*1</f>
        <v>620</v>
      </c>
      <c r="V65" s="22" t="n">
        <f aca="false">VLOOKUP(U65,'Powder Core Toroid OD'!$A$2:$B$36,2,0)</f>
        <v>62</v>
      </c>
    </row>
    <row r="66" customFormat="false" ht="14.4" hidden="true" customHeight="false" outlineLevel="0" collapsed="false">
      <c r="A66" s="35" t="n">
        <v>77619</v>
      </c>
      <c r="B66" s="22" t="s">
        <v>102</v>
      </c>
      <c r="C66" s="23" t="n">
        <v>620</v>
      </c>
      <c r="D66" s="22" t="n">
        <v>90</v>
      </c>
      <c r="E66" s="22" t="s">
        <v>33</v>
      </c>
      <c r="F66" s="22" t="n">
        <v>284</v>
      </c>
      <c r="G66" s="22" t="s">
        <v>51</v>
      </c>
      <c r="H66" s="22" t="n">
        <v>14.4</v>
      </c>
      <c r="I66" s="22" t="n">
        <v>144</v>
      </c>
      <c r="J66" s="22" t="n">
        <v>1.248</v>
      </c>
      <c r="K66" s="42" t="n">
        <v>31.69</v>
      </c>
      <c r="L66" s="22" t="n">
        <v>2.477</v>
      </c>
      <c r="M66" s="42" t="n">
        <v>62.91</v>
      </c>
      <c r="N66" s="43" t="n">
        <v>1.02</v>
      </c>
      <c r="O66" s="42" t="n">
        <v>25.91</v>
      </c>
      <c r="P66" s="42" t="n">
        <v>3.6</v>
      </c>
      <c r="Q66" s="22" t="n">
        <v>360</v>
      </c>
      <c r="R66" s="22" t="n">
        <v>51.8</v>
      </c>
      <c r="S66" s="22" t="n">
        <v>51800</v>
      </c>
      <c r="T66" s="22" t="n">
        <v>7.89</v>
      </c>
      <c r="U66" s="22" t="n">
        <f aca="false">C66*1</f>
        <v>620</v>
      </c>
      <c r="V66" s="22" t="n">
        <f aca="false">VLOOKUP(U66,'Powder Core Toroid OD'!$A$2:$B$36,2,0)</f>
        <v>62</v>
      </c>
    </row>
    <row r="67" customFormat="false" ht="14.4" hidden="true" customHeight="false" outlineLevel="0" collapsed="false">
      <c r="A67" s="35" t="n">
        <v>77620</v>
      </c>
      <c r="B67" s="22" t="s">
        <v>103</v>
      </c>
      <c r="C67" s="23" t="n">
        <v>620</v>
      </c>
      <c r="D67" s="22" t="n">
        <v>125</v>
      </c>
      <c r="E67" s="22" t="s">
        <v>33</v>
      </c>
      <c r="F67" s="22" t="n">
        <v>394</v>
      </c>
      <c r="G67" s="22" t="s">
        <v>51</v>
      </c>
      <c r="H67" s="22" t="n">
        <v>14.4</v>
      </c>
      <c r="I67" s="22" t="n">
        <v>144</v>
      </c>
      <c r="J67" s="22" t="n">
        <v>1.248</v>
      </c>
      <c r="K67" s="42" t="n">
        <v>31.69</v>
      </c>
      <c r="L67" s="22" t="n">
        <v>2.477</v>
      </c>
      <c r="M67" s="42" t="n">
        <v>62.91</v>
      </c>
      <c r="N67" s="43" t="n">
        <v>1.02</v>
      </c>
      <c r="O67" s="42" t="n">
        <v>25.91</v>
      </c>
      <c r="P67" s="42" t="n">
        <v>3.6</v>
      </c>
      <c r="Q67" s="22" t="n">
        <v>360</v>
      </c>
      <c r="R67" s="22" t="n">
        <v>51.8</v>
      </c>
      <c r="S67" s="22" t="n">
        <v>51800</v>
      </c>
      <c r="T67" s="22" t="n">
        <v>7.89</v>
      </c>
      <c r="U67" s="22" t="n">
        <f aca="false">C67*1</f>
        <v>620</v>
      </c>
      <c r="V67" s="22" t="n">
        <f aca="false">VLOOKUP(U67,'Powder Core Toroid OD'!$A$2:$B$36,2,0)</f>
        <v>62</v>
      </c>
    </row>
    <row r="68" customFormat="false" ht="14.4" hidden="true" customHeight="false" outlineLevel="0" collapsed="false">
      <c r="A68" s="35" t="n">
        <v>77735</v>
      </c>
      <c r="B68" s="22" t="s">
        <v>104</v>
      </c>
      <c r="C68" s="23" t="n">
        <v>740</v>
      </c>
      <c r="D68" s="22" t="n">
        <v>26</v>
      </c>
      <c r="E68" s="22" t="s">
        <v>33</v>
      </c>
      <c r="F68" s="22" t="n">
        <v>88</v>
      </c>
      <c r="G68" s="22" t="s">
        <v>51</v>
      </c>
      <c r="H68" s="22" t="n">
        <v>18.4</v>
      </c>
      <c r="I68" s="22" t="n">
        <v>184</v>
      </c>
      <c r="J68" s="22" t="n">
        <v>1.748</v>
      </c>
      <c r="K68" s="42" t="n">
        <v>44.39</v>
      </c>
      <c r="L68" s="22" t="n">
        <v>2.953</v>
      </c>
      <c r="M68" s="42" t="n">
        <v>75.01</v>
      </c>
      <c r="N68" s="43" t="n">
        <v>1.414</v>
      </c>
      <c r="O68" s="42" t="n">
        <v>35.92</v>
      </c>
      <c r="P68" s="42" t="n">
        <v>4.97</v>
      </c>
      <c r="Q68" s="22" t="n">
        <v>497</v>
      </c>
      <c r="R68" s="22" t="n">
        <v>91.4</v>
      </c>
      <c r="S68" s="22" t="n">
        <v>91400</v>
      </c>
      <c r="T68" s="22" t="n">
        <v>15.5</v>
      </c>
      <c r="U68" s="22" t="n">
        <f aca="false">C68*1</f>
        <v>740</v>
      </c>
      <c r="V68" s="22" t="n">
        <f aca="false">VLOOKUP(U68,'Powder Core Toroid OD'!$A$2:$B$36,2,0)</f>
        <v>74.1</v>
      </c>
    </row>
    <row r="69" customFormat="false" ht="14.4" hidden="true" customHeight="false" outlineLevel="0" collapsed="false">
      <c r="A69" s="35" t="n">
        <v>77736</v>
      </c>
      <c r="B69" s="22" t="s">
        <v>105</v>
      </c>
      <c r="C69" s="23" t="n">
        <v>740</v>
      </c>
      <c r="D69" s="22" t="n">
        <v>40</v>
      </c>
      <c r="E69" s="22" t="s">
        <v>33</v>
      </c>
      <c r="F69" s="22" t="n">
        <v>136</v>
      </c>
      <c r="G69" s="22" t="s">
        <v>51</v>
      </c>
      <c r="H69" s="22" t="n">
        <v>18.4</v>
      </c>
      <c r="I69" s="22" t="n">
        <v>184</v>
      </c>
      <c r="J69" s="22" t="n">
        <v>1.748</v>
      </c>
      <c r="K69" s="42" t="n">
        <v>44.39</v>
      </c>
      <c r="L69" s="22" t="n">
        <v>2.953</v>
      </c>
      <c r="M69" s="42" t="n">
        <v>75.01</v>
      </c>
      <c r="N69" s="43" t="n">
        <v>1.414</v>
      </c>
      <c r="O69" s="42" t="n">
        <v>35.92</v>
      </c>
      <c r="P69" s="42" t="n">
        <v>4.97</v>
      </c>
      <c r="Q69" s="22" t="n">
        <v>497</v>
      </c>
      <c r="R69" s="22" t="n">
        <v>91.4</v>
      </c>
      <c r="S69" s="22" t="n">
        <v>91400</v>
      </c>
      <c r="T69" s="22" t="n">
        <v>15.5</v>
      </c>
      <c r="U69" s="22" t="n">
        <f aca="false">C69*1</f>
        <v>740</v>
      </c>
      <c r="V69" s="22" t="n">
        <f aca="false">VLOOKUP(U69,'Powder Core Toroid OD'!$A$2:$B$36,2,0)</f>
        <v>74.1</v>
      </c>
    </row>
    <row r="70" customFormat="false" ht="14.4" hidden="true" customHeight="false" outlineLevel="0" collapsed="false">
      <c r="A70" s="35" t="n">
        <v>77737</v>
      </c>
      <c r="B70" s="22" t="s">
        <v>106</v>
      </c>
      <c r="C70" s="23" t="n">
        <v>740</v>
      </c>
      <c r="D70" s="22" t="n">
        <v>60</v>
      </c>
      <c r="E70" s="22" t="s">
        <v>33</v>
      </c>
      <c r="F70" s="22" t="n">
        <v>204</v>
      </c>
      <c r="G70" s="22" t="s">
        <v>51</v>
      </c>
      <c r="H70" s="22" t="n">
        <v>18.4</v>
      </c>
      <c r="I70" s="22" t="n">
        <v>184</v>
      </c>
      <c r="J70" s="22" t="n">
        <v>1.748</v>
      </c>
      <c r="K70" s="42" t="n">
        <v>44.39</v>
      </c>
      <c r="L70" s="22" t="n">
        <v>2.953</v>
      </c>
      <c r="M70" s="42" t="n">
        <v>75.01</v>
      </c>
      <c r="N70" s="43" t="n">
        <v>1.414</v>
      </c>
      <c r="O70" s="42" t="n">
        <v>35.92</v>
      </c>
      <c r="P70" s="42" t="n">
        <v>4.97</v>
      </c>
      <c r="Q70" s="22" t="n">
        <v>497</v>
      </c>
      <c r="R70" s="22" t="n">
        <v>91.4</v>
      </c>
      <c r="S70" s="22" t="n">
        <v>91400</v>
      </c>
      <c r="T70" s="22" t="n">
        <v>15.5</v>
      </c>
      <c r="U70" s="22" t="n">
        <f aca="false">C70*1</f>
        <v>740</v>
      </c>
      <c r="V70" s="22" t="n">
        <f aca="false">VLOOKUP(U70,'Powder Core Toroid OD'!$A$2:$B$36,2,0)</f>
        <v>74.1</v>
      </c>
    </row>
    <row r="71" customFormat="false" ht="14.4" hidden="true" customHeight="false" outlineLevel="0" collapsed="false">
      <c r="A71" s="35" t="n">
        <v>77738</v>
      </c>
      <c r="B71" s="22" t="s">
        <v>107</v>
      </c>
      <c r="C71" s="23" t="n">
        <v>740</v>
      </c>
      <c r="D71" s="22" t="n">
        <v>75</v>
      </c>
      <c r="E71" s="22" t="s">
        <v>33</v>
      </c>
      <c r="F71" s="22" t="n">
        <v>255</v>
      </c>
      <c r="G71" s="22" t="s">
        <v>51</v>
      </c>
      <c r="H71" s="22" t="n">
        <v>18.4</v>
      </c>
      <c r="I71" s="22" t="n">
        <v>184</v>
      </c>
      <c r="J71" s="22" t="n">
        <v>1.748</v>
      </c>
      <c r="K71" s="42" t="n">
        <v>44.39</v>
      </c>
      <c r="L71" s="22" t="n">
        <v>2.953</v>
      </c>
      <c r="M71" s="42" t="n">
        <v>75.01</v>
      </c>
      <c r="N71" s="43" t="n">
        <v>1.414</v>
      </c>
      <c r="O71" s="42" t="n">
        <v>35.92</v>
      </c>
      <c r="P71" s="42" t="n">
        <v>4.97</v>
      </c>
      <c r="Q71" s="22" t="n">
        <v>497</v>
      </c>
      <c r="R71" s="22" t="n">
        <v>91.4</v>
      </c>
      <c r="S71" s="22" t="n">
        <v>91400</v>
      </c>
      <c r="T71" s="22" t="n">
        <v>15.5</v>
      </c>
      <c r="U71" s="22" t="n">
        <f aca="false">C71*1</f>
        <v>740</v>
      </c>
      <c r="V71" s="22" t="n">
        <f aca="false">VLOOKUP(U71,'Powder Core Toroid OD'!$A$2:$B$36,2,0)</f>
        <v>74.1</v>
      </c>
    </row>
    <row r="72" customFormat="false" ht="14.4" hidden="true" customHeight="false" outlineLevel="0" collapsed="false">
      <c r="A72" s="35" t="n">
        <v>77739</v>
      </c>
      <c r="B72" s="22" t="s">
        <v>108</v>
      </c>
      <c r="C72" s="23" t="n">
        <v>740</v>
      </c>
      <c r="D72" s="22" t="n">
        <v>90</v>
      </c>
      <c r="E72" s="22" t="s">
        <v>33</v>
      </c>
      <c r="F72" s="22" t="n">
        <v>306</v>
      </c>
      <c r="G72" s="22" t="s">
        <v>51</v>
      </c>
      <c r="H72" s="22" t="n">
        <v>18.4</v>
      </c>
      <c r="I72" s="22" t="n">
        <v>184</v>
      </c>
      <c r="J72" s="22" t="n">
        <v>1.748</v>
      </c>
      <c r="K72" s="42" t="n">
        <v>44.39</v>
      </c>
      <c r="L72" s="22" t="n">
        <v>2.953</v>
      </c>
      <c r="M72" s="42" t="n">
        <v>75.01</v>
      </c>
      <c r="N72" s="43" t="n">
        <v>1.414</v>
      </c>
      <c r="O72" s="42" t="n">
        <v>35.92</v>
      </c>
      <c r="P72" s="42" t="n">
        <v>4.97</v>
      </c>
      <c r="Q72" s="22" t="n">
        <v>497</v>
      </c>
      <c r="R72" s="22" t="n">
        <v>91.4</v>
      </c>
      <c r="S72" s="22" t="n">
        <v>91400</v>
      </c>
      <c r="T72" s="22" t="n">
        <v>15.5</v>
      </c>
      <c r="U72" s="22" t="n">
        <f aca="false">C72*1</f>
        <v>740</v>
      </c>
      <c r="V72" s="22" t="n">
        <f aca="false">VLOOKUP(U72,'Powder Core Toroid OD'!$A$2:$B$36,2,0)</f>
        <v>74.1</v>
      </c>
    </row>
    <row r="73" customFormat="false" ht="14.4" hidden="true" customHeight="false" outlineLevel="0" collapsed="false">
      <c r="A73" s="35" t="n">
        <v>77740</v>
      </c>
      <c r="B73" s="22" t="s">
        <v>109</v>
      </c>
      <c r="C73" s="23" t="n">
        <v>740</v>
      </c>
      <c r="D73" s="22" t="n">
        <v>125</v>
      </c>
      <c r="E73" s="22" t="s">
        <v>33</v>
      </c>
      <c r="F73" s="22" t="n">
        <v>425</v>
      </c>
      <c r="G73" s="22" t="s">
        <v>51</v>
      </c>
      <c r="H73" s="22" t="n">
        <v>18.4</v>
      </c>
      <c r="I73" s="22" t="n">
        <v>184</v>
      </c>
      <c r="J73" s="22" t="n">
        <v>1.748</v>
      </c>
      <c r="K73" s="42" t="n">
        <v>44.39</v>
      </c>
      <c r="L73" s="22" t="n">
        <v>2.953</v>
      </c>
      <c r="M73" s="42" t="n">
        <v>75.01</v>
      </c>
      <c r="N73" s="43" t="n">
        <v>1.414</v>
      </c>
      <c r="O73" s="42" t="n">
        <v>35.92</v>
      </c>
      <c r="P73" s="42" t="n">
        <v>4.97</v>
      </c>
      <c r="Q73" s="22" t="n">
        <v>497</v>
      </c>
      <c r="R73" s="22" t="n">
        <v>91.4</v>
      </c>
      <c r="S73" s="22" t="n">
        <v>91400</v>
      </c>
      <c r="T73" s="22" t="n">
        <v>15.5</v>
      </c>
      <c r="U73" s="22" t="n">
        <f aca="false">C73*1</f>
        <v>740</v>
      </c>
      <c r="V73" s="22" t="n">
        <f aca="false">VLOOKUP(U73,'Powder Core Toroid OD'!$A$2:$B$36,2,0)</f>
        <v>74.1</v>
      </c>
    </row>
    <row r="74" customFormat="false" ht="14.4" hidden="true" customHeight="false" outlineLevel="0" collapsed="false">
      <c r="A74" s="44" t="n">
        <v>301</v>
      </c>
      <c r="B74" s="22" t="s">
        <v>110</v>
      </c>
      <c r="C74" s="31" t="s">
        <v>111</v>
      </c>
      <c r="D74" s="31" t="n">
        <v>125</v>
      </c>
      <c r="E74" s="31" t="s">
        <v>50</v>
      </c>
      <c r="F74" s="31" t="n">
        <v>8.4</v>
      </c>
      <c r="G74" s="31" t="s">
        <v>112</v>
      </c>
      <c r="H74" s="31" t="n">
        <v>0.704</v>
      </c>
      <c r="I74" s="31" t="n">
        <v>7.04</v>
      </c>
      <c r="J74" s="31" t="n">
        <v>0.067</v>
      </c>
      <c r="K74" s="31" t="n">
        <v>1.7</v>
      </c>
      <c r="L74" s="31" t="n">
        <v>0.125</v>
      </c>
      <c r="M74" s="31" t="n">
        <v>3.18</v>
      </c>
      <c r="N74" s="31" t="n">
        <v>0.035</v>
      </c>
      <c r="O74" s="34" t="n">
        <v>0.89</v>
      </c>
      <c r="P74" s="31" t="n">
        <v>0.004</v>
      </c>
      <c r="Q74" s="31" t="n">
        <v>0.4</v>
      </c>
      <c r="R74" s="31" t="n">
        <v>0.0028</v>
      </c>
      <c r="S74" s="31" t="n">
        <v>2.8</v>
      </c>
      <c r="T74" s="31"/>
    </row>
    <row r="75" customFormat="false" ht="14.4" hidden="true" customHeight="false" outlineLevel="0" collapsed="false">
      <c r="A75" s="44" t="n">
        <v>301</v>
      </c>
      <c r="B75" s="22" t="s">
        <v>113</v>
      </c>
      <c r="C75" s="31" t="s">
        <v>111</v>
      </c>
      <c r="D75" s="31" t="n">
        <v>160</v>
      </c>
      <c r="E75" s="31" t="s">
        <v>50</v>
      </c>
      <c r="F75" s="31" t="n">
        <v>10.8</v>
      </c>
      <c r="G75" s="31" t="s">
        <v>112</v>
      </c>
      <c r="H75" s="31" t="n">
        <v>0.704</v>
      </c>
      <c r="I75" s="31" t="n">
        <v>7.04</v>
      </c>
      <c r="J75" s="31" t="n">
        <v>0.067</v>
      </c>
      <c r="K75" s="31" t="n">
        <v>1.7</v>
      </c>
      <c r="L75" s="31" t="n">
        <v>0.125</v>
      </c>
      <c r="M75" s="31" t="n">
        <v>3.18</v>
      </c>
      <c r="N75" s="31" t="n">
        <v>0.035</v>
      </c>
      <c r="O75" s="34" t="n">
        <v>0.89</v>
      </c>
      <c r="P75" s="31" t="n">
        <v>0.004</v>
      </c>
      <c r="Q75" s="31" t="n">
        <v>0.4</v>
      </c>
      <c r="R75" s="31" t="n">
        <v>0.0028</v>
      </c>
      <c r="S75" s="31" t="n">
        <v>2.8</v>
      </c>
      <c r="T75" s="31"/>
    </row>
    <row r="76" customFormat="false" ht="14.4" hidden="true" customHeight="false" outlineLevel="0" collapsed="false">
      <c r="A76" s="44" t="n">
        <v>301</v>
      </c>
      <c r="B76" s="22" t="s">
        <v>114</v>
      </c>
      <c r="C76" s="31" t="s">
        <v>111</v>
      </c>
      <c r="D76" s="31" t="n">
        <v>200</v>
      </c>
      <c r="E76" s="31" t="s">
        <v>50</v>
      </c>
      <c r="F76" s="31" t="n">
        <v>13.5</v>
      </c>
      <c r="G76" s="31" t="s">
        <v>112</v>
      </c>
      <c r="H76" s="31" t="n">
        <v>0.704</v>
      </c>
      <c r="I76" s="31" t="n">
        <v>7.04</v>
      </c>
      <c r="J76" s="31" t="n">
        <v>0.067</v>
      </c>
      <c r="K76" s="31" t="n">
        <v>1.7</v>
      </c>
      <c r="L76" s="31" t="n">
        <v>0.125</v>
      </c>
      <c r="M76" s="31" t="n">
        <v>3.18</v>
      </c>
      <c r="N76" s="31" t="n">
        <v>0.035</v>
      </c>
      <c r="O76" s="34" t="n">
        <v>0.89</v>
      </c>
      <c r="P76" s="31" t="n">
        <v>0.004</v>
      </c>
      <c r="Q76" s="31" t="n">
        <v>0.4</v>
      </c>
      <c r="R76" s="31" t="n">
        <v>0.0028</v>
      </c>
      <c r="S76" s="31" t="n">
        <v>2.8</v>
      </c>
      <c r="T76" s="31"/>
    </row>
    <row r="77" customFormat="false" ht="14.4" hidden="true" customHeight="false" outlineLevel="0" collapsed="false">
      <c r="A77" s="44" t="n">
        <v>301</v>
      </c>
      <c r="B77" s="22" t="s">
        <v>115</v>
      </c>
      <c r="C77" s="31" t="s">
        <v>111</v>
      </c>
      <c r="D77" s="31" t="n">
        <v>250</v>
      </c>
      <c r="E77" s="31" t="s">
        <v>50</v>
      </c>
      <c r="F77" s="31" t="n">
        <v>16.9</v>
      </c>
      <c r="G77" s="31" t="s">
        <v>112</v>
      </c>
      <c r="H77" s="31" t="n">
        <v>0.704</v>
      </c>
      <c r="I77" s="31" t="n">
        <v>7.04</v>
      </c>
      <c r="J77" s="31" t="n">
        <v>0.067</v>
      </c>
      <c r="K77" s="31" t="n">
        <v>1.7</v>
      </c>
      <c r="L77" s="31" t="n">
        <v>0.125</v>
      </c>
      <c r="M77" s="31" t="n">
        <v>3.18</v>
      </c>
      <c r="N77" s="31" t="n">
        <v>0.035</v>
      </c>
      <c r="O77" s="34" t="n">
        <v>0.89</v>
      </c>
      <c r="P77" s="31" t="n">
        <v>0.004</v>
      </c>
      <c r="Q77" s="31" t="n">
        <v>0.4</v>
      </c>
      <c r="R77" s="31" t="n">
        <v>0.0028</v>
      </c>
      <c r="S77" s="31" t="n">
        <v>2.8</v>
      </c>
      <c r="T77" s="31"/>
    </row>
    <row r="78" customFormat="false" ht="14.4" hidden="true" customHeight="false" outlineLevel="0" collapsed="false">
      <c r="A78" s="44" t="n">
        <v>302</v>
      </c>
      <c r="B78" s="22" t="s">
        <v>116</v>
      </c>
      <c r="C78" s="31" t="s">
        <v>117</v>
      </c>
      <c r="D78" s="31" t="n">
        <v>125</v>
      </c>
      <c r="E78" s="31" t="s">
        <v>50</v>
      </c>
      <c r="F78" s="31" t="n">
        <v>11.6</v>
      </c>
      <c r="G78" s="31" t="s">
        <v>112</v>
      </c>
      <c r="H78" s="31" t="n">
        <v>0.806</v>
      </c>
      <c r="I78" s="31" t="n">
        <v>8.06</v>
      </c>
      <c r="J78" s="31" t="n">
        <v>0.067</v>
      </c>
      <c r="K78" s="32" t="n">
        <v>1.7</v>
      </c>
      <c r="L78" s="31" t="n">
        <v>0.145</v>
      </c>
      <c r="M78" s="31" t="n">
        <v>3.69</v>
      </c>
      <c r="N78" s="31" t="n">
        <v>0.035</v>
      </c>
      <c r="O78" s="34" t="n">
        <v>0.89</v>
      </c>
      <c r="P78" s="31" t="n">
        <v>0.006</v>
      </c>
      <c r="Q78" s="31" t="n">
        <v>0.6</v>
      </c>
      <c r="R78" s="31" t="n">
        <v>0.0048</v>
      </c>
      <c r="S78" s="31" t="n">
        <v>4.8</v>
      </c>
      <c r="T78" s="31"/>
    </row>
    <row r="79" customFormat="false" ht="14.4" hidden="true" customHeight="false" outlineLevel="0" collapsed="false">
      <c r="A79" s="44" t="n">
        <v>302</v>
      </c>
      <c r="B79" s="22" t="s">
        <v>118</v>
      </c>
      <c r="C79" s="31" t="s">
        <v>117</v>
      </c>
      <c r="D79" s="31" t="n">
        <v>160</v>
      </c>
      <c r="E79" s="31" t="s">
        <v>50</v>
      </c>
      <c r="F79" s="31" t="n">
        <v>14.8</v>
      </c>
      <c r="G79" s="31" t="s">
        <v>112</v>
      </c>
      <c r="H79" s="31" t="n">
        <v>0.806</v>
      </c>
      <c r="I79" s="31" t="n">
        <v>8.06</v>
      </c>
      <c r="J79" s="31" t="n">
        <v>0.067</v>
      </c>
      <c r="K79" s="32" t="n">
        <v>1.7</v>
      </c>
      <c r="L79" s="31" t="n">
        <v>0.145</v>
      </c>
      <c r="M79" s="31" t="n">
        <v>3.69</v>
      </c>
      <c r="N79" s="31" t="n">
        <v>0.035</v>
      </c>
      <c r="O79" s="34" t="n">
        <v>0.89</v>
      </c>
      <c r="P79" s="31" t="n">
        <v>0.006</v>
      </c>
      <c r="Q79" s="31" t="n">
        <v>0.6</v>
      </c>
      <c r="R79" s="31" t="n">
        <v>0.0048</v>
      </c>
      <c r="S79" s="31" t="n">
        <v>4.8</v>
      </c>
      <c r="T79" s="31"/>
    </row>
    <row r="80" customFormat="false" ht="14.4" hidden="true" customHeight="false" outlineLevel="0" collapsed="false">
      <c r="A80" s="44" t="n">
        <v>302</v>
      </c>
      <c r="B80" s="22" t="s">
        <v>119</v>
      </c>
      <c r="C80" s="31" t="s">
        <v>117</v>
      </c>
      <c r="D80" s="31" t="n">
        <v>200</v>
      </c>
      <c r="E80" s="31" t="s">
        <v>50</v>
      </c>
      <c r="F80" s="31" t="n">
        <v>18.7</v>
      </c>
      <c r="G80" s="31" t="s">
        <v>112</v>
      </c>
      <c r="H80" s="31" t="n">
        <v>0.806</v>
      </c>
      <c r="I80" s="31" t="n">
        <v>8.06</v>
      </c>
      <c r="J80" s="31" t="n">
        <v>0.067</v>
      </c>
      <c r="K80" s="32" t="n">
        <v>1.7</v>
      </c>
      <c r="L80" s="31" t="n">
        <v>0.145</v>
      </c>
      <c r="M80" s="31" t="n">
        <v>3.69</v>
      </c>
      <c r="N80" s="31" t="n">
        <v>0.035</v>
      </c>
      <c r="O80" s="34" t="n">
        <v>0.89</v>
      </c>
      <c r="P80" s="31" t="n">
        <v>0.006</v>
      </c>
      <c r="Q80" s="31" t="n">
        <v>0.6</v>
      </c>
      <c r="R80" s="31" t="n">
        <v>0.0048</v>
      </c>
      <c r="S80" s="31" t="n">
        <v>4.8</v>
      </c>
      <c r="T80" s="31"/>
    </row>
    <row r="81" customFormat="false" ht="14.4" hidden="true" customHeight="false" outlineLevel="0" collapsed="false">
      <c r="A81" s="44" t="n">
        <v>302</v>
      </c>
      <c r="B81" s="22" t="s">
        <v>120</v>
      </c>
      <c r="C81" s="31" t="s">
        <v>117</v>
      </c>
      <c r="D81" s="31" t="n">
        <v>250</v>
      </c>
      <c r="E81" s="31" t="s">
        <v>50</v>
      </c>
      <c r="F81" s="31" t="n">
        <v>23.4</v>
      </c>
      <c r="G81" s="31" t="s">
        <v>112</v>
      </c>
      <c r="H81" s="31" t="n">
        <v>0.806</v>
      </c>
      <c r="I81" s="31" t="n">
        <v>8.06</v>
      </c>
      <c r="J81" s="31" t="n">
        <v>0.067</v>
      </c>
      <c r="K81" s="32" t="n">
        <v>1.7</v>
      </c>
      <c r="L81" s="31" t="n">
        <v>0.145</v>
      </c>
      <c r="M81" s="31" t="n">
        <v>3.69</v>
      </c>
      <c r="N81" s="31" t="n">
        <v>0.035</v>
      </c>
      <c r="O81" s="34" t="n">
        <v>0.89</v>
      </c>
      <c r="P81" s="31" t="n">
        <v>0.006</v>
      </c>
      <c r="Q81" s="31" t="n">
        <v>0.6</v>
      </c>
      <c r="R81" s="31" t="n">
        <v>0.0048</v>
      </c>
      <c r="S81" s="31" t="n">
        <v>4.8</v>
      </c>
      <c r="T81" s="31"/>
    </row>
    <row r="82" customFormat="false" ht="14.4" hidden="true" customHeight="false" outlineLevel="0" collapsed="false">
      <c r="A82" s="44" t="n">
        <v>402</v>
      </c>
      <c r="B82" s="22" t="s">
        <v>121</v>
      </c>
      <c r="C82" s="31" t="s">
        <v>122</v>
      </c>
      <c r="D82" s="31" t="n">
        <v>125</v>
      </c>
      <c r="E82" s="31" t="s">
        <v>50</v>
      </c>
      <c r="F82" s="31" t="n">
        <v>9.6</v>
      </c>
      <c r="G82" s="31" t="s">
        <v>112</v>
      </c>
      <c r="H82" s="31" t="n">
        <v>0.944</v>
      </c>
      <c r="I82" s="31" t="n">
        <v>9.44</v>
      </c>
      <c r="J82" s="31" t="n">
        <v>0.084</v>
      </c>
      <c r="K82" s="31" t="n">
        <v>2.13</v>
      </c>
      <c r="L82" s="34" t="n">
        <v>0.16</v>
      </c>
      <c r="M82" s="31" t="n">
        <v>4.07</v>
      </c>
      <c r="N82" s="31" t="n">
        <v>0.035</v>
      </c>
      <c r="O82" s="34" t="n">
        <v>0.89</v>
      </c>
      <c r="P82" s="31" t="n">
        <v>0.0058</v>
      </c>
      <c r="Q82" s="31" t="n">
        <v>0.58</v>
      </c>
      <c r="R82" s="31" t="n">
        <v>0.0055</v>
      </c>
      <c r="S82" s="31" t="n">
        <v>5.5</v>
      </c>
      <c r="T82" s="31"/>
    </row>
    <row r="83" customFormat="false" ht="14.4" hidden="true" customHeight="false" outlineLevel="0" collapsed="false">
      <c r="A83" s="44" t="n">
        <v>402</v>
      </c>
      <c r="B83" s="22" t="s">
        <v>123</v>
      </c>
      <c r="C83" s="31" t="s">
        <v>122</v>
      </c>
      <c r="D83" s="31" t="n">
        <v>160</v>
      </c>
      <c r="E83" s="31" t="s">
        <v>50</v>
      </c>
      <c r="F83" s="31" t="n">
        <v>12.3</v>
      </c>
      <c r="G83" s="31" t="s">
        <v>112</v>
      </c>
      <c r="H83" s="31" t="n">
        <v>0.944</v>
      </c>
      <c r="I83" s="31" t="n">
        <v>9.44</v>
      </c>
      <c r="J83" s="31" t="n">
        <v>0.084</v>
      </c>
      <c r="K83" s="31" t="n">
        <v>2.13</v>
      </c>
      <c r="L83" s="34" t="n">
        <v>0.16</v>
      </c>
      <c r="M83" s="31" t="n">
        <v>4.07</v>
      </c>
      <c r="N83" s="31" t="n">
        <v>0.035</v>
      </c>
      <c r="O83" s="34" t="n">
        <v>0.89</v>
      </c>
      <c r="P83" s="31" t="n">
        <v>0.0058</v>
      </c>
      <c r="Q83" s="31" t="n">
        <v>0.58</v>
      </c>
      <c r="R83" s="31" t="n">
        <v>0.0055</v>
      </c>
      <c r="S83" s="31" t="n">
        <v>5.5</v>
      </c>
      <c r="T83" s="31"/>
    </row>
    <row r="84" customFormat="false" ht="14.4" hidden="true" customHeight="false" outlineLevel="0" collapsed="false">
      <c r="A84" s="44" t="n">
        <v>402</v>
      </c>
      <c r="B84" s="22" t="s">
        <v>124</v>
      </c>
      <c r="C84" s="31" t="s">
        <v>122</v>
      </c>
      <c r="D84" s="31" t="n">
        <v>200</v>
      </c>
      <c r="E84" s="31" t="s">
        <v>50</v>
      </c>
      <c r="F84" s="31" t="n">
        <v>15.4</v>
      </c>
      <c r="G84" s="31" t="s">
        <v>112</v>
      </c>
      <c r="H84" s="31" t="n">
        <v>0.944</v>
      </c>
      <c r="I84" s="31" t="n">
        <v>9.44</v>
      </c>
      <c r="J84" s="31" t="n">
        <v>0.084</v>
      </c>
      <c r="K84" s="31" t="n">
        <v>2.13</v>
      </c>
      <c r="L84" s="34" t="n">
        <v>0.16</v>
      </c>
      <c r="M84" s="31" t="n">
        <v>4.07</v>
      </c>
      <c r="N84" s="31" t="n">
        <v>0.035</v>
      </c>
      <c r="O84" s="34" t="n">
        <v>0.89</v>
      </c>
      <c r="P84" s="31" t="n">
        <v>0.0058</v>
      </c>
      <c r="Q84" s="31" t="n">
        <v>0.58</v>
      </c>
      <c r="R84" s="31" t="n">
        <v>0.0055</v>
      </c>
      <c r="S84" s="31" t="n">
        <v>5.5</v>
      </c>
      <c r="T84" s="31"/>
    </row>
    <row r="85" customFormat="false" ht="14.4" hidden="true" customHeight="false" outlineLevel="0" collapsed="false">
      <c r="A85" s="44" t="n">
        <v>402</v>
      </c>
      <c r="B85" s="22" t="s">
        <v>125</v>
      </c>
      <c r="C85" s="31" t="s">
        <v>122</v>
      </c>
      <c r="D85" s="31" t="n">
        <v>250</v>
      </c>
      <c r="E85" s="31" t="s">
        <v>50</v>
      </c>
      <c r="F85" s="31" t="n">
        <v>19.3</v>
      </c>
      <c r="G85" s="31" t="s">
        <v>112</v>
      </c>
      <c r="H85" s="31" t="n">
        <v>0.944</v>
      </c>
      <c r="I85" s="31" t="n">
        <v>9.44</v>
      </c>
      <c r="J85" s="31" t="n">
        <v>0.084</v>
      </c>
      <c r="K85" s="31" t="n">
        <v>2.13</v>
      </c>
      <c r="L85" s="34" t="n">
        <v>0.16</v>
      </c>
      <c r="M85" s="31" t="n">
        <v>4.07</v>
      </c>
      <c r="N85" s="31" t="n">
        <v>0.035</v>
      </c>
      <c r="O85" s="34" t="n">
        <v>0.89</v>
      </c>
      <c r="P85" s="31" t="n">
        <v>0.0058</v>
      </c>
      <c r="Q85" s="31" t="n">
        <v>0.58</v>
      </c>
      <c r="R85" s="31" t="n">
        <v>0.0055</v>
      </c>
      <c r="S85" s="31" t="n">
        <v>5.5</v>
      </c>
      <c r="T85" s="31"/>
    </row>
    <row r="86" customFormat="false" ht="14.4" hidden="true" customHeight="false" outlineLevel="0" collapsed="false">
      <c r="A86" s="44" t="n">
        <v>502</v>
      </c>
      <c r="B86" s="22" t="s">
        <v>126</v>
      </c>
      <c r="C86" s="31" t="s">
        <v>127</v>
      </c>
      <c r="D86" s="31" t="n">
        <v>125</v>
      </c>
      <c r="E86" s="31" t="s">
        <v>50</v>
      </c>
      <c r="F86" s="31" t="n">
        <v>11.7</v>
      </c>
      <c r="G86" s="31" t="s">
        <v>112</v>
      </c>
      <c r="H86" s="31" t="n">
        <v>1.06</v>
      </c>
      <c r="I86" s="31" t="n">
        <v>10.6</v>
      </c>
      <c r="J86" s="31" t="n">
        <v>0.089</v>
      </c>
      <c r="K86" s="31" t="n">
        <v>2.26</v>
      </c>
      <c r="L86" s="31" t="n">
        <v>0.186</v>
      </c>
      <c r="M86" s="31" t="n">
        <v>4.73</v>
      </c>
      <c r="N86" s="31" t="n">
        <v>0.035</v>
      </c>
      <c r="O86" s="34" t="n">
        <v>0.89</v>
      </c>
      <c r="P86" s="31" t="n">
        <v>0.0079</v>
      </c>
      <c r="Q86" s="31" t="n">
        <v>0.79</v>
      </c>
      <c r="R86" s="31" t="n">
        <v>0.0083</v>
      </c>
      <c r="S86" s="31" t="n">
        <v>8.3</v>
      </c>
      <c r="T86" s="31"/>
    </row>
    <row r="87" customFormat="false" ht="14.4" hidden="true" customHeight="false" outlineLevel="0" collapsed="false">
      <c r="A87" s="44" t="n">
        <v>502</v>
      </c>
      <c r="B87" s="22" t="s">
        <v>128</v>
      </c>
      <c r="C87" s="31" t="s">
        <v>127</v>
      </c>
      <c r="D87" s="31" t="n">
        <v>160</v>
      </c>
      <c r="E87" s="31" t="s">
        <v>50</v>
      </c>
      <c r="F87" s="33" t="n">
        <v>15</v>
      </c>
      <c r="G87" s="31" t="s">
        <v>112</v>
      </c>
      <c r="H87" s="31" t="n">
        <v>1.06</v>
      </c>
      <c r="I87" s="31" t="n">
        <v>10.6</v>
      </c>
      <c r="J87" s="31" t="n">
        <v>0.089</v>
      </c>
      <c r="K87" s="31" t="n">
        <v>2.26</v>
      </c>
      <c r="L87" s="31" t="n">
        <v>0.186</v>
      </c>
      <c r="M87" s="31" t="n">
        <v>4.73</v>
      </c>
      <c r="N87" s="31" t="n">
        <v>0.035</v>
      </c>
      <c r="O87" s="34" t="n">
        <v>0.89</v>
      </c>
      <c r="P87" s="31" t="n">
        <v>0.0079</v>
      </c>
      <c r="Q87" s="31" t="n">
        <v>0.79</v>
      </c>
      <c r="R87" s="31" t="n">
        <v>0.0083</v>
      </c>
      <c r="S87" s="31" t="n">
        <v>8.3</v>
      </c>
      <c r="T87" s="31"/>
    </row>
    <row r="88" customFormat="false" ht="14.4" hidden="true" customHeight="false" outlineLevel="0" collapsed="false">
      <c r="A88" s="44" t="n">
        <v>502</v>
      </c>
      <c r="B88" s="22" t="s">
        <v>129</v>
      </c>
      <c r="C88" s="31" t="s">
        <v>127</v>
      </c>
      <c r="D88" s="31" t="n">
        <v>200</v>
      </c>
      <c r="E88" s="31" t="s">
        <v>50</v>
      </c>
      <c r="F88" s="31" t="n">
        <v>18.7</v>
      </c>
      <c r="G88" s="31" t="s">
        <v>112</v>
      </c>
      <c r="H88" s="31" t="n">
        <v>1.06</v>
      </c>
      <c r="I88" s="31" t="n">
        <v>10.6</v>
      </c>
      <c r="J88" s="31" t="n">
        <v>0.089</v>
      </c>
      <c r="K88" s="31" t="n">
        <v>2.26</v>
      </c>
      <c r="L88" s="31" t="n">
        <v>0.186</v>
      </c>
      <c r="M88" s="31" t="n">
        <v>4.73</v>
      </c>
      <c r="N88" s="31" t="n">
        <v>0.035</v>
      </c>
      <c r="O88" s="34" t="n">
        <v>0.89</v>
      </c>
      <c r="P88" s="31" t="n">
        <v>0.0079</v>
      </c>
      <c r="Q88" s="31" t="n">
        <v>0.79</v>
      </c>
      <c r="R88" s="31" t="n">
        <v>0.0083</v>
      </c>
      <c r="S88" s="31" t="n">
        <v>8.3</v>
      </c>
      <c r="T88" s="31"/>
    </row>
    <row r="89" customFormat="false" ht="14.4" hidden="true" customHeight="false" outlineLevel="0" collapsed="false">
      <c r="A89" s="44" t="n">
        <v>502</v>
      </c>
      <c r="B89" s="22" t="s">
        <v>130</v>
      </c>
      <c r="C89" s="31" t="s">
        <v>127</v>
      </c>
      <c r="D89" s="31" t="n">
        <v>250</v>
      </c>
      <c r="E89" s="31" t="s">
        <v>50</v>
      </c>
      <c r="F89" s="31" t="n">
        <v>23.4</v>
      </c>
      <c r="G89" s="31" t="s">
        <v>112</v>
      </c>
      <c r="H89" s="31" t="n">
        <v>1.06</v>
      </c>
      <c r="I89" s="31" t="n">
        <v>10.6</v>
      </c>
      <c r="J89" s="31" t="n">
        <v>0.089</v>
      </c>
      <c r="K89" s="31" t="n">
        <v>2.26</v>
      </c>
      <c r="L89" s="31" t="n">
        <v>0.186</v>
      </c>
      <c r="M89" s="31" t="n">
        <v>4.73</v>
      </c>
      <c r="N89" s="31" t="n">
        <v>0.035</v>
      </c>
      <c r="O89" s="34" t="n">
        <v>0.89</v>
      </c>
      <c r="P89" s="31" t="n">
        <v>0.0079</v>
      </c>
      <c r="Q89" s="31" t="n">
        <v>0.79</v>
      </c>
      <c r="R89" s="31" t="n">
        <v>0.0083</v>
      </c>
      <c r="S89" s="31" t="n">
        <v>8.3</v>
      </c>
      <c r="T89" s="31"/>
    </row>
    <row r="90" customFormat="false" ht="14.4" hidden="true" customHeight="false" outlineLevel="0" collapsed="false">
      <c r="A90" s="44" t="n">
        <v>603</v>
      </c>
      <c r="B90" s="22" t="s">
        <v>131</v>
      </c>
      <c r="C90" s="31" t="s">
        <v>132</v>
      </c>
      <c r="D90" s="31" t="n">
        <v>125</v>
      </c>
      <c r="E90" s="31" t="s">
        <v>50</v>
      </c>
      <c r="F90" s="31" t="n">
        <v>14.9</v>
      </c>
      <c r="G90" s="31" t="s">
        <v>112</v>
      </c>
      <c r="H90" s="31" t="n">
        <v>1.36</v>
      </c>
      <c r="I90" s="31" t="n">
        <v>13.6</v>
      </c>
      <c r="J90" s="31" t="n">
        <v>0.105</v>
      </c>
      <c r="K90" s="31" t="n">
        <v>2.67</v>
      </c>
      <c r="L90" s="31" t="n">
        <v>0.255</v>
      </c>
      <c r="M90" s="31" t="n">
        <v>6.48</v>
      </c>
      <c r="N90" s="31" t="n">
        <v>0.035</v>
      </c>
      <c r="O90" s="34" t="n">
        <v>0.89</v>
      </c>
      <c r="P90" s="31" t="n">
        <v>0.013</v>
      </c>
      <c r="Q90" s="31" t="n">
        <v>1.3</v>
      </c>
      <c r="R90" s="31" t="n">
        <v>0.0177</v>
      </c>
      <c r="S90" s="31" t="n">
        <v>17.7</v>
      </c>
      <c r="T90" s="31"/>
    </row>
    <row r="91" customFormat="false" ht="14.4" hidden="true" customHeight="false" outlineLevel="0" collapsed="false">
      <c r="A91" s="44" t="n">
        <v>603</v>
      </c>
      <c r="B91" s="22" t="s">
        <v>133</v>
      </c>
      <c r="C91" s="31" t="s">
        <v>132</v>
      </c>
      <c r="D91" s="31" t="n">
        <v>160</v>
      </c>
      <c r="E91" s="31" t="s">
        <v>50</v>
      </c>
      <c r="F91" s="31" t="n">
        <v>19.1</v>
      </c>
      <c r="G91" s="31" t="s">
        <v>112</v>
      </c>
      <c r="H91" s="31" t="n">
        <v>1.36</v>
      </c>
      <c r="I91" s="31" t="n">
        <v>13.6</v>
      </c>
      <c r="J91" s="31" t="n">
        <v>0.105</v>
      </c>
      <c r="K91" s="31" t="n">
        <v>2.67</v>
      </c>
      <c r="L91" s="31" t="n">
        <v>0.255</v>
      </c>
      <c r="M91" s="31" t="n">
        <v>6.48</v>
      </c>
      <c r="N91" s="31" t="n">
        <v>0.035</v>
      </c>
      <c r="O91" s="34" t="n">
        <v>0.89</v>
      </c>
      <c r="P91" s="31" t="n">
        <v>0.013</v>
      </c>
      <c r="Q91" s="31" t="n">
        <v>1.3</v>
      </c>
      <c r="R91" s="31" t="n">
        <v>0.0177</v>
      </c>
      <c r="S91" s="31" t="n">
        <v>17.7</v>
      </c>
      <c r="T91" s="31"/>
    </row>
    <row r="92" customFormat="false" ht="14.4" hidden="true" customHeight="false" outlineLevel="0" collapsed="false">
      <c r="A92" s="44" t="n">
        <v>603</v>
      </c>
      <c r="B92" s="22" t="s">
        <v>134</v>
      </c>
      <c r="C92" s="31" t="s">
        <v>132</v>
      </c>
      <c r="D92" s="31" t="n">
        <v>200</v>
      </c>
      <c r="E92" s="31" t="s">
        <v>50</v>
      </c>
      <c r="F92" s="33" t="n">
        <v>24</v>
      </c>
      <c r="G92" s="31" t="s">
        <v>112</v>
      </c>
      <c r="H92" s="31" t="n">
        <v>1.36</v>
      </c>
      <c r="I92" s="31" t="n">
        <v>13.6</v>
      </c>
      <c r="J92" s="31" t="n">
        <v>0.105</v>
      </c>
      <c r="K92" s="31" t="n">
        <v>2.67</v>
      </c>
      <c r="L92" s="31" t="n">
        <v>0.255</v>
      </c>
      <c r="M92" s="31" t="n">
        <v>6.48</v>
      </c>
      <c r="N92" s="31" t="n">
        <v>0.035</v>
      </c>
      <c r="O92" s="34" t="n">
        <v>0.89</v>
      </c>
      <c r="P92" s="31" t="n">
        <v>0.013</v>
      </c>
      <c r="Q92" s="31" t="n">
        <v>1.3</v>
      </c>
      <c r="R92" s="31" t="n">
        <v>0.0177</v>
      </c>
      <c r="S92" s="31" t="n">
        <v>17.7</v>
      </c>
      <c r="T92" s="31"/>
    </row>
    <row r="93" customFormat="false" ht="14.4" hidden="true" customHeight="false" outlineLevel="0" collapsed="false">
      <c r="A93" s="44" t="n">
        <v>603</v>
      </c>
      <c r="B93" s="22" t="s">
        <v>135</v>
      </c>
      <c r="C93" s="31" t="s">
        <v>132</v>
      </c>
      <c r="D93" s="31" t="n">
        <v>250</v>
      </c>
      <c r="E93" s="31" t="s">
        <v>50</v>
      </c>
      <c r="F93" s="33" t="n">
        <v>30</v>
      </c>
      <c r="G93" s="31" t="s">
        <v>112</v>
      </c>
      <c r="H93" s="31" t="n">
        <v>1.36</v>
      </c>
      <c r="I93" s="31" t="n">
        <v>13.6</v>
      </c>
      <c r="J93" s="31" t="n">
        <v>0.105</v>
      </c>
      <c r="K93" s="31" t="n">
        <v>2.67</v>
      </c>
      <c r="L93" s="31" t="n">
        <v>0.255</v>
      </c>
      <c r="M93" s="31" t="n">
        <v>6.48</v>
      </c>
      <c r="N93" s="31" t="n">
        <v>0.035</v>
      </c>
      <c r="O93" s="34" t="n">
        <v>0.89</v>
      </c>
      <c r="P93" s="31" t="n">
        <v>0.013</v>
      </c>
      <c r="Q93" s="31" t="n">
        <v>1.3</v>
      </c>
      <c r="R93" s="31" t="n">
        <v>0.0177</v>
      </c>
      <c r="S93" s="31" t="n">
        <v>17.7</v>
      </c>
      <c r="T93" s="31"/>
    </row>
    <row r="94" customFormat="false" ht="14.4" hidden="true" customHeight="false" outlineLevel="0" collapsed="false">
      <c r="A94" s="44" t="n">
        <v>804</v>
      </c>
      <c r="B94" s="22" t="s">
        <v>136</v>
      </c>
      <c r="C94" s="31" t="s">
        <v>137</v>
      </c>
      <c r="D94" s="31" t="n">
        <v>125</v>
      </c>
      <c r="E94" s="31" t="s">
        <v>50</v>
      </c>
      <c r="F94" s="31" t="n">
        <v>12.6</v>
      </c>
      <c r="G94" s="31" t="s">
        <v>112</v>
      </c>
      <c r="H94" s="31" t="n">
        <v>1.79</v>
      </c>
      <c r="I94" s="31" t="n">
        <v>17.9</v>
      </c>
      <c r="J94" s="31" t="n">
        <v>0.151</v>
      </c>
      <c r="K94" s="31" t="n">
        <v>3.83</v>
      </c>
      <c r="L94" s="31" t="n">
        <v>0.316</v>
      </c>
      <c r="M94" s="31" t="n">
        <v>8.03</v>
      </c>
      <c r="N94" s="31" t="n">
        <v>0.035</v>
      </c>
      <c r="O94" s="34" t="n">
        <v>0.89</v>
      </c>
      <c r="P94" s="31" t="n">
        <v>0.0145</v>
      </c>
      <c r="Q94" s="31" t="n">
        <v>1.45</v>
      </c>
      <c r="R94" s="31" t="n">
        <v>0.0259</v>
      </c>
      <c r="S94" s="31" t="n">
        <v>25.9</v>
      </c>
      <c r="T94" s="31"/>
    </row>
    <row r="95" customFormat="false" ht="14.4" hidden="true" customHeight="false" outlineLevel="0" collapsed="false">
      <c r="A95" s="44" t="n">
        <v>804</v>
      </c>
      <c r="B95" s="22" t="s">
        <v>138</v>
      </c>
      <c r="C95" s="31" t="s">
        <v>137</v>
      </c>
      <c r="D95" s="31" t="n">
        <v>160</v>
      </c>
      <c r="E95" s="31" t="s">
        <v>50</v>
      </c>
      <c r="F95" s="31" t="n">
        <v>16.2</v>
      </c>
      <c r="G95" s="31" t="s">
        <v>112</v>
      </c>
      <c r="H95" s="31" t="n">
        <v>1.79</v>
      </c>
      <c r="I95" s="31" t="n">
        <v>17.9</v>
      </c>
      <c r="J95" s="31" t="n">
        <v>0.151</v>
      </c>
      <c r="K95" s="31" t="n">
        <v>3.83</v>
      </c>
      <c r="L95" s="31" t="n">
        <v>0.316</v>
      </c>
      <c r="M95" s="31" t="n">
        <v>8.03</v>
      </c>
      <c r="N95" s="31" t="n">
        <v>0.035</v>
      </c>
      <c r="O95" s="34" t="n">
        <v>0.89</v>
      </c>
      <c r="P95" s="31" t="n">
        <v>0.0145</v>
      </c>
      <c r="Q95" s="31" t="n">
        <v>1.45</v>
      </c>
      <c r="R95" s="31" t="n">
        <v>0.0259</v>
      </c>
      <c r="S95" s="31" t="n">
        <v>25.9</v>
      </c>
      <c r="T95" s="31"/>
    </row>
    <row r="96" customFormat="false" ht="14.4" hidden="true" customHeight="false" outlineLevel="0" collapsed="false">
      <c r="A96" s="44" t="n">
        <v>804</v>
      </c>
      <c r="B96" s="22" t="s">
        <v>139</v>
      </c>
      <c r="C96" s="31" t="s">
        <v>137</v>
      </c>
      <c r="D96" s="31" t="n">
        <v>200</v>
      </c>
      <c r="E96" s="31" t="s">
        <v>50</v>
      </c>
      <c r="F96" s="31" t="n">
        <v>20.2</v>
      </c>
      <c r="G96" s="31" t="s">
        <v>112</v>
      </c>
      <c r="H96" s="31" t="n">
        <v>1.79</v>
      </c>
      <c r="I96" s="31" t="n">
        <v>17.9</v>
      </c>
      <c r="J96" s="31" t="n">
        <v>0.151</v>
      </c>
      <c r="K96" s="31" t="n">
        <v>3.83</v>
      </c>
      <c r="L96" s="31" t="n">
        <v>0.316</v>
      </c>
      <c r="M96" s="31" t="n">
        <v>8.03</v>
      </c>
      <c r="N96" s="31" t="n">
        <v>0.035</v>
      </c>
      <c r="O96" s="34" t="n">
        <v>0.89</v>
      </c>
      <c r="P96" s="31" t="n">
        <v>0.0145</v>
      </c>
      <c r="Q96" s="31" t="n">
        <v>1.45</v>
      </c>
      <c r="R96" s="31" t="n">
        <v>0.0259</v>
      </c>
      <c r="S96" s="31" t="n">
        <v>25.9</v>
      </c>
      <c r="T96" s="31"/>
    </row>
    <row r="97" customFormat="false" ht="14.4" hidden="true" customHeight="false" outlineLevel="0" collapsed="false">
      <c r="A97" s="44" t="n">
        <v>804</v>
      </c>
      <c r="B97" s="22" t="s">
        <v>140</v>
      </c>
      <c r="C97" s="31" t="s">
        <v>137</v>
      </c>
      <c r="D97" s="31" t="n">
        <v>250</v>
      </c>
      <c r="E97" s="31" t="s">
        <v>50</v>
      </c>
      <c r="F97" s="31" t="n">
        <v>25.3</v>
      </c>
      <c r="G97" s="31" t="s">
        <v>112</v>
      </c>
      <c r="H97" s="31" t="n">
        <v>1.79</v>
      </c>
      <c r="I97" s="31" t="n">
        <v>17.9</v>
      </c>
      <c r="J97" s="31" t="n">
        <v>0.151</v>
      </c>
      <c r="K97" s="31" t="n">
        <v>3.83</v>
      </c>
      <c r="L97" s="31" t="n">
        <v>0.316</v>
      </c>
      <c r="M97" s="31" t="n">
        <v>8.03</v>
      </c>
      <c r="N97" s="31" t="n">
        <v>0.035</v>
      </c>
      <c r="O97" s="34" t="n">
        <v>0.89</v>
      </c>
      <c r="P97" s="31" t="n">
        <v>0.0145</v>
      </c>
      <c r="Q97" s="31" t="n">
        <v>1.45</v>
      </c>
      <c r="R97" s="31" t="n">
        <v>0.0259</v>
      </c>
      <c r="S97" s="31" t="n">
        <v>25.9</v>
      </c>
      <c r="T97" s="31"/>
    </row>
    <row r="98" customFormat="false" ht="14.4" hidden="true" customHeight="false" outlineLevel="0" collapsed="false">
      <c r="A98" s="30" t="s">
        <v>141</v>
      </c>
      <c r="B98" s="22" t="s">
        <v>142</v>
      </c>
      <c r="C98" s="31" t="s">
        <v>141</v>
      </c>
      <c r="D98" s="31" t="n">
        <v>26</v>
      </c>
      <c r="E98" s="31" t="s">
        <v>33</v>
      </c>
      <c r="F98" s="31" t="n">
        <v>30</v>
      </c>
      <c r="G98" s="31" t="s">
        <v>143</v>
      </c>
      <c r="H98" s="31" t="n">
        <v>35.7</v>
      </c>
      <c r="I98" s="31" t="n">
        <v>357</v>
      </c>
      <c r="J98" s="31" t="n">
        <v>2.25</v>
      </c>
      <c r="K98" s="31" t="n">
        <v>57.2</v>
      </c>
      <c r="L98" s="32" t="n">
        <v>6.25</v>
      </c>
      <c r="M98" s="31" t="n">
        <v>159</v>
      </c>
      <c r="N98" s="31" t="n">
        <v>0.65</v>
      </c>
      <c r="O98" s="31" t="n">
        <v>16.5</v>
      </c>
      <c r="P98" s="31" t="n">
        <v>3.56</v>
      </c>
      <c r="Q98" s="31" t="n">
        <v>356</v>
      </c>
      <c r="R98" s="31" t="n">
        <v>127</v>
      </c>
      <c r="S98" s="31" t="n">
        <v>127000</v>
      </c>
      <c r="T98" s="31"/>
    </row>
    <row r="99" customFormat="false" ht="14.4" hidden="true" customHeight="false" outlineLevel="0" collapsed="false">
      <c r="A99" s="30" t="s">
        <v>144</v>
      </c>
      <c r="B99" s="22" t="s">
        <v>145</v>
      </c>
      <c r="C99" s="31" t="s">
        <v>144</v>
      </c>
      <c r="D99" s="31" t="n">
        <v>26</v>
      </c>
      <c r="E99" s="31" t="s">
        <v>33</v>
      </c>
      <c r="F99" s="31" t="n">
        <v>254</v>
      </c>
      <c r="G99" s="31" t="s">
        <v>44</v>
      </c>
      <c r="H99" s="31" t="n">
        <v>21.9</v>
      </c>
      <c r="I99" s="31" t="n">
        <v>219</v>
      </c>
      <c r="J99" s="31" t="n">
        <v>1.292</v>
      </c>
      <c r="K99" s="31" t="n">
        <v>32.82</v>
      </c>
      <c r="L99" s="34" t="n">
        <v>5.28</v>
      </c>
      <c r="M99" s="31" t="n">
        <v>134.1</v>
      </c>
      <c r="N99" s="34" t="n">
        <v>2.17</v>
      </c>
      <c r="O99" s="31" t="n">
        <v>55.12</v>
      </c>
      <c r="P99" s="31" t="n">
        <v>10.8</v>
      </c>
      <c r="Q99" s="31" t="n">
        <v>1080</v>
      </c>
      <c r="R99" s="31" t="n">
        <v>237</v>
      </c>
      <c r="S99" s="31" t="n">
        <v>237000</v>
      </c>
      <c r="T99" s="31"/>
    </row>
    <row r="100" customFormat="false" ht="14.4" hidden="true" customHeight="false" outlineLevel="0" collapsed="false">
      <c r="A100" s="30" t="s">
        <v>146</v>
      </c>
      <c r="B100" s="22" t="s">
        <v>147</v>
      </c>
      <c r="C100" s="31" t="s">
        <v>146</v>
      </c>
      <c r="D100" s="31" t="n">
        <v>26</v>
      </c>
      <c r="E100" s="31" t="s">
        <v>33</v>
      </c>
      <c r="F100" s="31" t="n">
        <v>46</v>
      </c>
      <c r="G100" s="31" t="s">
        <v>143</v>
      </c>
      <c r="H100" s="31" t="n">
        <v>47.7</v>
      </c>
      <c r="I100" s="31" t="n">
        <v>477</v>
      </c>
      <c r="J100" s="31" t="n">
        <v>3.09</v>
      </c>
      <c r="K100" s="31" t="n">
        <v>78.6</v>
      </c>
      <c r="L100" s="31" t="n">
        <v>8.22</v>
      </c>
      <c r="M100" s="31" t="n">
        <v>209</v>
      </c>
      <c r="N100" s="32" t="n">
        <v>1</v>
      </c>
      <c r="O100" s="31" t="n">
        <v>25.4</v>
      </c>
      <c r="P100" s="31" t="n">
        <v>6.69</v>
      </c>
      <c r="Q100" s="31" t="n">
        <v>669</v>
      </c>
      <c r="R100" s="31" t="n">
        <v>319</v>
      </c>
      <c r="S100" s="31" t="n">
        <v>319000</v>
      </c>
      <c r="T100" s="31"/>
    </row>
    <row r="101" customFormat="false" ht="14.4" hidden="true" customHeight="false" outlineLevel="0" collapsed="false">
      <c r="A101" s="30" t="s">
        <v>148</v>
      </c>
      <c r="B101" s="22" t="s">
        <v>149</v>
      </c>
      <c r="C101" s="31" t="s">
        <v>148</v>
      </c>
      <c r="D101" s="31" t="n">
        <v>26</v>
      </c>
      <c r="E101" s="31" t="s">
        <v>33</v>
      </c>
      <c r="F101" s="31" t="n">
        <v>180</v>
      </c>
      <c r="G101" s="31" t="s">
        <v>44</v>
      </c>
      <c r="H101" s="31" t="n">
        <v>27.3</v>
      </c>
      <c r="I101" s="31" t="n">
        <v>273</v>
      </c>
      <c r="J101" s="31" t="n">
        <v>1.525</v>
      </c>
      <c r="K101" s="31" t="n">
        <v>38.74</v>
      </c>
      <c r="L101" s="34" t="n">
        <v>6.4</v>
      </c>
      <c r="M101" s="31" t="n">
        <v>162.6</v>
      </c>
      <c r="N101" s="34" t="n">
        <v>1.61</v>
      </c>
      <c r="O101" s="31" t="n">
        <v>40.89</v>
      </c>
      <c r="P101" s="31" t="n">
        <v>7.78</v>
      </c>
      <c r="Q101" s="31" t="n">
        <v>778</v>
      </c>
      <c r="R101" s="31" t="n">
        <v>212</v>
      </c>
      <c r="S101" s="31" t="n">
        <v>212000</v>
      </c>
      <c r="T101" s="31"/>
    </row>
    <row r="102" customFormat="false" ht="14.4" hidden="true" customHeight="false" outlineLevel="0" collapsed="false">
      <c r="A102" s="44" t="n">
        <v>1808</v>
      </c>
      <c r="B102" s="22" t="s">
        <v>150</v>
      </c>
      <c r="C102" s="31" t="s">
        <v>151</v>
      </c>
      <c r="D102" s="31" t="n">
        <v>26</v>
      </c>
      <c r="E102" s="31" t="s">
        <v>33</v>
      </c>
      <c r="F102" s="31" t="n">
        <v>26</v>
      </c>
      <c r="G102" s="31" t="s">
        <v>44</v>
      </c>
      <c r="H102" s="31" t="n">
        <v>4.01</v>
      </c>
      <c r="I102" s="31" t="n">
        <v>40.1</v>
      </c>
      <c r="J102" s="31" t="n">
        <v>0.326</v>
      </c>
      <c r="K102" s="31" t="n">
        <v>8.28</v>
      </c>
      <c r="L102" s="31" t="n">
        <v>0.772</v>
      </c>
      <c r="M102" s="31" t="n">
        <v>19.6</v>
      </c>
      <c r="N102" s="31" t="n">
        <v>0.194</v>
      </c>
      <c r="O102" s="31" t="n">
        <v>4.93</v>
      </c>
      <c r="P102" s="31" t="n">
        <v>0.228</v>
      </c>
      <c r="Q102" s="31" t="n">
        <v>22.8</v>
      </c>
      <c r="R102" s="31" t="n">
        <v>0.914</v>
      </c>
      <c r="S102" s="31" t="n">
        <v>914</v>
      </c>
      <c r="T102" s="31"/>
    </row>
    <row r="103" customFormat="false" ht="14.4" hidden="true" customHeight="false" outlineLevel="0" collapsed="false">
      <c r="A103" s="44" t="n">
        <v>1808</v>
      </c>
      <c r="B103" s="22" t="s">
        <v>152</v>
      </c>
      <c r="C103" s="31" t="s">
        <v>151</v>
      </c>
      <c r="D103" s="31" t="n">
        <v>40</v>
      </c>
      <c r="E103" s="31" t="s">
        <v>33</v>
      </c>
      <c r="F103" s="31" t="n">
        <v>35</v>
      </c>
      <c r="G103" s="31" t="s">
        <v>44</v>
      </c>
      <c r="H103" s="31" t="n">
        <v>4.01</v>
      </c>
      <c r="I103" s="31" t="n">
        <v>40.1</v>
      </c>
      <c r="J103" s="31" t="n">
        <v>0.326</v>
      </c>
      <c r="K103" s="31" t="n">
        <v>8.28</v>
      </c>
      <c r="L103" s="31" t="n">
        <v>0.772</v>
      </c>
      <c r="M103" s="31" t="n">
        <v>19.6</v>
      </c>
      <c r="N103" s="31" t="n">
        <v>0.194</v>
      </c>
      <c r="O103" s="31" t="n">
        <v>4.93</v>
      </c>
      <c r="P103" s="31" t="n">
        <v>0.228</v>
      </c>
      <c r="Q103" s="31" t="n">
        <v>22.8</v>
      </c>
      <c r="R103" s="31" t="n">
        <v>0.914</v>
      </c>
      <c r="S103" s="31" t="n">
        <v>914</v>
      </c>
      <c r="T103" s="31"/>
    </row>
    <row r="104" customFormat="false" ht="14.4" hidden="true" customHeight="false" outlineLevel="0" collapsed="false">
      <c r="A104" s="44" t="n">
        <v>1808</v>
      </c>
      <c r="B104" s="22" t="s">
        <v>153</v>
      </c>
      <c r="C104" s="31" t="s">
        <v>151</v>
      </c>
      <c r="D104" s="31" t="n">
        <v>60</v>
      </c>
      <c r="E104" s="31" t="s">
        <v>33</v>
      </c>
      <c r="F104" s="31" t="n">
        <v>48</v>
      </c>
      <c r="G104" s="31" t="s">
        <v>44</v>
      </c>
      <c r="H104" s="31" t="n">
        <v>4.01</v>
      </c>
      <c r="I104" s="31" t="n">
        <v>40.1</v>
      </c>
      <c r="J104" s="31" t="n">
        <v>0.326</v>
      </c>
      <c r="K104" s="31" t="n">
        <v>8.28</v>
      </c>
      <c r="L104" s="31" t="n">
        <v>0.772</v>
      </c>
      <c r="M104" s="31" t="n">
        <v>19.6</v>
      </c>
      <c r="N104" s="31" t="n">
        <v>0.194</v>
      </c>
      <c r="O104" s="31" t="n">
        <v>4.93</v>
      </c>
      <c r="P104" s="31" t="n">
        <v>0.228</v>
      </c>
      <c r="Q104" s="31" t="n">
        <v>22.8</v>
      </c>
      <c r="R104" s="31" t="n">
        <v>0.914</v>
      </c>
      <c r="S104" s="31" t="n">
        <v>914</v>
      </c>
      <c r="T104" s="31"/>
    </row>
    <row r="105" customFormat="false" ht="14.4" hidden="true" customHeight="false" outlineLevel="0" collapsed="false">
      <c r="A105" s="44" t="n">
        <v>1808</v>
      </c>
      <c r="B105" s="22" t="s">
        <v>154</v>
      </c>
      <c r="C105" s="31" t="s">
        <v>151</v>
      </c>
      <c r="D105" s="31" t="n">
        <v>90</v>
      </c>
      <c r="E105" s="31" t="s">
        <v>33</v>
      </c>
      <c r="F105" s="31" t="n">
        <v>69</v>
      </c>
      <c r="G105" s="31" t="s">
        <v>44</v>
      </c>
      <c r="H105" s="31" t="n">
        <v>4.01</v>
      </c>
      <c r="I105" s="31" t="n">
        <v>40.1</v>
      </c>
      <c r="J105" s="31" t="n">
        <v>0.326</v>
      </c>
      <c r="K105" s="31" t="n">
        <v>8.28</v>
      </c>
      <c r="L105" s="31" t="n">
        <v>0.772</v>
      </c>
      <c r="M105" s="31" t="n">
        <v>19.6</v>
      </c>
      <c r="N105" s="31" t="n">
        <v>0.194</v>
      </c>
      <c r="O105" s="31" t="n">
        <v>4.93</v>
      </c>
      <c r="P105" s="31" t="n">
        <v>0.228</v>
      </c>
      <c r="Q105" s="31" t="n">
        <v>22.8</v>
      </c>
      <c r="R105" s="31" t="n">
        <v>0.914</v>
      </c>
      <c r="S105" s="31" t="n">
        <v>914</v>
      </c>
      <c r="T105" s="31"/>
    </row>
    <row r="106" customFormat="false" ht="14.4" hidden="true" customHeight="false" outlineLevel="0" collapsed="false">
      <c r="A106" s="44" t="n">
        <v>2510</v>
      </c>
      <c r="B106" s="22" t="s">
        <v>155</v>
      </c>
      <c r="C106" s="31" t="s">
        <v>156</v>
      </c>
      <c r="D106" s="31" t="n">
        <v>26</v>
      </c>
      <c r="E106" s="31" t="s">
        <v>33</v>
      </c>
      <c r="F106" s="31" t="n">
        <v>39</v>
      </c>
      <c r="G106" s="31" t="s">
        <v>44</v>
      </c>
      <c r="H106" s="31" t="n">
        <v>4.85</v>
      </c>
      <c r="I106" s="31" t="n">
        <v>48.5</v>
      </c>
      <c r="J106" s="31" t="n">
        <v>0.382</v>
      </c>
      <c r="K106" s="32" t="n">
        <v>9.7</v>
      </c>
      <c r="L106" s="31" t="n">
        <v>1.015</v>
      </c>
      <c r="M106" s="31" t="n">
        <v>25.78</v>
      </c>
      <c r="N106" s="31" t="n">
        <v>0.254</v>
      </c>
      <c r="O106" s="31" t="n">
        <v>6.45</v>
      </c>
      <c r="P106" s="31" t="n">
        <v>0.385</v>
      </c>
      <c r="Q106" s="31" t="n">
        <v>38.5</v>
      </c>
      <c r="R106" s="34" t="n">
        <v>1.87</v>
      </c>
      <c r="S106" s="31" t="n">
        <v>1870</v>
      </c>
      <c r="T106" s="31"/>
    </row>
    <row r="107" customFormat="false" ht="14.4" hidden="true" customHeight="false" outlineLevel="0" collapsed="false">
      <c r="A107" s="44" t="n">
        <v>2510</v>
      </c>
      <c r="B107" s="22" t="s">
        <v>157</v>
      </c>
      <c r="C107" s="31" t="s">
        <v>156</v>
      </c>
      <c r="D107" s="31" t="n">
        <v>40</v>
      </c>
      <c r="E107" s="31" t="s">
        <v>33</v>
      </c>
      <c r="F107" s="31" t="n">
        <v>52</v>
      </c>
      <c r="G107" s="31" t="s">
        <v>44</v>
      </c>
      <c r="H107" s="31" t="n">
        <v>4.85</v>
      </c>
      <c r="I107" s="31" t="n">
        <v>48.5</v>
      </c>
      <c r="J107" s="31" t="n">
        <v>0.382</v>
      </c>
      <c r="K107" s="32" t="n">
        <v>9.7</v>
      </c>
      <c r="L107" s="31" t="n">
        <v>1.015</v>
      </c>
      <c r="M107" s="31" t="n">
        <v>25.78</v>
      </c>
      <c r="N107" s="31" t="n">
        <v>0.254</v>
      </c>
      <c r="O107" s="31" t="n">
        <v>6.45</v>
      </c>
      <c r="P107" s="31" t="n">
        <v>0.385</v>
      </c>
      <c r="Q107" s="31" t="n">
        <v>38.5</v>
      </c>
      <c r="R107" s="34" t="n">
        <v>1.87</v>
      </c>
      <c r="S107" s="31" t="n">
        <v>1870</v>
      </c>
      <c r="T107" s="31"/>
    </row>
    <row r="108" customFormat="false" ht="14.4" hidden="true" customHeight="false" outlineLevel="0" collapsed="false">
      <c r="A108" s="44" t="n">
        <v>2510</v>
      </c>
      <c r="B108" s="22" t="s">
        <v>158</v>
      </c>
      <c r="C108" s="31" t="s">
        <v>156</v>
      </c>
      <c r="D108" s="31" t="n">
        <v>60</v>
      </c>
      <c r="E108" s="31" t="s">
        <v>33</v>
      </c>
      <c r="F108" s="31" t="n">
        <v>70</v>
      </c>
      <c r="G108" s="31" t="s">
        <v>44</v>
      </c>
      <c r="H108" s="31" t="n">
        <v>4.85</v>
      </c>
      <c r="I108" s="31" t="n">
        <v>48.5</v>
      </c>
      <c r="J108" s="31" t="n">
        <v>0.382</v>
      </c>
      <c r="K108" s="32" t="n">
        <v>9.7</v>
      </c>
      <c r="L108" s="31" t="n">
        <v>1.015</v>
      </c>
      <c r="M108" s="31" t="n">
        <v>25.78</v>
      </c>
      <c r="N108" s="31" t="n">
        <v>0.254</v>
      </c>
      <c r="O108" s="31" t="n">
        <v>6.45</v>
      </c>
      <c r="P108" s="31" t="n">
        <v>0.385</v>
      </c>
      <c r="Q108" s="31" t="n">
        <v>38.5</v>
      </c>
      <c r="R108" s="34" t="n">
        <v>1.87</v>
      </c>
      <c r="S108" s="31" t="n">
        <v>1870</v>
      </c>
      <c r="T108" s="31"/>
    </row>
    <row r="109" customFormat="false" ht="14.4" hidden="true" customHeight="false" outlineLevel="0" collapsed="false">
      <c r="A109" s="44" t="n">
        <v>2510</v>
      </c>
      <c r="B109" s="22" t="s">
        <v>159</v>
      </c>
      <c r="C109" s="31" t="s">
        <v>156</v>
      </c>
      <c r="D109" s="31" t="n">
        <v>90</v>
      </c>
      <c r="E109" s="31" t="s">
        <v>33</v>
      </c>
      <c r="F109" s="31" t="n">
        <v>100</v>
      </c>
      <c r="G109" s="31" t="s">
        <v>44</v>
      </c>
      <c r="H109" s="31" t="n">
        <v>4.85</v>
      </c>
      <c r="I109" s="31" t="n">
        <v>48.5</v>
      </c>
      <c r="J109" s="31" t="n">
        <v>0.382</v>
      </c>
      <c r="K109" s="32" t="n">
        <v>9.7</v>
      </c>
      <c r="L109" s="31" t="n">
        <v>1.015</v>
      </c>
      <c r="M109" s="31" t="n">
        <v>25.78</v>
      </c>
      <c r="N109" s="31" t="n">
        <v>0.254</v>
      </c>
      <c r="O109" s="31" t="n">
        <v>6.45</v>
      </c>
      <c r="P109" s="31" t="n">
        <v>0.385</v>
      </c>
      <c r="Q109" s="31" t="n">
        <v>38.5</v>
      </c>
      <c r="R109" s="34" t="n">
        <v>1.87</v>
      </c>
      <c r="S109" s="31" t="n">
        <v>1870</v>
      </c>
      <c r="T109" s="31"/>
    </row>
    <row r="110" customFormat="false" ht="14.4" hidden="true" customHeight="false" outlineLevel="0" collapsed="false">
      <c r="A110" s="44" t="n">
        <v>3007</v>
      </c>
      <c r="B110" s="22" t="s">
        <v>160</v>
      </c>
      <c r="C110" s="31" t="s">
        <v>161</v>
      </c>
      <c r="D110" s="31" t="n">
        <v>26</v>
      </c>
      <c r="E110" s="31" t="s">
        <v>33</v>
      </c>
      <c r="F110" s="31" t="n">
        <v>33</v>
      </c>
      <c r="G110" s="31" t="s">
        <v>44</v>
      </c>
      <c r="H110" s="31" t="n">
        <v>6.56</v>
      </c>
      <c r="I110" s="31" t="n">
        <v>65.6</v>
      </c>
      <c r="J110" s="34" t="n">
        <v>0.6</v>
      </c>
      <c r="K110" s="31" t="n">
        <v>15.3</v>
      </c>
      <c r="L110" s="31" t="n">
        <v>1.203</v>
      </c>
      <c r="M110" s="31" t="n">
        <v>30.56</v>
      </c>
      <c r="N110" s="31" t="n">
        <v>0.284</v>
      </c>
      <c r="O110" s="31" t="n">
        <v>7.21</v>
      </c>
      <c r="P110" s="31" t="n">
        <v>0.601</v>
      </c>
      <c r="Q110" s="31" t="n">
        <v>60.1</v>
      </c>
      <c r="R110" s="34" t="n">
        <v>3.94</v>
      </c>
      <c r="S110" s="31" t="n">
        <v>3940</v>
      </c>
      <c r="T110" s="31"/>
    </row>
    <row r="111" customFormat="false" ht="14.4" hidden="true" customHeight="false" outlineLevel="0" collapsed="false">
      <c r="A111" s="44" t="n">
        <v>3007</v>
      </c>
      <c r="B111" s="22" t="s">
        <v>162</v>
      </c>
      <c r="C111" s="31" t="s">
        <v>161</v>
      </c>
      <c r="D111" s="31" t="n">
        <v>40</v>
      </c>
      <c r="E111" s="31" t="s">
        <v>33</v>
      </c>
      <c r="F111" s="31" t="n">
        <v>46</v>
      </c>
      <c r="G111" s="31" t="s">
        <v>44</v>
      </c>
      <c r="H111" s="31" t="n">
        <v>6.56</v>
      </c>
      <c r="I111" s="31" t="n">
        <v>65.6</v>
      </c>
      <c r="J111" s="34" t="n">
        <v>0.6</v>
      </c>
      <c r="K111" s="31" t="n">
        <v>15.3</v>
      </c>
      <c r="L111" s="31" t="n">
        <v>1.203</v>
      </c>
      <c r="M111" s="31" t="n">
        <v>30.56</v>
      </c>
      <c r="N111" s="31" t="n">
        <v>0.284</v>
      </c>
      <c r="O111" s="31" t="n">
        <v>7.21</v>
      </c>
      <c r="P111" s="31" t="n">
        <v>0.601</v>
      </c>
      <c r="Q111" s="31" t="n">
        <v>60.1</v>
      </c>
      <c r="R111" s="34" t="n">
        <v>3.94</v>
      </c>
      <c r="S111" s="31" t="n">
        <v>3940</v>
      </c>
      <c r="T111" s="31"/>
    </row>
    <row r="112" customFormat="false" ht="14.4" hidden="true" customHeight="false" outlineLevel="0" collapsed="false">
      <c r="A112" s="44" t="n">
        <v>3007</v>
      </c>
      <c r="B112" s="22" t="s">
        <v>163</v>
      </c>
      <c r="C112" s="31" t="s">
        <v>161</v>
      </c>
      <c r="D112" s="31" t="n">
        <v>60</v>
      </c>
      <c r="E112" s="31" t="s">
        <v>33</v>
      </c>
      <c r="F112" s="31" t="n">
        <v>71</v>
      </c>
      <c r="G112" s="31" t="s">
        <v>44</v>
      </c>
      <c r="H112" s="31" t="n">
        <v>6.56</v>
      </c>
      <c r="I112" s="31" t="n">
        <v>65.6</v>
      </c>
      <c r="J112" s="34" t="n">
        <v>0.6</v>
      </c>
      <c r="K112" s="31" t="n">
        <v>15.3</v>
      </c>
      <c r="L112" s="31" t="n">
        <v>1.203</v>
      </c>
      <c r="M112" s="31" t="n">
        <v>30.56</v>
      </c>
      <c r="N112" s="31" t="n">
        <v>0.284</v>
      </c>
      <c r="O112" s="31" t="n">
        <v>7.21</v>
      </c>
      <c r="P112" s="31" t="n">
        <v>0.601</v>
      </c>
      <c r="Q112" s="31" t="n">
        <v>60.1</v>
      </c>
      <c r="R112" s="34" t="n">
        <v>3.94</v>
      </c>
      <c r="S112" s="31" t="n">
        <v>3940</v>
      </c>
      <c r="T112" s="31"/>
    </row>
    <row r="113" customFormat="false" ht="14.4" hidden="true" customHeight="false" outlineLevel="0" collapsed="false">
      <c r="A113" s="44" t="n">
        <v>3007</v>
      </c>
      <c r="B113" s="22" t="s">
        <v>164</v>
      </c>
      <c r="C113" s="31" t="s">
        <v>161</v>
      </c>
      <c r="D113" s="31" t="n">
        <v>90</v>
      </c>
      <c r="E113" s="31" t="s">
        <v>33</v>
      </c>
      <c r="F113" s="31" t="n">
        <v>92</v>
      </c>
      <c r="G113" s="31" t="s">
        <v>44</v>
      </c>
      <c r="H113" s="31" t="n">
        <v>6.56</v>
      </c>
      <c r="I113" s="31" t="n">
        <v>65.6</v>
      </c>
      <c r="J113" s="34" t="n">
        <v>0.6</v>
      </c>
      <c r="K113" s="31" t="n">
        <v>15.3</v>
      </c>
      <c r="L113" s="31" t="n">
        <v>1.203</v>
      </c>
      <c r="M113" s="31" t="n">
        <v>30.56</v>
      </c>
      <c r="N113" s="31" t="n">
        <v>0.284</v>
      </c>
      <c r="O113" s="31" t="n">
        <v>7.21</v>
      </c>
      <c r="P113" s="31" t="n">
        <v>0.601</v>
      </c>
      <c r="Q113" s="31" t="n">
        <v>60.1</v>
      </c>
      <c r="R113" s="34" t="n">
        <v>3.94</v>
      </c>
      <c r="S113" s="31" t="n">
        <v>3940</v>
      </c>
      <c r="T113" s="31"/>
    </row>
    <row r="114" customFormat="false" ht="14.4" hidden="true" customHeight="false" outlineLevel="0" collapsed="false">
      <c r="A114" s="44" t="n">
        <v>3112</v>
      </c>
      <c r="B114" s="22" t="s">
        <v>165</v>
      </c>
      <c r="C114" s="31" t="s">
        <v>166</v>
      </c>
      <c r="D114" s="31" t="n">
        <v>60</v>
      </c>
      <c r="E114" s="31" t="s">
        <v>33</v>
      </c>
      <c r="F114" s="31" t="n">
        <v>111</v>
      </c>
      <c r="G114" s="31" t="s">
        <v>167</v>
      </c>
      <c r="H114" s="31" t="n">
        <v>6.56</v>
      </c>
      <c r="I114" s="31" t="n">
        <v>65.6</v>
      </c>
      <c r="J114" s="34" t="n">
        <v>0.45</v>
      </c>
      <c r="K114" s="31" t="n">
        <v>11.4</v>
      </c>
      <c r="L114" s="34" t="n">
        <v>1.25</v>
      </c>
      <c r="M114" s="31" t="n">
        <f aca="false">L114*25.4</f>
        <v>31.75</v>
      </c>
      <c r="N114" s="34" t="n">
        <v>0.49</v>
      </c>
      <c r="O114" s="31" t="n">
        <v>12.5</v>
      </c>
      <c r="P114" s="31" t="n">
        <v>1.01</v>
      </c>
      <c r="Q114" s="31" t="n">
        <v>101</v>
      </c>
      <c r="R114" s="31" t="n">
        <v>6.63</v>
      </c>
      <c r="S114" s="31" t="n">
        <v>6630</v>
      </c>
      <c r="T114" s="31"/>
    </row>
    <row r="115" customFormat="false" ht="14.4" hidden="true" customHeight="false" outlineLevel="0" collapsed="false">
      <c r="A115" s="44" t="n">
        <v>3112</v>
      </c>
      <c r="B115" s="22" t="s">
        <v>168</v>
      </c>
      <c r="C115" s="31" t="s">
        <v>166</v>
      </c>
      <c r="D115" s="31" t="n">
        <v>40</v>
      </c>
      <c r="E115" s="31" t="s">
        <v>33</v>
      </c>
      <c r="F115" s="31" t="n">
        <v>92</v>
      </c>
      <c r="G115" s="31" t="s">
        <v>167</v>
      </c>
      <c r="H115" s="31" t="n">
        <v>6.56</v>
      </c>
      <c r="I115" s="31" t="n">
        <v>65.6</v>
      </c>
      <c r="J115" s="34" t="n">
        <v>0.45</v>
      </c>
      <c r="K115" s="31" t="n">
        <v>11.4</v>
      </c>
      <c r="L115" s="34" t="n">
        <v>1.25</v>
      </c>
      <c r="M115" s="31" t="n">
        <f aca="false">L115*25.4</f>
        <v>31.75</v>
      </c>
      <c r="N115" s="34" t="n">
        <v>0.49</v>
      </c>
      <c r="O115" s="31" t="n">
        <v>12.5</v>
      </c>
      <c r="P115" s="31" t="n">
        <v>1.01</v>
      </c>
      <c r="Q115" s="31" t="n">
        <v>101</v>
      </c>
      <c r="R115" s="31" t="n">
        <v>6.63</v>
      </c>
      <c r="S115" s="31" t="n">
        <v>6630</v>
      </c>
      <c r="T115" s="31"/>
    </row>
    <row r="116" customFormat="false" ht="14.4" hidden="true" customHeight="false" outlineLevel="0" collapsed="false">
      <c r="A116" s="44" t="n">
        <v>3112</v>
      </c>
      <c r="B116" s="22" t="s">
        <v>169</v>
      </c>
      <c r="C116" s="31" t="s">
        <v>166</v>
      </c>
      <c r="D116" s="31" t="n">
        <v>90</v>
      </c>
      <c r="E116" s="31" t="s">
        <v>33</v>
      </c>
      <c r="F116" s="31" t="n">
        <v>179</v>
      </c>
      <c r="G116" s="31" t="s">
        <v>167</v>
      </c>
      <c r="H116" s="31" t="n">
        <v>6.56</v>
      </c>
      <c r="I116" s="31" t="n">
        <v>65.6</v>
      </c>
      <c r="J116" s="34" t="n">
        <v>0.45</v>
      </c>
      <c r="K116" s="31" t="n">
        <v>11.4</v>
      </c>
      <c r="L116" s="34" t="n">
        <v>1.25</v>
      </c>
      <c r="M116" s="31" t="n">
        <f aca="false">L116*25.4</f>
        <v>31.75</v>
      </c>
      <c r="N116" s="34" t="n">
        <v>0.49</v>
      </c>
      <c r="O116" s="31" t="n">
        <v>12.5</v>
      </c>
      <c r="P116" s="31" t="n">
        <v>1.01</v>
      </c>
      <c r="Q116" s="31" t="n">
        <v>101</v>
      </c>
      <c r="R116" s="31" t="n">
        <v>6.63</v>
      </c>
      <c r="S116" s="31" t="n">
        <v>6630</v>
      </c>
      <c r="T116" s="31"/>
    </row>
    <row r="117" customFormat="false" ht="14.4" hidden="true" customHeight="false" outlineLevel="0" collapsed="false">
      <c r="A117" s="44" t="n">
        <v>3515</v>
      </c>
      <c r="B117" s="22" t="s">
        <v>170</v>
      </c>
      <c r="C117" s="31" t="s">
        <v>171</v>
      </c>
      <c r="D117" s="31" t="n">
        <v>26</v>
      </c>
      <c r="E117" s="31" t="s">
        <v>33</v>
      </c>
      <c r="F117" s="31" t="n">
        <v>56</v>
      </c>
      <c r="G117" s="31" t="s">
        <v>44</v>
      </c>
      <c r="H117" s="31" t="n">
        <v>6.94</v>
      </c>
      <c r="I117" s="31" t="n">
        <v>69.4</v>
      </c>
      <c r="J117" s="31" t="n">
        <v>0.566</v>
      </c>
      <c r="K117" s="31" t="n">
        <v>14.4</v>
      </c>
      <c r="L117" s="34" t="n">
        <v>1.38</v>
      </c>
      <c r="M117" s="31" t="n">
        <v>35.05</v>
      </c>
      <c r="N117" s="31" t="n">
        <v>0.375</v>
      </c>
      <c r="O117" s="31" t="n">
        <v>9.53</v>
      </c>
      <c r="P117" s="34" t="n">
        <v>0.84</v>
      </c>
      <c r="Q117" s="33" t="n">
        <v>84</v>
      </c>
      <c r="R117" s="34" t="n">
        <v>5.83</v>
      </c>
      <c r="S117" s="31" t="n">
        <v>5830</v>
      </c>
      <c r="T117" s="31"/>
    </row>
    <row r="118" customFormat="false" ht="14.4" hidden="true" customHeight="false" outlineLevel="0" collapsed="false">
      <c r="A118" s="44" t="n">
        <v>3515</v>
      </c>
      <c r="B118" s="22" t="s">
        <v>172</v>
      </c>
      <c r="C118" s="31" t="s">
        <v>171</v>
      </c>
      <c r="D118" s="31" t="n">
        <v>40</v>
      </c>
      <c r="E118" s="31" t="s">
        <v>33</v>
      </c>
      <c r="F118" s="31" t="n">
        <v>75</v>
      </c>
      <c r="G118" s="31" t="s">
        <v>44</v>
      </c>
      <c r="H118" s="31" t="n">
        <v>6.94</v>
      </c>
      <c r="I118" s="31" t="n">
        <v>69.4</v>
      </c>
      <c r="J118" s="31" t="n">
        <v>0.566</v>
      </c>
      <c r="K118" s="31" t="n">
        <v>14.4</v>
      </c>
      <c r="L118" s="34" t="n">
        <v>1.38</v>
      </c>
      <c r="M118" s="31" t="n">
        <v>35.05</v>
      </c>
      <c r="N118" s="31" t="n">
        <v>0.375</v>
      </c>
      <c r="O118" s="31" t="n">
        <v>9.53</v>
      </c>
      <c r="P118" s="34" t="n">
        <v>0.84</v>
      </c>
      <c r="Q118" s="33" t="n">
        <v>84</v>
      </c>
      <c r="R118" s="34" t="n">
        <v>5.83</v>
      </c>
      <c r="S118" s="31" t="n">
        <v>5830</v>
      </c>
      <c r="T118" s="31"/>
    </row>
    <row r="119" customFormat="false" ht="14.4" hidden="true" customHeight="false" outlineLevel="0" collapsed="false">
      <c r="A119" s="44" t="n">
        <v>3515</v>
      </c>
      <c r="B119" s="22" t="s">
        <v>173</v>
      </c>
      <c r="C119" s="31" t="s">
        <v>171</v>
      </c>
      <c r="D119" s="31" t="n">
        <v>60</v>
      </c>
      <c r="E119" s="31" t="s">
        <v>33</v>
      </c>
      <c r="F119" s="31" t="n">
        <v>102</v>
      </c>
      <c r="G119" s="31" t="s">
        <v>44</v>
      </c>
      <c r="H119" s="31" t="n">
        <v>6.94</v>
      </c>
      <c r="I119" s="31" t="n">
        <v>69.4</v>
      </c>
      <c r="J119" s="31" t="n">
        <v>0.566</v>
      </c>
      <c r="K119" s="31" t="n">
        <v>14.4</v>
      </c>
      <c r="L119" s="34" t="n">
        <v>1.38</v>
      </c>
      <c r="M119" s="31" t="n">
        <v>35.05</v>
      </c>
      <c r="N119" s="31" t="n">
        <v>0.375</v>
      </c>
      <c r="O119" s="31" t="n">
        <v>9.53</v>
      </c>
      <c r="P119" s="34" t="n">
        <v>0.84</v>
      </c>
      <c r="Q119" s="33" t="n">
        <v>84</v>
      </c>
      <c r="R119" s="34" t="n">
        <v>5.83</v>
      </c>
      <c r="S119" s="31" t="n">
        <v>5830</v>
      </c>
      <c r="T119" s="31"/>
    </row>
    <row r="120" customFormat="false" ht="14.4" hidden="true" customHeight="false" outlineLevel="0" collapsed="false">
      <c r="A120" s="44" t="n">
        <v>3515</v>
      </c>
      <c r="B120" s="22" t="s">
        <v>174</v>
      </c>
      <c r="C120" s="31" t="s">
        <v>171</v>
      </c>
      <c r="D120" s="31" t="n">
        <v>90</v>
      </c>
      <c r="E120" s="31" t="s">
        <v>33</v>
      </c>
      <c r="F120" s="31" t="n">
        <v>146</v>
      </c>
      <c r="G120" s="31" t="s">
        <v>44</v>
      </c>
      <c r="H120" s="31" t="n">
        <v>6.94</v>
      </c>
      <c r="I120" s="31" t="n">
        <v>69.4</v>
      </c>
      <c r="J120" s="31" t="n">
        <v>0.566</v>
      </c>
      <c r="K120" s="31" t="n">
        <v>14.4</v>
      </c>
      <c r="L120" s="34" t="n">
        <v>1.38</v>
      </c>
      <c r="M120" s="31" t="n">
        <v>35.05</v>
      </c>
      <c r="N120" s="31" t="n">
        <v>0.375</v>
      </c>
      <c r="O120" s="31" t="n">
        <v>9.53</v>
      </c>
      <c r="P120" s="34" t="n">
        <v>0.84</v>
      </c>
      <c r="Q120" s="33" t="n">
        <v>84</v>
      </c>
      <c r="R120" s="34" t="n">
        <v>5.83</v>
      </c>
      <c r="S120" s="31" t="n">
        <v>5830</v>
      </c>
      <c r="T120" s="31"/>
    </row>
    <row r="121" customFormat="false" ht="14.4" hidden="true" customHeight="false" outlineLevel="0" collapsed="false">
      <c r="A121" s="44" t="n">
        <v>4017</v>
      </c>
      <c r="B121" s="22" t="s">
        <v>175</v>
      </c>
      <c r="C121" s="31" t="s">
        <v>176</v>
      </c>
      <c r="D121" s="31" t="n">
        <v>26</v>
      </c>
      <c r="E121" s="31" t="s">
        <v>33</v>
      </c>
      <c r="F121" s="31" t="n">
        <v>56</v>
      </c>
      <c r="G121" s="31" t="s">
        <v>44</v>
      </c>
      <c r="H121" s="31" t="n">
        <v>9.84</v>
      </c>
      <c r="I121" s="31" t="n">
        <v>98.4</v>
      </c>
      <c r="J121" s="31" t="n">
        <v>0.842</v>
      </c>
      <c r="K121" s="31" t="n">
        <v>21.4</v>
      </c>
      <c r="L121" s="31" t="n">
        <v>1.712</v>
      </c>
      <c r="M121" s="31" t="n">
        <v>43.48</v>
      </c>
      <c r="N121" s="31" t="n">
        <v>0.434</v>
      </c>
      <c r="O121" s="33" t="n">
        <v>11</v>
      </c>
      <c r="P121" s="31" t="n">
        <v>1.28</v>
      </c>
      <c r="Q121" s="31" t="n">
        <v>128</v>
      </c>
      <c r="R121" s="31" t="n">
        <v>12.6</v>
      </c>
      <c r="S121" s="31" t="n">
        <v>12600</v>
      </c>
      <c r="T121" s="31"/>
    </row>
    <row r="122" customFormat="false" ht="14.4" hidden="true" customHeight="false" outlineLevel="0" collapsed="false">
      <c r="A122" s="44" t="n">
        <v>4017</v>
      </c>
      <c r="B122" s="22" t="s">
        <v>177</v>
      </c>
      <c r="C122" s="31" t="s">
        <v>176</v>
      </c>
      <c r="D122" s="31" t="n">
        <v>40</v>
      </c>
      <c r="E122" s="31" t="s">
        <v>33</v>
      </c>
      <c r="F122" s="31" t="n">
        <v>76</v>
      </c>
      <c r="G122" s="31" t="s">
        <v>44</v>
      </c>
      <c r="H122" s="31" t="n">
        <v>9.84</v>
      </c>
      <c r="I122" s="31" t="n">
        <v>98.4</v>
      </c>
      <c r="J122" s="31" t="n">
        <v>0.842</v>
      </c>
      <c r="K122" s="31" t="n">
        <v>21.4</v>
      </c>
      <c r="L122" s="31" t="n">
        <v>1.712</v>
      </c>
      <c r="M122" s="31" t="n">
        <v>43.48</v>
      </c>
      <c r="N122" s="31" t="n">
        <v>0.434</v>
      </c>
      <c r="O122" s="33" t="n">
        <v>11</v>
      </c>
      <c r="P122" s="31" t="n">
        <v>1.28</v>
      </c>
      <c r="Q122" s="31" t="n">
        <v>128</v>
      </c>
      <c r="R122" s="31" t="n">
        <v>12.6</v>
      </c>
      <c r="S122" s="31" t="n">
        <v>12600</v>
      </c>
      <c r="T122" s="31"/>
    </row>
    <row r="123" customFormat="false" ht="14.4" hidden="true" customHeight="false" outlineLevel="0" collapsed="false">
      <c r="A123" s="44" t="n">
        <v>4017</v>
      </c>
      <c r="B123" s="22" t="s">
        <v>178</v>
      </c>
      <c r="C123" s="31" t="s">
        <v>176</v>
      </c>
      <c r="D123" s="31" t="n">
        <v>60</v>
      </c>
      <c r="E123" s="31" t="s">
        <v>33</v>
      </c>
      <c r="F123" s="31" t="n">
        <v>105</v>
      </c>
      <c r="G123" s="31" t="s">
        <v>44</v>
      </c>
      <c r="H123" s="31" t="n">
        <v>9.84</v>
      </c>
      <c r="I123" s="31" t="n">
        <v>98.4</v>
      </c>
      <c r="J123" s="31" t="n">
        <v>0.842</v>
      </c>
      <c r="K123" s="31" t="n">
        <v>21.4</v>
      </c>
      <c r="L123" s="31" t="n">
        <v>1.712</v>
      </c>
      <c r="M123" s="31" t="n">
        <v>43.48</v>
      </c>
      <c r="N123" s="31" t="n">
        <v>0.434</v>
      </c>
      <c r="O123" s="33" t="n">
        <v>11</v>
      </c>
      <c r="P123" s="31" t="n">
        <v>1.28</v>
      </c>
      <c r="Q123" s="31" t="n">
        <v>128</v>
      </c>
      <c r="R123" s="31" t="n">
        <v>12.6</v>
      </c>
      <c r="S123" s="31" t="n">
        <v>12600</v>
      </c>
      <c r="T123" s="31"/>
    </row>
    <row r="124" customFormat="false" ht="14.4" hidden="true" customHeight="false" outlineLevel="0" collapsed="false">
      <c r="A124" s="44" t="n">
        <v>4017</v>
      </c>
      <c r="B124" s="22" t="s">
        <v>179</v>
      </c>
      <c r="C124" s="31" t="s">
        <v>176</v>
      </c>
      <c r="D124" s="31" t="n">
        <v>90</v>
      </c>
      <c r="E124" s="31" t="s">
        <v>33</v>
      </c>
      <c r="F124" s="31" t="n">
        <v>151</v>
      </c>
      <c r="G124" s="31" t="s">
        <v>44</v>
      </c>
      <c r="H124" s="31" t="n">
        <v>9.84</v>
      </c>
      <c r="I124" s="31" t="n">
        <v>98.4</v>
      </c>
      <c r="J124" s="31" t="n">
        <v>0.842</v>
      </c>
      <c r="K124" s="31" t="n">
        <v>21.4</v>
      </c>
      <c r="L124" s="31" t="n">
        <v>1.712</v>
      </c>
      <c r="M124" s="31" t="n">
        <v>43.48</v>
      </c>
      <c r="N124" s="31" t="n">
        <v>0.434</v>
      </c>
      <c r="O124" s="33" t="n">
        <v>11</v>
      </c>
      <c r="P124" s="31" t="n">
        <v>1.28</v>
      </c>
      <c r="Q124" s="31" t="n">
        <v>128</v>
      </c>
      <c r="R124" s="31" t="n">
        <v>12.6</v>
      </c>
      <c r="S124" s="31" t="n">
        <v>12600</v>
      </c>
      <c r="T124" s="31"/>
    </row>
    <row r="125" customFormat="false" ht="14.4" hidden="true" customHeight="false" outlineLevel="0" collapsed="false">
      <c r="A125" s="44" t="n">
        <v>4020</v>
      </c>
      <c r="B125" s="22" t="s">
        <v>180</v>
      </c>
      <c r="C125" s="31" t="s">
        <v>181</v>
      </c>
      <c r="D125" s="31" t="n">
        <v>26</v>
      </c>
      <c r="E125" s="31" t="s">
        <v>33</v>
      </c>
      <c r="F125" s="31" t="n">
        <v>80</v>
      </c>
      <c r="G125" s="31" t="s">
        <v>44</v>
      </c>
      <c r="H125" s="31" t="n">
        <v>9.84</v>
      </c>
      <c r="I125" s="31" t="n">
        <v>98.4</v>
      </c>
      <c r="J125" s="31" t="n">
        <v>0.843</v>
      </c>
      <c r="K125" s="31" t="n">
        <v>21.4</v>
      </c>
      <c r="L125" s="31" t="n">
        <v>1.712</v>
      </c>
      <c r="M125" s="31" t="n">
        <v>43.49</v>
      </c>
      <c r="N125" s="31" t="n">
        <v>0.618</v>
      </c>
      <c r="O125" s="31" t="n">
        <v>15.7</v>
      </c>
      <c r="P125" s="31" t="n">
        <v>1.83</v>
      </c>
      <c r="Q125" s="31" t="n">
        <v>183</v>
      </c>
      <c r="R125" s="33" t="n">
        <v>18</v>
      </c>
      <c r="S125" s="31" t="n">
        <v>18000</v>
      </c>
      <c r="T125" s="31"/>
    </row>
    <row r="126" customFormat="false" ht="14.4" hidden="true" customHeight="false" outlineLevel="0" collapsed="false">
      <c r="A126" s="44" t="n">
        <v>4020</v>
      </c>
      <c r="B126" s="22" t="s">
        <v>182</v>
      </c>
      <c r="C126" s="31" t="s">
        <v>181</v>
      </c>
      <c r="D126" s="31" t="n">
        <v>40</v>
      </c>
      <c r="E126" s="31" t="s">
        <v>33</v>
      </c>
      <c r="F126" s="31" t="n">
        <v>108</v>
      </c>
      <c r="G126" s="31" t="s">
        <v>44</v>
      </c>
      <c r="H126" s="31" t="n">
        <v>9.84</v>
      </c>
      <c r="I126" s="31" t="n">
        <v>98.4</v>
      </c>
      <c r="J126" s="31" t="n">
        <v>0.843</v>
      </c>
      <c r="K126" s="31" t="n">
        <v>21.4</v>
      </c>
      <c r="L126" s="31" t="n">
        <v>1.712</v>
      </c>
      <c r="M126" s="31" t="n">
        <v>43.49</v>
      </c>
      <c r="N126" s="31" t="n">
        <v>0.618</v>
      </c>
      <c r="O126" s="31" t="n">
        <v>15.7</v>
      </c>
      <c r="P126" s="31" t="n">
        <v>1.83</v>
      </c>
      <c r="Q126" s="31" t="n">
        <v>183</v>
      </c>
      <c r="R126" s="33" t="n">
        <v>18</v>
      </c>
      <c r="S126" s="31" t="n">
        <v>18000</v>
      </c>
      <c r="T126" s="31"/>
    </row>
    <row r="127" customFormat="false" ht="14.4" hidden="true" customHeight="false" outlineLevel="0" collapsed="false">
      <c r="A127" s="44" t="n">
        <v>4020</v>
      </c>
      <c r="B127" s="22" t="s">
        <v>183</v>
      </c>
      <c r="C127" s="31" t="s">
        <v>181</v>
      </c>
      <c r="D127" s="31" t="n">
        <v>60</v>
      </c>
      <c r="E127" s="31" t="s">
        <v>33</v>
      </c>
      <c r="F127" s="31" t="n">
        <v>150</v>
      </c>
      <c r="G127" s="31" t="s">
        <v>44</v>
      </c>
      <c r="H127" s="31" t="n">
        <v>9.84</v>
      </c>
      <c r="I127" s="31" t="n">
        <v>98.4</v>
      </c>
      <c r="J127" s="31" t="n">
        <v>0.843</v>
      </c>
      <c r="K127" s="31" t="n">
        <v>21.4</v>
      </c>
      <c r="L127" s="31" t="n">
        <v>1.712</v>
      </c>
      <c r="M127" s="31" t="n">
        <v>43.49</v>
      </c>
      <c r="N127" s="31" t="n">
        <v>0.618</v>
      </c>
      <c r="O127" s="31" t="n">
        <v>15.7</v>
      </c>
      <c r="P127" s="31" t="n">
        <v>1.83</v>
      </c>
      <c r="Q127" s="31" t="n">
        <v>183</v>
      </c>
      <c r="R127" s="33" t="n">
        <v>18</v>
      </c>
      <c r="S127" s="31" t="n">
        <v>18000</v>
      </c>
      <c r="T127" s="31"/>
    </row>
    <row r="128" customFormat="false" ht="14.4" hidden="true" customHeight="false" outlineLevel="0" collapsed="false">
      <c r="A128" s="44" t="n">
        <v>4020</v>
      </c>
      <c r="B128" s="22" t="s">
        <v>184</v>
      </c>
      <c r="C128" s="31" t="s">
        <v>181</v>
      </c>
      <c r="D128" s="31" t="n">
        <v>90</v>
      </c>
      <c r="E128" s="31" t="s">
        <v>33</v>
      </c>
      <c r="F128" s="31" t="n">
        <v>217</v>
      </c>
      <c r="G128" s="31" t="s">
        <v>44</v>
      </c>
      <c r="H128" s="31" t="n">
        <v>9.84</v>
      </c>
      <c r="I128" s="31" t="n">
        <v>98.4</v>
      </c>
      <c r="J128" s="31" t="n">
        <v>0.843</v>
      </c>
      <c r="K128" s="31" t="n">
        <v>21.4</v>
      </c>
      <c r="L128" s="31" t="n">
        <v>1.712</v>
      </c>
      <c r="M128" s="31" t="n">
        <v>43.49</v>
      </c>
      <c r="N128" s="31" t="n">
        <v>0.618</v>
      </c>
      <c r="O128" s="31" t="n">
        <v>15.7</v>
      </c>
      <c r="P128" s="31" t="n">
        <v>1.83</v>
      </c>
      <c r="Q128" s="31" t="n">
        <v>183</v>
      </c>
      <c r="R128" s="33" t="n">
        <v>18</v>
      </c>
      <c r="S128" s="31" t="n">
        <v>18000</v>
      </c>
      <c r="T128" s="31"/>
    </row>
    <row r="129" customFormat="false" ht="14.4" hidden="true" customHeight="false" outlineLevel="0" collapsed="false">
      <c r="A129" s="44" t="n">
        <v>4022</v>
      </c>
      <c r="B129" s="22" t="s">
        <v>185</v>
      </c>
      <c r="C129" s="31" t="s">
        <v>186</v>
      </c>
      <c r="D129" s="31" t="n">
        <v>26</v>
      </c>
      <c r="E129" s="31" t="s">
        <v>33</v>
      </c>
      <c r="F129" s="31" t="n">
        <v>104</v>
      </c>
      <c r="G129" s="31" t="s">
        <v>44</v>
      </c>
      <c r="H129" s="31" t="n">
        <v>9.84</v>
      </c>
      <c r="I129" s="31" t="n">
        <v>98.4</v>
      </c>
      <c r="J129" s="31" t="n">
        <v>0.843</v>
      </c>
      <c r="K129" s="31" t="n">
        <v>21.4</v>
      </c>
      <c r="L129" s="31" t="n">
        <v>1.712</v>
      </c>
      <c r="M129" s="31" t="n">
        <v>43.49</v>
      </c>
      <c r="N129" s="31" t="n">
        <v>0.798</v>
      </c>
      <c r="O129" s="31" t="n">
        <v>20.3</v>
      </c>
      <c r="P129" s="31" t="n">
        <v>2.37</v>
      </c>
      <c r="Q129" s="31" t="n">
        <v>237</v>
      </c>
      <c r="R129" s="31" t="n">
        <v>23.3</v>
      </c>
      <c r="S129" s="31" t="n">
        <v>23300</v>
      </c>
      <c r="T129" s="31"/>
    </row>
    <row r="130" customFormat="false" ht="14.4" hidden="true" customHeight="false" outlineLevel="0" collapsed="false">
      <c r="A130" s="44" t="n">
        <v>4022</v>
      </c>
      <c r="B130" s="22" t="s">
        <v>187</v>
      </c>
      <c r="C130" s="31" t="s">
        <v>186</v>
      </c>
      <c r="D130" s="31" t="n">
        <v>40</v>
      </c>
      <c r="E130" s="31" t="s">
        <v>33</v>
      </c>
      <c r="F130" s="31" t="n">
        <v>140</v>
      </c>
      <c r="G130" s="31" t="s">
        <v>44</v>
      </c>
      <c r="H130" s="31" t="n">
        <v>9.84</v>
      </c>
      <c r="I130" s="31" t="n">
        <v>98.4</v>
      </c>
      <c r="J130" s="31" t="n">
        <v>0.843</v>
      </c>
      <c r="K130" s="31" t="n">
        <v>21.4</v>
      </c>
      <c r="L130" s="31" t="n">
        <v>1.712</v>
      </c>
      <c r="M130" s="31" t="n">
        <v>43.49</v>
      </c>
      <c r="N130" s="31" t="n">
        <v>0.798</v>
      </c>
      <c r="O130" s="31" t="n">
        <v>20.3</v>
      </c>
      <c r="P130" s="31" t="n">
        <v>2.37</v>
      </c>
      <c r="Q130" s="31" t="n">
        <v>237</v>
      </c>
      <c r="R130" s="31" t="n">
        <v>23.3</v>
      </c>
      <c r="S130" s="31" t="n">
        <v>23300</v>
      </c>
      <c r="T130" s="31"/>
    </row>
    <row r="131" customFormat="false" ht="14.4" hidden="true" customHeight="false" outlineLevel="0" collapsed="false">
      <c r="A131" s="44" t="n">
        <v>4022</v>
      </c>
      <c r="B131" s="22" t="s">
        <v>188</v>
      </c>
      <c r="C131" s="31" t="s">
        <v>186</v>
      </c>
      <c r="D131" s="31" t="n">
        <v>60</v>
      </c>
      <c r="E131" s="31" t="s">
        <v>33</v>
      </c>
      <c r="F131" s="31" t="n">
        <v>194</v>
      </c>
      <c r="G131" s="31" t="s">
        <v>44</v>
      </c>
      <c r="H131" s="31" t="n">
        <v>9.84</v>
      </c>
      <c r="I131" s="31" t="n">
        <v>98.4</v>
      </c>
      <c r="J131" s="31" t="n">
        <v>0.843</v>
      </c>
      <c r="K131" s="31" t="n">
        <v>21.4</v>
      </c>
      <c r="L131" s="31" t="n">
        <v>1.712</v>
      </c>
      <c r="M131" s="31" t="n">
        <v>43.49</v>
      </c>
      <c r="N131" s="31" t="n">
        <v>0.798</v>
      </c>
      <c r="O131" s="31" t="n">
        <v>20.3</v>
      </c>
      <c r="P131" s="31" t="n">
        <v>2.37</v>
      </c>
      <c r="Q131" s="31" t="n">
        <v>237</v>
      </c>
      <c r="R131" s="31" t="n">
        <v>23.3</v>
      </c>
      <c r="S131" s="31" t="n">
        <v>23300</v>
      </c>
      <c r="T131" s="31"/>
    </row>
    <row r="132" customFormat="false" ht="14.4" hidden="true" customHeight="false" outlineLevel="0" collapsed="false">
      <c r="A132" s="44" t="n">
        <v>4022</v>
      </c>
      <c r="B132" s="22" t="s">
        <v>189</v>
      </c>
      <c r="C132" s="31" t="s">
        <v>186</v>
      </c>
      <c r="D132" s="31" t="n">
        <v>90</v>
      </c>
      <c r="E132" s="31" t="s">
        <v>33</v>
      </c>
      <c r="F132" s="31" t="n">
        <v>281</v>
      </c>
      <c r="G132" s="31" t="s">
        <v>44</v>
      </c>
      <c r="H132" s="31" t="n">
        <v>9.84</v>
      </c>
      <c r="I132" s="31" t="n">
        <v>98.4</v>
      </c>
      <c r="J132" s="31" t="n">
        <v>0.843</v>
      </c>
      <c r="K132" s="31" t="n">
        <v>21.4</v>
      </c>
      <c r="L132" s="31" t="n">
        <v>1.712</v>
      </c>
      <c r="M132" s="31" t="n">
        <v>43.49</v>
      </c>
      <c r="N132" s="31" t="n">
        <v>0.798</v>
      </c>
      <c r="O132" s="31" t="n">
        <v>20.3</v>
      </c>
      <c r="P132" s="31" t="n">
        <v>2.37</v>
      </c>
      <c r="Q132" s="31" t="n">
        <v>237</v>
      </c>
      <c r="R132" s="31" t="n">
        <v>23.3</v>
      </c>
      <c r="S132" s="31" t="n">
        <v>23300</v>
      </c>
      <c r="T132" s="31"/>
    </row>
    <row r="133" customFormat="false" ht="14.4" hidden="true" customHeight="false" outlineLevel="0" collapsed="false">
      <c r="A133" s="44" t="n">
        <v>4110</v>
      </c>
      <c r="B133" s="22" t="s">
        <v>190</v>
      </c>
      <c r="C133" s="31" t="s">
        <v>191</v>
      </c>
      <c r="D133" s="31" t="n">
        <v>60</v>
      </c>
      <c r="E133" s="31" t="s">
        <v>33</v>
      </c>
      <c r="F133" s="31" t="n">
        <v>78</v>
      </c>
      <c r="G133" s="31" t="s">
        <v>167</v>
      </c>
      <c r="H133" s="31" t="n">
        <v>8.52</v>
      </c>
      <c r="I133" s="31" t="n">
        <v>85.2</v>
      </c>
      <c r="J133" s="34" t="n">
        <v>0.46</v>
      </c>
      <c r="K133" s="31" t="n">
        <v>11.7</v>
      </c>
      <c r="L133" s="34" t="n">
        <v>1.62</v>
      </c>
      <c r="M133" s="31" t="n">
        <v>41.15</v>
      </c>
      <c r="N133" s="34" t="n">
        <v>0.39</v>
      </c>
      <c r="O133" s="31" t="n">
        <v>9.91</v>
      </c>
      <c r="P133" s="34" t="n">
        <v>0.8</v>
      </c>
      <c r="Q133" s="33" t="n">
        <v>80</v>
      </c>
      <c r="R133" s="31" t="n">
        <v>6.82</v>
      </c>
      <c r="S133" s="31" t="n">
        <v>6820</v>
      </c>
      <c r="T133" s="31"/>
    </row>
    <row r="134" customFormat="false" ht="14.4" hidden="true" customHeight="false" outlineLevel="0" collapsed="false">
      <c r="A134" s="44" t="n">
        <v>4110</v>
      </c>
      <c r="B134" s="22" t="s">
        <v>192</v>
      </c>
      <c r="C134" s="31" t="s">
        <v>191</v>
      </c>
      <c r="D134" s="31" t="n">
        <v>40</v>
      </c>
      <c r="E134" s="31" t="s">
        <v>33</v>
      </c>
      <c r="F134" s="31" t="n">
        <v>56</v>
      </c>
      <c r="G134" s="31" t="s">
        <v>167</v>
      </c>
      <c r="H134" s="31" t="n">
        <v>8.52</v>
      </c>
      <c r="I134" s="31" t="n">
        <v>85.2</v>
      </c>
      <c r="J134" s="34" t="n">
        <v>0.46</v>
      </c>
      <c r="K134" s="31" t="n">
        <v>11.7</v>
      </c>
      <c r="L134" s="34" t="n">
        <v>1.62</v>
      </c>
      <c r="M134" s="31" t="n">
        <v>41.15</v>
      </c>
      <c r="N134" s="34" t="n">
        <v>0.39</v>
      </c>
      <c r="O134" s="31" t="n">
        <v>9.91</v>
      </c>
      <c r="P134" s="34" t="n">
        <v>0.8</v>
      </c>
      <c r="Q134" s="33" t="n">
        <v>80</v>
      </c>
      <c r="R134" s="31" t="n">
        <v>6.82</v>
      </c>
      <c r="S134" s="31" t="n">
        <v>6820</v>
      </c>
      <c r="T134" s="31"/>
    </row>
    <row r="135" customFormat="false" ht="14.4" hidden="true" customHeight="false" outlineLevel="0" collapsed="false">
      <c r="A135" s="44" t="n">
        <v>4110</v>
      </c>
      <c r="B135" s="22" t="s">
        <v>193</v>
      </c>
      <c r="C135" s="31" t="s">
        <v>191</v>
      </c>
      <c r="D135" s="31" t="n">
        <v>90</v>
      </c>
      <c r="E135" s="31" t="s">
        <v>33</v>
      </c>
      <c r="F135" s="31" t="n">
        <v>109</v>
      </c>
      <c r="G135" s="31" t="s">
        <v>167</v>
      </c>
      <c r="H135" s="31" t="n">
        <v>8.52</v>
      </c>
      <c r="I135" s="31" t="n">
        <v>85.2</v>
      </c>
      <c r="J135" s="34" t="n">
        <v>0.46</v>
      </c>
      <c r="K135" s="31" t="n">
        <v>11.7</v>
      </c>
      <c r="L135" s="34" t="n">
        <v>1.62</v>
      </c>
      <c r="M135" s="31" t="n">
        <v>41.15</v>
      </c>
      <c r="N135" s="34" t="n">
        <v>0.39</v>
      </c>
      <c r="O135" s="31" t="n">
        <v>9.91</v>
      </c>
      <c r="P135" s="34" t="n">
        <v>0.8</v>
      </c>
      <c r="Q135" s="33" t="n">
        <v>80</v>
      </c>
      <c r="R135" s="31" t="n">
        <v>6.82</v>
      </c>
      <c r="S135" s="31" t="n">
        <v>6820</v>
      </c>
      <c r="T135" s="31"/>
    </row>
    <row r="136" customFormat="false" ht="14.4" hidden="true" customHeight="false" outlineLevel="0" collapsed="false">
      <c r="A136" s="44" t="n">
        <v>4111</v>
      </c>
      <c r="B136" s="22" t="s">
        <v>194</v>
      </c>
      <c r="C136" s="31" t="s">
        <v>195</v>
      </c>
      <c r="D136" s="31" t="n">
        <v>60</v>
      </c>
      <c r="E136" s="31" t="s">
        <v>33</v>
      </c>
      <c r="F136" s="31" t="n">
        <v>95</v>
      </c>
      <c r="G136" s="31" t="s">
        <v>167</v>
      </c>
      <c r="H136" s="31" t="n">
        <v>8.52</v>
      </c>
      <c r="I136" s="31" t="n">
        <v>85.2</v>
      </c>
      <c r="J136" s="34" t="n">
        <v>0.46</v>
      </c>
      <c r="K136" s="31" t="n">
        <v>11.7</v>
      </c>
      <c r="L136" s="34" t="n">
        <v>1.62</v>
      </c>
      <c r="M136" s="31" t="n">
        <v>41.15</v>
      </c>
      <c r="N136" s="34" t="n">
        <v>0.49</v>
      </c>
      <c r="O136" s="31" t="n">
        <v>12.5</v>
      </c>
      <c r="P136" s="31" t="n">
        <v>1.01</v>
      </c>
      <c r="Q136" s="31" t="n">
        <v>101</v>
      </c>
      <c r="R136" s="32" t="n">
        <v>8.6</v>
      </c>
      <c r="S136" s="31" t="n">
        <v>8600</v>
      </c>
      <c r="T136" s="31"/>
    </row>
    <row r="137" customFormat="false" ht="14.4" hidden="true" customHeight="false" outlineLevel="0" collapsed="false">
      <c r="A137" s="44" t="n">
        <v>4111</v>
      </c>
      <c r="B137" s="22" t="s">
        <v>196</v>
      </c>
      <c r="C137" s="31" t="s">
        <v>195</v>
      </c>
      <c r="D137" s="31" t="n">
        <v>40</v>
      </c>
      <c r="E137" s="31" t="s">
        <v>33</v>
      </c>
      <c r="F137" s="31" t="n">
        <v>72</v>
      </c>
      <c r="G137" s="31" t="s">
        <v>167</v>
      </c>
      <c r="H137" s="31" t="n">
        <v>8.52</v>
      </c>
      <c r="I137" s="31" t="n">
        <v>85.2</v>
      </c>
      <c r="J137" s="34" t="n">
        <v>0.46</v>
      </c>
      <c r="K137" s="31" t="n">
        <v>11.7</v>
      </c>
      <c r="L137" s="34" t="n">
        <v>1.62</v>
      </c>
      <c r="M137" s="31" t="n">
        <v>41.15</v>
      </c>
      <c r="N137" s="34" t="n">
        <v>0.49</v>
      </c>
      <c r="O137" s="31" t="n">
        <v>12.5</v>
      </c>
      <c r="P137" s="31" t="n">
        <v>1.01</v>
      </c>
      <c r="Q137" s="31" t="n">
        <v>101</v>
      </c>
      <c r="R137" s="32" t="n">
        <v>8.6</v>
      </c>
      <c r="S137" s="31" t="n">
        <v>8600</v>
      </c>
      <c r="T137" s="31"/>
    </row>
    <row r="138" customFormat="false" ht="14.4" hidden="true" customHeight="false" outlineLevel="0" collapsed="false">
      <c r="A138" s="44" t="n">
        <v>4111</v>
      </c>
      <c r="B138" s="22" t="s">
        <v>197</v>
      </c>
      <c r="C138" s="31" t="s">
        <v>195</v>
      </c>
      <c r="D138" s="31" t="n">
        <v>90</v>
      </c>
      <c r="E138" s="31" t="s">
        <v>33</v>
      </c>
      <c r="F138" s="31" t="n">
        <v>138</v>
      </c>
      <c r="G138" s="31" t="s">
        <v>167</v>
      </c>
      <c r="H138" s="31" t="n">
        <v>8.52</v>
      </c>
      <c r="I138" s="31" t="n">
        <v>85.2</v>
      </c>
      <c r="J138" s="34" t="n">
        <v>0.46</v>
      </c>
      <c r="K138" s="31" t="n">
        <v>11.7</v>
      </c>
      <c r="L138" s="34" t="n">
        <v>1.62</v>
      </c>
      <c r="M138" s="31" t="n">
        <v>41.15</v>
      </c>
      <c r="N138" s="34" t="n">
        <v>0.49</v>
      </c>
      <c r="O138" s="31" t="n">
        <v>12.5</v>
      </c>
      <c r="P138" s="31" t="n">
        <v>1.01</v>
      </c>
      <c r="Q138" s="31" t="n">
        <v>101</v>
      </c>
      <c r="R138" s="32" t="n">
        <v>8.6</v>
      </c>
      <c r="S138" s="31" t="n">
        <v>8600</v>
      </c>
      <c r="T138" s="31"/>
    </row>
    <row r="139" customFormat="false" ht="14.4" hidden="true" customHeight="false" outlineLevel="0" collapsed="false">
      <c r="A139" s="44" t="n">
        <v>4119</v>
      </c>
      <c r="B139" s="22" t="s">
        <v>198</v>
      </c>
      <c r="C139" s="31" t="s">
        <v>199</v>
      </c>
      <c r="D139" s="31" t="n">
        <v>40</v>
      </c>
      <c r="E139" s="31" t="s">
        <v>33</v>
      </c>
      <c r="F139" s="31" t="n">
        <v>110</v>
      </c>
      <c r="G139" s="31" t="s">
        <v>167</v>
      </c>
      <c r="H139" s="31" t="n">
        <v>8.52</v>
      </c>
      <c r="I139" s="31" t="n">
        <v>85.2</v>
      </c>
      <c r="J139" s="34" t="n">
        <v>0.46</v>
      </c>
      <c r="K139" s="31" t="n">
        <v>11.7</v>
      </c>
      <c r="L139" s="34" t="n">
        <v>1.62</v>
      </c>
      <c r="M139" s="31" t="n">
        <v>41.15</v>
      </c>
      <c r="N139" s="31" t="n">
        <v>0.765</v>
      </c>
      <c r="O139" s="31" t="n">
        <v>19.5</v>
      </c>
      <c r="P139" s="31" t="n">
        <v>1.59</v>
      </c>
      <c r="Q139" s="31" t="n">
        <v>159</v>
      </c>
      <c r="R139" s="31" t="n">
        <v>13.6</v>
      </c>
      <c r="S139" s="31" t="n">
        <v>13600</v>
      </c>
      <c r="T139" s="31"/>
    </row>
    <row r="140" customFormat="false" ht="14.4" hidden="true" customHeight="false" outlineLevel="0" collapsed="false">
      <c r="A140" s="44" t="n">
        <v>4119</v>
      </c>
      <c r="B140" s="22" t="s">
        <v>200</v>
      </c>
      <c r="C140" s="31" t="s">
        <v>199</v>
      </c>
      <c r="D140" s="31" t="n">
        <v>60</v>
      </c>
      <c r="E140" s="31" t="s">
        <v>33</v>
      </c>
      <c r="F140" s="31" t="n">
        <v>151</v>
      </c>
      <c r="G140" s="31" t="s">
        <v>167</v>
      </c>
      <c r="H140" s="31" t="n">
        <v>8.52</v>
      </c>
      <c r="I140" s="31" t="n">
        <v>85.2</v>
      </c>
      <c r="J140" s="34" t="n">
        <v>0.46</v>
      </c>
      <c r="K140" s="31" t="n">
        <v>11.7</v>
      </c>
      <c r="L140" s="34" t="n">
        <v>1.62</v>
      </c>
      <c r="M140" s="31" t="n">
        <v>41.15</v>
      </c>
      <c r="N140" s="31" t="n">
        <v>0.765</v>
      </c>
      <c r="O140" s="31" t="n">
        <v>19.5</v>
      </c>
      <c r="P140" s="31" t="n">
        <v>1.59</v>
      </c>
      <c r="Q140" s="31" t="n">
        <v>159</v>
      </c>
      <c r="R140" s="31" t="n">
        <v>13.6</v>
      </c>
      <c r="S140" s="31" t="n">
        <v>13600</v>
      </c>
      <c r="T140" s="31"/>
    </row>
    <row r="141" customFormat="false" ht="14.4" hidden="true" customHeight="false" outlineLevel="0" collapsed="false">
      <c r="A141" s="44" t="n">
        <v>4119</v>
      </c>
      <c r="B141" s="22" t="s">
        <v>201</v>
      </c>
      <c r="C141" s="31" t="s">
        <v>199</v>
      </c>
      <c r="D141" s="31" t="n">
        <v>90</v>
      </c>
      <c r="E141" s="31" t="s">
        <v>33</v>
      </c>
      <c r="F141" s="31" t="n">
        <v>218</v>
      </c>
      <c r="G141" s="31" t="s">
        <v>167</v>
      </c>
      <c r="H141" s="31" t="n">
        <v>8.52</v>
      </c>
      <c r="I141" s="31" t="n">
        <v>85.2</v>
      </c>
      <c r="J141" s="34" t="n">
        <v>0.46</v>
      </c>
      <c r="K141" s="31" t="n">
        <v>11.7</v>
      </c>
      <c r="L141" s="34" t="n">
        <v>1.62</v>
      </c>
      <c r="M141" s="31" t="n">
        <v>41.15</v>
      </c>
      <c r="N141" s="31" t="n">
        <v>0.765</v>
      </c>
      <c r="O141" s="31" t="n">
        <v>19.5</v>
      </c>
      <c r="P141" s="31" t="n">
        <v>1.59</v>
      </c>
      <c r="Q141" s="31" t="n">
        <v>159</v>
      </c>
      <c r="R141" s="31" t="n">
        <v>13.6</v>
      </c>
      <c r="S141" s="31" t="n">
        <v>13600</v>
      </c>
      <c r="T141" s="31"/>
    </row>
    <row r="142" customFormat="false" ht="14.4" hidden="true" customHeight="false" outlineLevel="0" collapsed="false">
      <c r="A142" s="44" t="n">
        <v>4317</v>
      </c>
      <c r="B142" s="22" t="s">
        <v>202</v>
      </c>
      <c r="C142" s="31" t="s">
        <v>203</v>
      </c>
      <c r="D142" s="31" t="n">
        <v>26</v>
      </c>
      <c r="E142" s="31" t="s">
        <v>33</v>
      </c>
      <c r="F142" s="31" t="n">
        <v>88</v>
      </c>
      <c r="G142" s="31" t="s">
        <v>44</v>
      </c>
      <c r="H142" s="31" t="n">
        <v>7.75</v>
      </c>
      <c r="I142" s="31" t="n">
        <v>77.5</v>
      </c>
      <c r="J142" s="31" t="n">
        <v>0.661</v>
      </c>
      <c r="K142" s="31" t="n">
        <v>16.8</v>
      </c>
      <c r="L142" s="31" t="n">
        <v>1.633</v>
      </c>
      <c r="M142" s="31" t="n">
        <v>41.48</v>
      </c>
      <c r="N142" s="34" t="n">
        <v>0.5</v>
      </c>
      <c r="O142" s="31" t="n">
        <v>12.7</v>
      </c>
      <c r="P142" s="31" t="n">
        <v>1.52</v>
      </c>
      <c r="Q142" s="31" t="n">
        <v>152</v>
      </c>
      <c r="R142" s="31" t="n">
        <v>11.8</v>
      </c>
      <c r="S142" s="31" t="n">
        <v>11800</v>
      </c>
      <c r="T142" s="31"/>
    </row>
    <row r="143" customFormat="false" ht="14.4" hidden="true" customHeight="false" outlineLevel="0" collapsed="false">
      <c r="A143" s="44" t="n">
        <v>4317</v>
      </c>
      <c r="B143" s="22" t="s">
        <v>204</v>
      </c>
      <c r="C143" s="31" t="s">
        <v>203</v>
      </c>
      <c r="D143" s="31" t="n">
        <v>40</v>
      </c>
      <c r="E143" s="31" t="s">
        <v>33</v>
      </c>
      <c r="F143" s="31" t="n">
        <v>119</v>
      </c>
      <c r="G143" s="31" t="s">
        <v>44</v>
      </c>
      <c r="H143" s="31" t="n">
        <v>7.75</v>
      </c>
      <c r="I143" s="31" t="n">
        <v>77.5</v>
      </c>
      <c r="J143" s="31" t="n">
        <v>0.661</v>
      </c>
      <c r="K143" s="31" t="n">
        <v>16.8</v>
      </c>
      <c r="L143" s="31" t="n">
        <v>1.633</v>
      </c>
      <c r="M143" s="31" t="n">
        <v>41.48</v>
      </c>
      <c r="N143" s="34" t="n">
        <v>0.5</v>
      </c>
      <c r="O143" s="31" t="n">
        <v>12.7</v>
      </c>
      <c r="P143" s="31" t="n">
        <v>1.52</v>
      </c>
      <c r="Q143" s="31" t="n">
        <v>152</v>
      </c>
      <c r="R143" s="31" t="n">
        <v>11.8</v>
      </c>
      <c r="S143" s="31" t="n">
        <v>11800</v>
      </c>
      <c r="T143" s="31"/>
    </row>
    <row r="144" customFormat="false" ht="14.4" hidden="true" customHeight="false" outlineLevel="0" collapsed="false">
      <c r="A144" s="44" t="n">
        <v>4317</v>
      </c>
      <c r="B144" s="22" t="s">
        <v>205</v>
      </c>
      <c r="C144" s="31" t="s">
        <v>203</v>
      </c>
      <c r="D144" s="31" t="n">
        <v>60</v>
      </c>
      <c r="E144" s="31" t="s">
        <v>33</v>
      </c>
      <c r="F144" s="31" t="n">
        <v>163</v>
      </c>
      <c r="G144" s="31" t="s">
        <v>44</v>
      </c>
      <c r="H144" s="31" t="n">
        <v>7.75</v>
      </c>
      <c r="I144" s="31" t="n">
        <v>77.5</v>
      </c>
      <c r="J144" s="31" t="n">
        <v>0.661</v>
      </c>
      <c r="K144" s="31" t="n">
        <v>16.8</v>
      </c>
      <c r="L144" s="31" t="n">
        <v>1.633</v>
      </c>
      <c r="M144" s="31" t="n">
        <v>41.48</v>
      </c>
      <c r="N144" s="34" t="n">
        <v>0.5</v>
      </c>
      <c r="O144" s="31" t="n">
        <v>12.7</v>
      </c>
      <c r="P144" s="31" t="n">
        <v>1.52</v>
      </c>
      <c r="Q144" s="31" t="n">
        <v>152</v>
      </c>
      <c r="R144" s="31" t="n">
        <v>11.8</v>
      </c>
      <c r="S144" s="31" t="n">
        <v>11800</v>
      </c>
      <c r="T144" s="31"/>
    </row>
    <row r="145" customFormat="false" ht="14.4" hidden="true" customHeight="false" outlineLevel="0" collapsed="false">
      <c r="A145" s="44" t="n">
        <v>4317</v>
      </c>
      <c r="B145" s="22" t="s">
        <v>206</v>
      </c>
      <c r="C145" s="31" t="s">
        <v>203</v>
      </c>
      <c r="D145" s="31" t="n">
        <v>90</v>
      </c>
      <c r="E145" s="31" t="s">
        <v>33</v>
      </c>
      <c r="F145" s="31" t="n">
        <v>234</v>
      </c>
      <c r="G145" s="31" t="s">
        <v>44</v>
      </c>
      <c r="H145" s="31" t="n">
        <v>7.75</v>
      </c>
      <c r="I145" s="31" t="n">
        <v>77.5</v>
      </c>
      <c r="J145" s="31" t="n">
        <v>0.661</v>
      </c>
      <c r="K145" s="31" t="n">
        <v>16.8</v>
      </c>
      <c r="L145" s="31" t="n">
        <v>1.633</v>
      </c>
      <c r="M145" s="31" t="n">
        <v>41.48</v>
      </c>
      <c r="N145" s="34" t="n">
        <v>0.5</v>
      </c>
      <c r="O145" s="31" t="n">
        <v>12.7</v>
      </c>
      <c r="P145" s="31" t="n">
        <v>1.52</v>
      </c>
      <c r="Q145" s="31" t="n">
        <v>152</v>
      </c>
      <c r="R145" s="31" t="n">
        <v>11.8</v>
      </c>
      <c r="S145" s="31" t="n">
        <v>11800</v>
      </c>
      <c r="T145" s="31"/>
    </row>
    <row r="146" customFormat="false" ht="14.4" hidden="true" customHeight="false" outlineLevel="0" collapsed="false">
      <c r="A146" s="45" t="n">
        <v>55014</v>
      </c>
      <c r="B146" s="22" t="s">
        <v>207</v>
      </c>
      <c r="C146" s="23" t="s">
        <v>208</v>
      </c>
      <c r="D146" s="22" t="n">
        <v>173</v>
      </c>
      <c r="E146" s="22" t="s">
        <v>50</v>
      </c>
      <c r="F146" s="22" t="n">
        <v>69</v>
      </c>
      <c r="G146" s="22" t="s">
        <v>51</v>
      </c>
      <c r="H146" s="22" t="n">
        <v>1.36</v>
      </c>
      <c r="I146" s="22" t="n">
        <v>13.6</v>
      </c>
      <c r="J146" s="43" t="n">
        <v>0.09</v>
      </c>
      <c r="K146" s="22" t="n">
        <v>2.28</v>
      </c>
      <c r="L146" s="22" t="n">
        <v>0.275</v>
      </c>
      <c r="M146" s="22" t="n">
        <v>6.99</v>
      </c>
      <c r="N146" s="22" t="n">
        <v>0.135</v>
      </c>
      <c r="O146" s="22" t="n">
        <v>3.43</v>
      </c>
      <c r="P146" s="22" t="n">
        <v>0.047</v>
      </c>
      <c r="Q146" s="22" t="n">
        <v>4.7</v>
      </c>
      <c r="R146" s="43" t="n">
        <v>0.064</v>
      </c>
      <c r="S146" s="36" t="n">
        <v>64</v>
      </c>
      <c r="T146" s="22" t="n">
        <v>0.0408</v>
      </c>
      <c r="U146" s="22" t="n">
        <f aca="false">C146*1</f>
        <v>20</v>
      </c>
      <c r="V146" s="22" t="n">
        <f aca="false">VLOOKUP(U146,'Powder Core Toroid OD'!$A$2:$B$36,2,0)</f>
        <v>6.35</v>
      </c>
    </row>
    <row r="147" customFormat="false" ht="14.4" hidden="true" customHeight="false" outlineLevel="0" collapsed="false">
      <c r="A147" s="45" t="n">
        <v>55015</v>
      </c>
      <c r="B147" s="22" t="s">
        <v>209</v>
      </c>
      <c r="C147" s="23" t="s">
        <v>208</v>
      </c>
      <c r="D147" s="22" t="n">
        <v>300</v>
      </c>
      <c r="E147" s="22" t="s">
        <v>50</v>
      </c>
      <c r="F147" s="22" t="n">
        <v>120</v>
      </c>
      <c r="G147" s="22" t="s">
        <v>51</v>
      </c>
      <c r="H147" s="22" t="n">
        <v>1.36</v>
      </c>
      <c r="I147" s="22" t="n">
        <v>13.6</v>
      </c>
      <c r="J147" s="43" t="n">
        <v>0.09</v>
      </c>
      <c r="K147" s="22" t="n">
        <v>2.28</v>
      </c>
      <c r="L147" s="22" t="n">
        <v>0.275</v>
      </c>
      <c r="M147" s="22" t="n">
        <v>6.99</v>
      </c>
      <c r="N147" s="22" t="n">
        <v>0.135</v>
      </c>
      <c r="O147" s="22" t="n">
        <v>3.43</v>
      </c>
      <c r="P147" s="22" t="n">
        <v>0.047</v>
      </c>
      <c r="Q147" s="22" t="n">
        <v>4.7</v>
      </c>
      <c r="R147" s="43" t="n">
        <v>0.064</v>
      </c>
      <c r="S147" s="36" t="n">
        <v>64</v>
      </c>
      <c r="T147" s="22" t="n">
        <v>0.0408</v>
      </c>
      <c r="U147" s="22" t="n">
        <f aca="false">C147*1</f>
        <v>20</v>
      </c>
      <c r="V147" s="22" t="n">
        <f aca="false">VLOOKUP(U147,'Powder Core Toroid OD'!$A$2:$B$36,2,0)</f>
        <v>6.35</v>
      </c>
    </row>
    <row r="148" customFormat="false" ht="14.4" hidden="false" customHeight="false" outlineLevel="0" collapsed="false">
      <c r="A148" s="35" t="n">
        <v>78737</v>
      </c>
      <c r="B148" s="22" t="s">
        <v>210</v>
      </c>
      <c r="C148" s="23" t="n">
        <v>740</v>
      </c>
      <c r="D148" s="22" t="n">
        <v>60</v>
      </c>
      <c r="E148" s="22" t="s">
        <v>211</v>
      </c>
      <c r="F148" s="22" t="n">
        <v>204</v>
      </c>
      <c r="G148" s="22" t="s">
        <v>51</v>
      </c>
      <c r="H148" s="22" t="n">
        <v>18.4</v>
      </c>
      <c r="I148" s="22" t="n">
        <v>184</v>
      </c>
      <c r="J148" s="22" t="n">
        <v>1.748</v>
      </c>
      <c r="K148" s="42" t="n">
        <v>44.39</v>
      </c>
      <c r="L148" s="22" t="n">
        <v>2.953</v>
      </c>
      <c r="M148" s="42" t="n">
        <v>75.01</v>
      </c>
      <c r="N148" s="43" t="n">
        <v>1.414</v>
      </c>
      <c r="O148" s="42" t="n">
        <v>35.92</v>
      </c>
      <c r="P148" s="42" t="n">
        <v>4.97</v>
      </c>
      <c r="Q148" s="22" t="n">
        <v>497</v>
      </c>
      <c r="R148" s="22" t="n">
        <v>91.4</v>
      </c>
      <c r="S148" s="22" t="n">
        <v>91400</v>
      </c>
      <c r="T148" s="22" t="n">
        <v>15.5</v>
      </c>
      <c r="U148" s="22" t="n">
        <f aca="false">C148*1</f>
        <v>740</v>
      </c>
      <c r="V148" s="22" t="n">
        <f aca="false">VLOOKUP(U148,'Powder Core Toroid OD'!$A$2:$B$36,2,0)</f>
        <v>74.1</v>
      </c>
    </row>
    <row r="149" customFormat="false" ht="14.4" hidden="true" customHeight="false" outlineLevel="0" collapsed="false">
      <c r="A149" s="45" t="n">
        <v>55017</v>
      </c>
      <c r="B149" s="22" t="s">
        <v>212</v>
      </c>
      <c r="C149" s="23" t="s">
        <v>208</v>
      </c>
      <c r="D149" s="22" t="n">
        <v>200</v>
      </c>
      <c r="E149" s="22" t="s">
        <v>50</v>
      </c>
      <c r="F149" s="22" t="n">
        <v>80</v>
      </c>
      <c r="G149" s="22" t="s">
        <v>51</v>
      </c>
      <c r="H149" s="22" t="n">
        <v>1.36</v>
      </c>
      <c r="I149" s="22" t="n">
        <v>13.6</v>
      </c>
      <c r="J149" s="43" t="n">
        <v>0.09</v>
      </c>
      <c r="K149" s="22" t="n">
        <v>2.28</v>
      </c>
      <c r="L149" s="22" t="n">
        <v>0.275</v>
      </c>
      <c r="M149" s="22" t="n">
        <v>6.99</v>
      </c>
      <c r="N149" s="22" t="n">
        <v>0.135</v>
      </c>
      <c r="O149" s="22" t="n">
        <v>3.43</v>
      </c>
      <c r="P149" s="22" t="n">
        <v>0.047</v>
      </c>
      <c r="Q149" s="22" t="n">
        <v>4.7</v>
      </c>
      <c r="R149" s="43" t="n">
        <v>0.064</v>
      </c>
      <c r="S149" s="36" t="n">
        <v>64</v>
      </c>
      <c r="T149" s="22" t="n">
        <v>0.0408</v>
      </c>
      <c r="U149" s="22" t="n">
        <f aca="false">C149*1</f>
        <v>20</v>
      </c>
      <c r="V149" s="22" t="n">
        <f aca="false">VLOOKUP(U149,'Powder Core Toroid OD'!$A$2:$B$36,2,0)</f>
        <v>6.35</v>
      </c>
    </row>
    <row r="150" customFormat="false" ht="14.4" hidden="true" customHeight="false" outlineLevel="0" collapsed="false">
      <c r="A150" s="45" t="n">
        <v>55018</v>
      </c>
      <c r="B150" s="22" t="s">
        <v>213</v>
      </c>
      <c r="C150" s="23" t="s">
        <v>208</v>
      </c>
      <c r="D150" s="22" t="n">
        <v>160</v>
      </c>
      <c r="E150" s="22" t="s">
        <v>50</v>
      </c>
      <c r="F150" s="22" t="n">
        <v>64</v>
      </c>
      <c r="G150" s="22" t="s">
        <v>51</v>
      </c>
      <c r="H150" s="22" t="n">
        <v>1.36</v>
      </c>
      <c r="I150" s="22" t="n">
        <v>13.6</v>
      </c>
      <c r="J150" s="43" t="n">
        <v>0.09</v>
      </c>
      <c r="K150" s="22" t="n">
        <v>2.28</v>
      </c>
      <c r="L150" s="22" t="n">
        <v>0.275</v>
      </c>
      <c r="M150" s="22" t="n">
        <v>6.99</v>
      </c>
      <c r="N150" s="22" t="n">
        <v>0.135</v>
      </c>
      <c r="O150" s="22" t="n">
        <v>3.43</v>
      </c>
      <c r="P150" s="22" t="n">
        <v>0.047</v>
      </c>
      <c r="Q150" s="22" t="n">
        <v>4.7</v>
      </c>
      <c r="R150" s="43" t="n">
        <v>0.064</v>
      </c>
      <c r="S150" s="36" t="n">
        <v>64</v>
      </c>
      <c r="T150" s="22" t="n">
        <v>0.0408</v>
      </c>
      <c r="U150" s="22" t="n">
        <f aca="false">C150*1</f>
        <v>20</v>
      </c>
      <c r="V150" s="22" t="n">
        <f aca="false">VLOOKUP(U150,'Powder Core Toroid OD'!$A$2:$B$36,2,0)</f>
        <v>6.35</v>
      </c>
    </row>
    <row r="151" customFormat="false" ht="14.4" hidden="true" customHeight="false" outlineLevel="0" collapsed="false">
      <c r="A151" s="45" t="n">
        <v>55019</v>
      </c>
      <c r="B151" s="22" t="s">
        <v>214</v>
      </c>
      <c r="C151" s="23" t="s">
        <v>208</v>
      </c>
      <c r="D151" s="22" t="n">
        <v>147</v>
      </c>
      <c r="E151" s="22" t="s">
        <v>50</v>
      </c>
      <c r="F151" s="22" t="n">
        <v>59</v>
      </c>
      <c r="G151" s="22" t="s">
        <v>51</v>
      </c>
      <c r="H151" s="22" t="n">
        <v>1.36</v>
      </c>
      <c r="I151" s="22" t="n">
        <v>13.6</v>
      </c>
      <c r="J151" s="43" t="n">
        <v>0.09</v>
      </c>
      <c r="K151" s="22" t="n">
        <v>2.28</v>
      </c>
      <c r="L151" s="22" t="n">
        <v>0.275</v>
      </c>
      <c r="M151" s="22" t="n">
        <v>6.99</v>
      </c>
      <c r="N151" s="22" t="n">
        <v>0.135</v>
      </c>
      <c r="O151" s="22" t="n">
        <v>3.43</v>
      </c>
      <c r="P151" s="22" t="n">
        <v>0.047</v>
      </c>
      <c r="Q151" s="22" t="n">
        <v>4.7</v>
      </c>
      <c r="R151" s="43" t="n">
        <v>0.064</v>
      </c>
      <c r="S151" s="36" t="n">
        <v>64</v>
      </c>
      <c r="T151" s="22" t="n">
        <v>0.0408</v>
      </c>
      <c r="U151" s="22" t="n">
        <f aca="false">C151*1</f>
        <v>20</v>
      </c>
      <c r="V151" s="22" t="n">
        <f aca="false">VLOOKUP(U151,'Powder Core Toroid OD'!$A$2:$B$36,2,0)</f>
        <v>6.35</v>
      </c>
    </row>
    <row r="152" customFormat="false" ht="14.4" hidden="true" customHeight="false" outlineLevel="0" collapsed="false">
      <c r="A152" s="45" t="n">
        <v>55020</v>
      </c>
      <c r="B152" s="22" t="s">
        <v>215</v>
      </c>
      <c r="C152" s="23" t="s">
        <v>208</v>
      </c>
      <c r="D152" s="22" t="n">
        <v>125</v>
      </c>
      <c r="E152" s="22" t="s">
        <v>50</v>
      </c>
      <c r="F152" s="22" t="n">
        <v>50</v>
      </c>
      <c r="G152" s="22" t="s">
        <v>51</v>
      </c>
      <c r="H152" s="22" t="n">
        <v>1.36</v>
      </c>
      <c r="I152" s="22" t="n">
        <v>13.6</v>
      </c>
      <c r="J152" s="43" t="n">
        <v>0.09</v>
      </c>
      <c r="K152" s="22" t="n">
        <v>2.28</v>
      </c>
      <c r="L152" s="22" t="n">
        <v>0.275</v>
      </c>
      <c r="M152" s="22" t="n">
        <v>6.99</v>
      </c>
      <c r="N152" s="22" t="n">
        <v>0.135</v>
      </c>
      <c r="O152" s="22" t="n">
        <v>3.43</v>
      </c>
      <c r="P152" s="22" t="n">
        <v>0.047</v>
      </c>
      <c r="Q152" s="22" t="n">
        <v>4.7</v>
      </c>
      <c r="R152" s="43" t="n">
        <v>0.064</v>
      </c>
      <c r="S152" s="36" t="n">
        <v>64</v>
      </c>
      <c r="T152" s="22" t="n">
        <v>0.0408</v>
      </c>
      <c r="U152" s="22" t="n">
        <f aca="false">C152*1</f>
        <v>20</v>
      </c>
      <c r="V152" s="22" t="n">
        <f aca="false">VLOOKUP(U152,'Powder Core Toroid OD'!$A$2:$B$36,2,0)</f>
        <v>6.35</v>
      </c>
    </row>
    <row r="153" customFormat="false" ht="14.4" hidden="true" customHeight="false" outlineLevel="0" collapsed="false">
      <c r="A153" s="45" t="n">
        <v>55021</v>
      </c>
      <c r="B153" s="22" t="s">
        <v>216</v>
      </c>
      <c r="C153" s="23" t="s">
        <v>208</v>
      </c>
      <c r="D153" s="22" t="n">
        <v>60</v>
      </c>
      <c r="E153" s="22" t="s">
        <v>50</v>
      </c>
      <c r="F153" s="22" t="n">
        <v>24</v>
      </c>
      <c r="G153" s="22" t="s">
        <v>51</v>
      </c>
      <c r="H153" s="22" t="n">
        <v>1.36</v>
      </c>
      <c r="I153" s="22" t="n">
        <v>13.6</v>
      </c>
      <c r="J153" s="43" t="n">
        <v>0.09</v>
      </c>
      <c r="K153" s="22" t="n">
        <v>2.28</v>
      </c>
      <c r="L153" s="22" t="n">
        <v>0.275</v>
      </c>
      <c r="M153" s="22" t="n">
        <v>6.99</v>
      </c>
      <c r="N153" s="22" t="n">
        <v>0.135</v>
      </c>
      <c r="O153" s="22" t="n">
        <v>3.43</v>
      </c>
      <c r="P153" s="22" t="n">
        <v>0.047</v>
      </c>
      <c r="Q153" s="22" t="n">
        <v>4.7</v>
      </c>
      <c r="R153" s="43" t="n">
        <v>0.064</v>
      </c>
      <c r="S153" s="36" t="n">
        <v>64</v>
      </c>
      <c r="T153" s="22" t="n">
        <v>0.0408</v>
      </c>
      <c r="U153" s="22" t="n">
        <f aca="false">C153*1</f>
        <v>20</v>
      </c>
      <c r="V153" s="22" t="n">
        <f aca="false">VLOOKUP(U153,'Powder Core Toroid OD'!$A$2:$B$36,2,0)</f>
        <v>6.35</v>
      </c>
    </row>
    <row r="154" customFormat="false" ht="14.4" hidden="true" customHeight="false" outlineLevel="0" collapsed="false">
      <c r="A154" s="45" t="n">
        <v>55022</v>
      </c>
      <c r="B154" s="22" t="s">
        <v>217</v>
      </c>
      <c r="C154" s="23" t="s">
        <v>208</v>
      </c>
      <c r="D154" s="22" t="n">
        <v>26</v>
      </c>
      <c r="E154" s="22" t="s">
        <v>50</v>
      </c>
      <c r="F154" s="22" t="n">
        <v>10</v>
      </c>
      <c r="G154" s="22" t="s">
        <v>51</v>
      </c>
      <c r="H154" s="22" t="n">
        <v>1.36</v>
      </c>
      <c r="I154" s="22" t="n">
        <v>13.6</v>
      </c>
      <c r="J154" s="43" t="n">
        <v>0.09</v>
      </c>
      <c r="K154" s="22" t="n">
        <v>2.28</v>
      </c>
      <c r="L154" s="22" t="n">
        <v>0.275</v>
      </c>
      <c r="M154" s="22" t="n">
        <v>6.99</v>
      </c>
      <c r="N154" s="22" t="n">
        <v>0.135</v>
      </c>
      <c r="O154" s="22" t="n">
        <v>3.43</v>
      </c>
      <c r="P154" s="22" t="n">
        <v>0.047</v>
      </c>
      <c r="Q154" s="22" t="n">
        <v>4.7</v>
      </c>
      <c r="R154" s="43" t="n">
        <v>0.064</v>
      </c>
      <c r="S154" s="36" t="n">
        <v>64</v>
      </c>
      <c r="T154" s="22" t="n">
        <v>0.0408</v>
      </c>
      <c r="U154" s="22" t="n">
        <f aca="false">C154*1</f>
        <v>20</v>
      </c>
      <c r="V154" s="22" t="n">
        <f aca="false">VLOOKUP(U154,'Powder Core Toroid OD'!$A$2:$B$36,2,0)</f>
        <v>6.35</v>
      </c>
    </row>
    <row r="155" customFormat="false" ht="14.4" hidden="true" customHeight="false" outlineLevel="0" collapsed="false">
      <c r="A155" s="45" t="n">
        <v>55023</v>
      </c>
      <c r="B155" s="22" t="s">
        <v>218</v>
      </c>
      <c r="C155" s="23" t="s">
        <v>208</v>
      </c>
      <c r="D155" s="22" t="n">
        <v>14</v>
      </c>
      <c r="E155" s="22" t="s">
        <v>50</v>
      </c>
      <c r="F155" s="22" t="n">
        <v>6</v>
      </c>
      <c r="G155" s="22" t="s">
        <v>51</v>
      </c>
      <c r="H155" s="22" t="n">
        <v>1.36</v>
      </c>
      <c r="I155" s="22" t="n">
        <v>13.6</v>
      </c>
      <c r="J155" s="43" t="n">
        <v>0.09</v>
      </c>
      <c r="K155" s="22" t="n">
        <v>2.28</v>
      </c>
      <c r="L155" s="22" t="n">
        <v>0.275</v>
      </c>
      <c r="M155" s="22" t="n">
        <v>6.99</v>
      </c>
      <c r="N155" s="22" t="n">
        <v>0.135</v>
      </c>
      <c r="O155" s="22" t="n">
        <v>3.43</v>
      </c>
      <c r="P155" s="22" t="n">
        <v>0.047</v>
      </c>
      <c r="Q155" s="22" t="n">
        <v>4.7</v>
      </c>
      <c r="R155" s="43" t="n">
        <v>0.064</v>
      </c>
      <c r="S155" s="36" t="n">
        <v>64</v>
      </c>
      <c r="T155" s="22" t="n">
        <v>0.0408</v>
      </c>
      <c r="U155" s="22" t="n">
        <f aca="false">C155*1</f>
        <v>20</v>
      </c>
      <c r="V155" s="22" t="n">
        <f aca="false">VLOOKUP(U155,'Powder Core Toroid OD'!$A$2:$B$36,2,0)</f>
        <v>6.35</v>
      </c>
    </row>
    <row r="156" customFormat="false" ht="14.4" hidden="true" customHeight="false" outlineLevel="0" collapsed="false">
      <c r="A156" s="45" t="n">
        <v>55024</v>
      </c>
      <c r="B156" s="22" t="s">
        <v>219</v>
      </c>
      <c r="C156" s="23" t="s">
        <v>220</v>
      </c>
      <c r="D156" s="22" t="n">
        <v>173</v>
      </c>
      <c r="E156" s="22" t="s">
        <v>50</v>
      </c>
      <c r="F156" s="22" t="n">
        <v>73</v>
      </c>
      <c r="G156" s="22" t="s">
        <v>51</v>
      </c>
      <c r="H156" s="22" t="n">
        <v>1.79</v>
      </c>
      <c r="I156" s="22" t="n">
        <v>17.9</v>
      </c>
      <c r="J156" s="22" t="n">
        <v>0.136</v>
      </c>
      <c r="K156" s="22" t="n">
        <v>3.45</v>
      </c>
      <c r="L156" s="22" t="n">
        <v>0.335</v>
      </c>
      <c r="M156" s="22" t="n">
        <v>8.51</v>
      </c>
      <c r="N156" s="43" t="n">
        <v>0.15</v>
      </c>
      <c r="O156" s="22" t="n">
        <v>3.81</v>
      </c>
      <c r="P156" s="22" t="n">
        <v>0.0599</v>
      </c>
      <c r="Q156" s="22" t="n">
        <v>5.99</v>
      </c>
      <c r="R156" s="22" t="n">
        <v>0.107</v>
      </c>
      <c r="S156" s="22" t="n">
        <v>107</v>
      </c>
      <c r="T156" s="22" t="n">
        <v>0.0935</v>
      </c>
      <c r="U156" s="22" t="n">
        <f aca="false">C156*1</f>
        <v>30</v>
      </c>
      <c r="V156" s="22" t="n">
        <f aca="false">VLOOKUP(U156,'Powder Core Toroid OD'!$A$2:$B$36,2,0)</f>
        <v>7.87</v>
      </c>
    </row>
    <row r="157" customFormat="false" ht="14.4" hidden="true" customHeight="false" outlineLevel="0" collapsed="false">
      <c r="A157" s="45" t="n">
        <v>55025</v>
      </c>
      <c r="B157" s="22" t="s">
        <v>221</v>
      </c>
      <c r="C157" s="23" t="s">
        <v>220</v>
      </c>
      <c r="D157" s="22" t="n">
        <v>300</v>
      </c>
      <c r="E157" s="22" t="s">
        <v>50</v>
      </c>
      <c r="F157" s="22" t="n">
        <v>124</v>
      </c>
      <c r="G157" s="22" t="s">
        <v>51</v>
      </c>
      <c r="H157" s="22" t="n">
        <v>1.79</v>
      </c>
      <c r="I157" s="22" t="n">
        <v>17.9</v>
      </c>
      <c r="J157" s="22" t="n">
        <v>0.136</v>
      </c>
      <c r="K157" s="22" t="n">
        <v>3.45</v>
      </c>
      <c r="L157" s="22" t="n">
        <v>0.335</v>
      </c>
      <c r="M157" s="22" t="n">
        <v>8.51</v>
      </c>
      <c r="N157" s="43" t="n">
        <v>0.15</v>
      </c>
      <c r="O157" s="22" t="n">
        <v>3.81</v>
      </c>
      <c r="P157" s="22" t="n">
        <v>0.0599</v>
      </c>
      <c r="Q157" s="22" t="n">
        <v>5.99</v>
      </c>
      <c r="R157" s="22" t="n">
        <v>0.107</v>
      </c>
      <c r="S157" s="22" t="n">
        <v>107</v>
      </c>
      <c r="T157" s="22" t="n">
        <v>0.0935</v>
      </c>
      <c r="U157" s="22" t="n">
        <f aca="false">C157*1</f>
        <v>30</v>
      </c>
      <c r="V157" s="22" t="n">
        <f aca="false">VLOOKUP(U157,'Powder Core Toroid OD'!$A$2:$B$36,2,0)</f>
        <v>7.87</v>
      </c>
    </row>
    <row r="158" customFormat="false" ht="14.4" hidden="false" customHeight="false" outlineLevel="0" collapsed="false">
      <c r="A158" s="35" t="n">
        <v>78617</v>
      </c>
      <c r="B158" s="22" t="s">
        <v>222</v>
      </c>
      <c r="C158" s="23" t="n">
        <v>620</v>
      </c>
      <c r="D158" s="22" t="n">
        <v>60</v>
      </c>
      <c r="E158" s="22" t="s">
        <v>223</v>
      </c>
      <c r="F158" s="22" t="n">
        <v>189</v>
      </c>
      <c r="G158" s="22" t="s">
        <v>51</v>
      </c>
      <c r="H158" s="22" t="n">
        <v>14.4</v>
      </c>
      <c r="I158" s="22" t="n">
        <v>144</v>
      </c>
      <c r="J158" s="22" t="n">
        <v>1.248</v>
      </c>
      <c r="K158" s="42" t="n">
        <v>31.69</v>
      </c>
      <c r="L158" s="22" t="n">
        <v>2.477</v>
      </c>
      <c r="M158" s="42" t="n">
        <v>62.91</v>
      </c>
      <c r="N158" s="43" t="n">
        <v>1.02</v>
      </c>
      <c r="O158" s="42" t="n">
        <v>25.91</v>
      </c>
      <c r="P158" s="42" t="n">
        <v>3.6</v>
      </c>
      <c r="Q158" s="22" t="n">
        <v>360</v>
      </c>
      <c r="R158" s="22" t="n">
        <v>51.8</v>
      </c>
      <c r="S158" s="22" t="n">
        <v>51800</v>
      </c>
      <c r="T158" s="22" t="n">
        <v>7.89</v>
      </c>
      <c r="U158" s="22" t="n">
        <f aca="false">C158*1</f>
        <v>620</v>
      </c>
      <c r="V158" s="22" t="n">
        <f aca="false">VLOOKUP(U158,'Powder Core Toroid OD'!$A$2:$B$36,2,0)</f>
        <v>62</v>
      </c>
    </row>
    <row r="159" customFormat="false" ht="14.4" hidden="true" customHeight="false" outlineLevel="0" collapsed="false">
      <c r="A159" s="45" t="n">
        <v>55027</v>
      </c>
      <c r="B159" s="22" t="s">
        <v>224</v>
      </c>
      <c r="C159" s="23" t="s">
        <v>220</v>
      </c>
      <c r="D159" s="22" t="n">
        <v>200</v>
      </c>
      <c r="E159" s="22" t="s">
        <v>50</v>
      </c>
      <c r="F159" s="22" t="n">
        <v>83</v>
      </c>
      <c r="G159" s="22" t="s">
        <v>51</v>
      </c>
      <c r="H159" s="22" t="n">
        <v>1.79</v>
      </c>
      <c r="I159" s="22" t="n">
        <v>17.9</v>
      </c>
      <c r="J159" s="22" t="n">
        <v>0.136</v>
      </c>
      <c r="K159" s="22" t="n">
        <v>3.45</v>
      </c>
      <c r="L159" s="22" t="n">
        <v>0.335</v>
      </c>
      <c r="M159" s="22" t="n">
        <v>8.51</v>
      </c>
      <c r="N159" s="43" t="n">
        <v>0.15</v>
      </c>
      <c r="O159" s="22" t="n">
        <v>3.81</v>
      </c>
      <c r="P159" s="22" t="n">
        <v>0.0599</v>
      </c>
      <c r="Q159" s="22" t="n">
        <v>5.99</v>
      </c>
      <c r="R159" s="22" t="n">
        <v>0.107</v>
      </c>
      <c r="S159" s="22" t="n">
        <v>107</v>
      </c>
      <c r="T159" s="22" t="n">
        <v>0.0935</v>
      </c>
      <c r="U159" s="22" t="n">
        <f aca="false">C159*1</f>
        <v>30</v>
      </c>
      <c r="V159" s="22" t="n">
        <f aca="false">VLOOKUP(U159,'Powder Core Toroid OD'!$A$2:$B$36,2,0)</f>
        <v>7.87</v>
      </c>
    </row>
    <row r="160" customFormat="false" ht="14.4" hidden="true" customHeight="false" outlineLevel="0" collapsed="false">
      <c r="A160" s="45" t="n">
        <v>55028</v>
      </c>
      <c r="B160" s="22" t="s">
        <v>225</v>
      </c>
      <c r="C160" s="23" t="s">
        <v>220</v>
      </c>
      <c r="D160" s="22" t="n">
        <v>160</v>
      </c>
      <c r="E160" s="22" t="s">
        <v>50</v>
      </c>
      <c r="F160" s="22" t="n">
        <v>66</v>
      </c>
      <c r="G160" s="22" t="s">
        <v>51</v>
      </c>
      <c r="H160" s="22" t="n">
        <v>1.79</v>
      </c>
      <c r="I160" s="22" t="n">
        <v>17.9</v>
      </c>
      <c r="J160" s="22" t="n">
        <v>0.136</v>
      </c>
      <c r="K160" s="22" t="n">
        <v>3.45</v>
      </c>
      <c r="L160" s="22" t="n">
        <v>0.335</v>
      </c>
      <c r="M160" s="22" t="n">
        <v>8.51</v>
      </c>
      <c r="N160" s="43" t="n">
        <v>0.15</v>
      </c>
      <c r="O160" s="22" t="n">
        <v>3.81</v>
      </c>
      <c r="P160" s="22" t="n">
        <v>0.0599</v>
      </c>
      <c r="Q160" s="22" t="n">
        <v>5.99</v>
      </c>
      <c r="R160" s="22" t="n">
        <v>0.107</v>
      </c>
      <c r="S160" s="22" t="n">
        <v>107</v>
      </c>
      <c r="T160" s="22" t="n">
        <v>0.0935</v>
      </c>
      <c r="U160" s="22" t="n">
        <f aca="false">C160*1</f>
        <v>30</v>
      </c>
      <c r="V160" s="22" t="n">
        <f aca="false">VLOOKUP(U160,'Powder Core Toroid OD'!$A$2:$B$36,2,0)</f>
        <v>7.87</v>
      </c>
    </row>
    <row r="161" customFormat="false" ht="14.4" hidden="true" customHeight="false" outlineLevel="0" collapsed="false">
      <c r="A161" s="45" t="n">
        <v>55029</v>
      </c>
      <c r="B161" s="22" t="s">
        <v>226</v>
      </c>
      <c r="C161" s="23" t="s">
        <v>220</v>
      </c>
      <c r="D161" s="22" t="n">
        <v>147</v>
      </c>
      <c r="E161" s="22" t="s">
        <v>50</v>
      </c>
      <c r="F161" s="22" t="n">
        <v>62</v>
      </c>
      <c r="G161" s="22" t="s">
        <v>51</v>
      </c>
      <c r="H161" s="22" t="n">
        <v>1.79</v>
      </c>
      <c r="I161" s="22" t="n">
        <v>17.9</v>
      </c>
      <c r="J161" s="22" t="n">
        <v>0.136</v>
      </c>
      <c r="K161" s="22" t="n">
        <v>3.45</v>
      </c>
      <c r="L161" s="22" t="n">
        <v>0.335</v>
      </c>
      <c r="M161" s="22" t="n">
        <v>8.51</v>
      </c>
      <c r="N161" s="43" t="n">
        <v>0.15</v>
      </c>
      <c r="O161" s="22" t="n">
        <v>3.81</v>
      </c>
      <c r="P161" s="22" t="n">
        <v>0.0599</v>
      </c>
      <c r="Q161" s="22" t="n">
        <v>5.99</v>
      </c>
      <c r="R161" s="22" t="n">
        <v>0.107</v>
      </c>
      <c r="S161" s="22" t="n">
        <v>107</v>
      </c>
      <c r="T161" s="22" t="n">
        <v>0.0935</v>
      </c>
      <c r="U161" s="22" t="n">
        <f aca="false">C161*1</f>
        <v>30</v>
      </c>
      <c r="V161" s="22" t="n">
        <f aca="false">VLOOKUP(U161,'Powder Core Toroid OD'!$A$2:$B$36,2,0)</f>
        <v>7.87</v>
      </c>
    </row>
    <row r="162" customFormat="false" ht="14.4" hidden="true" customHeight="false" outlineLevel="0" collapsed="false">
      <c r="A162" s="45" t="n">
        <v>55030</v>
      </c>
      <c r="B162" s="22" t="s">
        <v>227</v>
      </c>
      <c r="C162" s="23" t="s">
        <v>220</v>
      </c>
      <c r="D162" s="22" t="n">
        <v>125</v>
      </c>
      <c r="E162" s="22" t="s">
        <v>50</v>
      </c>
      <c r="F162" s="22" t="n">
        <v>52</v>
      </c>
      <c r="G162" s="22" t="s">
        <v>51</v>
      </c>
      <c r="H162" s="22" t="n">
        <v>1.79</v>
      </c>
      <c r="I162" s="22" t="n">
        <v>17.9</v>
      </c>
      <c r="J162" s="22" t="n">
        <v>0.136</v>
      </c>
      <c r="K162" s="22" t="n">
        <v>3.45</v>
      </c>
      <c r="L162" s="22" t="n">
        <v>0.335</v>
      </c>
      <c r="M162" s="22" t="n">
        <v>8.51</v>
      </c>
      <c r="N162" s="43" t="n">
        <v>0.15</v>
      </c>
      <c r="O162" s="22" t="n">
        <v>3.81</v>
      </c>
      <c r="P162" s="22" t="n">
        <v>0.0599</v>
      </c>
      <c r="Q162" s="22" t="n">
        <v>5.99</v>
      </c>
      <c r="R162" s="22" t="n">
        <v>0.107</v>
      </c>
      <c r="S162" s="22" t="n">
        <v>107</v>
      </c>
      <c r="T162" s="22" t="n">
        <v>0.0935</v>
      </c>
      <c r="U162" s="22" t="n">
        <f aca="false">C162*1</f>
        <v>30</v>
      </c>
      <c r="V162" s="22" t="n">
        <f aca="false">VLOOKUP(U162,'Powder Core Toroid OD'!$A$2:$B$36,2,0)</f>
        <v>7.87</v>
      </c>
    </row>
    <row r="163" customFormat="false" ht="14.4" hidden="true" customHeight="false" outlineLevel="0" collapsed="false">
      <c r="A163" s="45" t="n">
        <v>55031</v>
      </c>
      <c r="B163" s="22" t="s">
        <v>228</v>
      </c>
      <c r="C163" s="23" t="s">
        <v>220</v>
      </c>
      <c r="D163" s="22" t="n">
        <v>60</v>
      </c>
      <c r="E163" s="22" t="s">
        <v>50</v>
      </c>
      <c r="F163" s="22" t="n">
        <v>25</v>
      </c>
      <c r="G163" s="22" t="s">
        <v>51</v>
      </c>
      <c r="H163" s="22" t="n">
        <v>1.79</v>
      </c>
      <c r="I163" s="22" t="n">
        <v>17.9</v>
      </c>
      <c r="J163" s="22" t="n">
        <v>0.136</v>
      </c>
      <c r="K163" s="22" t="n">
        <v>3.45</v>
      </c>
      <c r="L163" s="22" t="n">
        <v>0.335</v>
      </c>
      <c r="M163" s="22" t="n">
        <v>8.51</v>
      </c>
      <c r="N163" s="43" t="n">
        <v>0.15</v>
      </c>
      <c r="O163" s="22" t="n">
        <v>3.81</v>
      </c>
      <c r="P163" s="22" t="n">
        <v>0.0599</v>
      </c>
      <c r="Q163" s="22" t="n">
        <v>5.99</v>
      </c>
      <c r="R163" s="22" t="n">
        <v>0.107</v>
      </c>
      <c r="S163" s="22" t="n">
        <v>107</v>
      </c>
      <c r="T163" s="22" t="n">
        <v>0.0935</v>
      </c>
      <c r="U163" s="22" t="n">
        <f aca="false">C163*1</f>
        <v>30</v>
      </c>
      <c r="V163" s="22" t="n">
        <f aca="false">VLOOKUP(U163,'Powder Core Toroid OD'!$A$2:$B$36,2,0)</f>
        <v>7.87</v>
      </c>
    </row>
    <row r="164" customFormat="false" ht="14.4" hidden="true" customHeight="false" outlineLevel="0" collapsed="false">
      <c r="A164" s="45" t="n">
        <v>55032</v>
      </c>
      <c r="B164" s="22" t="s">
        <v>229</v>
      </c>
      <c r="C164" s="23" t="s">
        <v>220</v>
      </c>
      <c r="D164" s="22" t="n">
        <v>26</v>
      </c>
      <c r="E164" s="22" t="s">
        <v>50</v>
      </c>
      <c r="F164" s="22" t="n">
        <v>11</v>
      </c>
      <c r="G164" s="22" t="s">
        <v>51</v>
      </c>
      <c r="H164" s="22" t="n">
        <v>1.79</v>
      </c>
      <c r="I164" s="22" t="n">
        <v>17.9</v>
      </c>
      <c r="J164" s="22" t="n">
        <v>0.136</v>
      </c>
      <c r="K164" s="22" t="n">
        <v>3.45</v>
      </c>
      <c r="L164" s="22" t="n">
        <v>0.335</v>
      </c>
      <c r="M164" s="22" t="n">
        <v>8.51</v>
      </c>
      <c r="N164" s="43" t="n">
        <v>0.15</v>
      </c>
      <c r="O164" s="22" t="n">
        <v>3.81</v>
      </c>
      <c r="P164" s="22" t="n">
        <v>0.0599</v>
      </c>
      <c r="Q164" s="22" t="n">
        <v>5.99</v>
      </c>
      <c r="R164" s="22" t="n">
        <v>0.107</v>
      </c>
      <c r="S164" s="22" t="n">
        <v>107</v>
      </c>
      <c r="T164" s="22" t="n">
        <v>0.0935</v>
      </c>
      <c r="U164" s="22" t="n">
        <f aca="false">C164*1</f>
        <v>30</v>
      </c>
      <c r="V164" s="22" t="n">
        <f aca="false">VLOOKUP(U164,'Powder Core Toroid OD'!$A$2:$B$36,2,0)</f>
        <v>7.87</v>
      </c>
    </row>
    <row r="165" customFormat="false" ht="14.4" hidden="true" customHeight="false" outlineLevel="0" collapsed="false">
      <c r="A165" s="45" t="n">
        <v>55033</v>
      </c>
      <c r="B165" s="22" t="s">
        <v>230</v>
      </c>
      <c r="C165" s="23" t="s">
        <v>220</v>
      </c>
      <c r="D165" s="22" t="n">
        <v>14</v>
      </c>
      <c r="E165" s="22" t="s">
        <v>50</v>
      </c>
      <c r="F165" s="22" t="n">
        <v>6</v>
      </c>
      <c r="G165" s="22" t="s">
        <v>51</v>
      </c>
      <c r="H165" s="22" t="n">
        <v>1.79</v>
      </c>
      <c r="I165" s="22" t="n">
        <v>17.9</v>
      </c>
      <c r="J165" s="22" t="n">
        <v>0.136</v>
      </c>
      <c r="K165" s="22" t="n">
        <v>3.45</v>
      </c>
      <c r="L165" s="22" t="n">
        <v>0.335</v>
      </c>
      <c r="M165" s="22" t="n">
        <v>8.51</v>
      </c>
      <c r="N165" s="43" t="n">
        <v>0.15</v>
      </c>
      <c r="O165" s="22" t="n">
        <v>3.81</v>
      </c>
      <c r="P165" s="22" t="n">
        <v>0.0599</v>
      </c>
      <c r="Q165" s="22" t="n">
        <v>5.99</v>
      </c>
      <c r="R165" s="22" t="n">
        <v>0.107</v>
      </c>
      <c r="S165" s="22" t="n">
        <v>107</v>
      </c>
      <c r="T165" s="22" t="n">
        <v>0.0935</v>
      </c>
      <c r="U165" s="22" t="n">
        <f aca="false">C165*1</f>
        <v>30</v>
      </c>
      <c r="V165" s="22" t="n">
        <f aca="false">VLOOKUP(U165,'Powder Core Toroid OD'!$A$2:$B$36,2,0)</f>
        <v>7.87</v>
      </c>
    </row>
    <row r="166" customFormat="false" ht="14.4" hidden="true" customHeight="false" outlineLevel="0" collapsed="false">
      <c r="A166" s="45" t="n">
        <v>55034</v>
      </c>
      <c r="B166" s="22" t="s">
        <v>231</v>
      </c>
      <c r="C166" s="23" t="s">
        <v>232</v>
      </c>
      <c r="D166" s="22" t="n">
        <v>173</v>
      </c>
      <c r="E166" s="22" t="s">
        <v>50</v>
      </c>
      <c r="F166" s="22" t="n">
        <v>92</v>
      </c>
      <c r="G166" s="22" t="s">
        <v>51</v>
      </c>
      <c r="H166" s="42" t="n">
        <v>2.3</v>
      </c>
      <c r="I166" s="36" t="n">
        <v>23</v>
      </c>
      <c r="J166" s="43" t="n">
        <v>0.18</v>
      </c>
      <c r="K166" s="22" t="n">
        <v>4.57</v>
      </c>
      <c r="L166" s="22" t="n">
        <v>0.425</v>
      </c>
      <c r="M166" s="22" t="n">
        <v>10.8</v>
      </c>
      <c r="N166" s="22" t="n">
        <v>0.181</v>
      </c>
      <c r="O166" s="22" t="n">
        <v>4.6</v>
      </c>
      <c r="P166" s="22" t="n">
        <v>0.0957</v>
      </c>
      <c r="Q166" s="22" t="n">
        <v>9.57</v>
      </c>
      <c r="R166" s="22" t="n">
        <v>0.22</v>
      </c>
      <c r="S166" s="22" t="n">
        <v>220</v>
      </c>
      <c r="T166" s="22" t="n">
        <v>0.164</v>
      </c>
      <c r="U166" s="22" t="n">
        <f aca="false">C166*1</f>
        <v>40</v>
      </c>
      <c r="V166" s="22" t="n">
        <f aca="false">VLOOKUP(U166,'Powder Core Toroid OD'!$A$2:$B$36,2,0)</f>
        <v>10.2</v>
      </c>
    </row>
    <row r="167" customFormat="false" ht="14.4" hidden="true" customHeight="false" outlineLevel="0" collapsed="false">
      <c r="A167" s="45" t="n">
        <v>55035</v>
      </c>
      <c r="B167" s="22" t="s">
        <v>233</v>
      </c>
      <c r="C167" s="23" t="s">
        <v>232</v>
      </c>
      <c r="D167" s="22" t="n">
        <v>300</v>
      </c>
      <c r="E167" s="22" t="s">
        <v>50</v>
      </c>
      <c r="F167" s="22" t="n">
        <v>159</v>
      </c>
      <c r="G167" s="22" t="s">
        <v>51</v>
      </c>
      <c r="H167" s="42" t="n">
        <v>2.3</v>
      </c>
      <c r="I167" s="36" t="n">
        <v>23</v>
      </c>
      <c r="J167" s="43" t="n">
        <v>0.18</v>
      </c>
      <c r="K167" s="22" t="n">
        <v>4.57</v>
      </c>
      <c r="L167" s="22" t="n">
        <v>0.425</v>
      </c>
      <c r="M167" s="22" t="n">
        <v>10.8</v>
      </c>
      <c r="N167" s="22" t="n">
        <v>0.181</v>
      </c>
      <c r="O167" s="22" t="n">
        <v>4.6</v>
      </c>
      <c r="P167" s="22" t="n">
        <v>0.0957</v>
      </c>
      <c r="Q167" s="22" t="n">
        <v>9.57</v>
      </c>
      <c r="R167" s="22" t="n">
        <v>0.22</v>
      </c>
      <c r="S167" s="22" t="n">
        <v>220</v>
      </c>
      <c r="T167" s="22" t="n">
        <v>0.164</v>
      </c>
      <c r="U167" s="22" t="n">
        <f aca="false">C167*1</f>
        <v>40</v>
      </c>
      <c r="V167" s="22" t="n">
        <f aca="false">VLOOKUP(U167,'Powder Core Toroid OD'!$A$2:$B$36,2,0)</f>
        <v>10.2</v>
      </c>
    </row>
    <row r="168" customFormat="false" ht="14.4" hidden="true" customHeight="false" outlineLevel="0" collapsed="false">
      <c r="A168" s="45" t="n">
        <v>55036</v>
      </c>
      <c r="B168" s="22" t="s">
        <v>234</v>
      </c>
      <c r="C168" s="23" t="s">
        <v>232</v>
      </c>
      <c r="D168" s="22" t="n">
        <v>550</v>
      </c>
      <c r="E168" s="22" t="s">
        <v>50</v>
      </c>
      <c r="F168" s="22" t="n">
        <v>290</v>
      </c>
      <c r="G168" s="22" t="s">
        <v>51</v>
      </c>
      <c r="H168" s="42" t="n">
        <v>2.3</v>
      </c>
      <c r="I168" s="36" t="n">
        <v>23</v>
      </c>
      <c r="J168" s="43" t="n">
        <v>0.18</v>
      </c>
      <c r="K168" s="22" t="n">
        <v>4.57</v>
      </c>
      <c r="L168" s="22" t="n">
        <v>0.425</v>
      </c>
      <c r="M168" s="22" t="n">
        <v>10.8</v>
      </c>
      <c r="N168" s="22" t="n">
        <v>0.181</v>
      </c>
      <c r="O168" s="22" t="n">
        <v>4.6</v>
      </c>
      <c r="P168" s="22" t="n">
        <v>0.0957</v>
      </c>
      <c r="Q168" s="22" t="n">
        <v>9.57</v>
      </c>
      <c r="R168" s="22" t="n">
        <v>0.22</v>
      </c>
      <c r="S168" s="22" t="n">
        <v>220</v>
      </c>
      <c r="T168" s="22" t="n">
        <v>0.164</v>
      </c>
      <c r="U168" s="22" t="n">
        <f aca="false">C168*1</f>
        <v>40</v>
      </c>
      <c r="V168" s="22" t="n">
        <f aca="false">VLOOKUP(U168,'Powder Core Toroid OD'!$A$2:$B$36,2,0)</f>
        <v>10.2</v>
      </c>
    </row>
    <row r="169" customFormat="false" ht="14.4" hidden="true" customHeight="false" outlineLevel="0" collapsed="false">
      <c r="A169" s="45" t="n">
        <v>55037</v>
      </c>
      <c r="B169" s="22" t="s">
        <v>235</v>
      </c>
      <c r="C169" s="23" t="s">
        <v>232</v>
      </c>
      <c r="D169" s="22" t="n">
        <v>200</v>
      </c>
      <c r="E169" s="22" t="s">
        <v>50</v>
      </c>
      <c r="F169" s="22" t="n">
        <v>105</v>
      </c>
      <c r="G169" s="22" t="s">
        <v>51</v>
      </c>
      <c r="H169" s="42" t="n">
        <v>2.3</v>
      </c>
      <c r="I169" s="36" t="n">
        <v>23</v>
      </c>
      <c r="J169" s="43" t="n">
        <v>0.18</v>
      </c>
      <c r="K169" s="22" t="n">
        <v>4.57</v>
      </c>
      <c r="L169" s="22" t="n">
        <v>0.425</v>
      </c>
      <c r="M169" s="22" t="n">
        <v>10.8</v>
      </c>
      <c r="N169" s="22" t="n">
        <v>0.181</v>
      </c>
      <c r="O169" s="22" t="n">
        <v>4.6</v>
      </c>
      <c r="P169" s="22" t="n">
        <v>0.0957</v>
      </c>
      <c r="Q169" s="22" t="n">
        <v>9.57</v>
      </c>
      <c r="R169" s="22" t="n">
        <v>0.22</v>
      </c>
      <c r="S169" s="22" t="n">
        <v>220</v>
      </c>
      <c r="T169" s="22" t="n">
        <v>0.164</v>
      </c>
      <c r="U169" s="22" t="n">
        <f aca="false">C169*1</f>
        <v>40</v>
      </c>
      <c r="V169" s="22" t="n">
        <f aca="false">VLOOKUP(U169,'Powder Core Toroid OD'!$A$2:$B$36,2,0)</f>
        <v>10.2</v>
      </c>
    </row>
    <row r="170" customFormat="false" ht="14.4" hidden="true" customHeight="false" outlineLevel="0" collapsed="false">
      <c r="A170" s="45" t="n">
        <v>55038</v>
      </c>
      <c r="B170" s="22" t="s">
        <v>236</v>
      </c>
      <c r="C170" s="23" t="s">
        <v>232</v>
      </c>
      <c r="D170" s="22" t="n">
        <v>160</v>
      </c>
      <c r="E170" s="22" t="s">
        <v>50</v>
      </c>
      <c r="F170" s="22" t="n">
        <v>84</v>
      </c>
      <c r="G170" s="22" t="s">
        <v>51</v>
      </c>
      <c r="H170" s="42" t="n">
        <v>2.3</v>
      </c>
      <c r="I170" s="36" t="n">
        <v>23</v>
      </c>
      <c r="J170" s="43" t="n">
        <v>0.18</v>
      </c>
      <c r="K170" s="22" t="n">
        <v>4.57</v>
      </c>
      <c r="L170" s="22" t="n">
        <v>0.425</v>
      </c>
      <c r="M170" s="22" t="n">
        <v>10.8</v>
      </c>
      <c r="N170" s="22" t="n">
        <v>0.181</v>
      </c>
      <c r="O170" s="22" t="n">
        <v>4.6</v>
      </c>
      <c r="P170" s="22" t="n">
        <v>0.0957</v>
      </c>
      <c r="Q170" s="22" t="n">
        <v>9.57</v>
      </c>
      <c r="R170" s="22" t="n">
        <v>0.22</v>
      </c>
      <c r="S170" s="22" t="n">
        <v>220</v>
      </c>
      <c r="T170" s="22" t="n">
        <v>0.164</v>
      </c>
      <c r="U170" s="22" t="n">
        <f aca="false">C170*1</f>
        <v>40</v>
      </c>
      <c r="V170" s="22" t="n">
        <f aca="false">VLOOKUP(U170,'Powder Core Toroid OD'!$A$2:$B$36,2,0)</f>
        <v>10.2</v>
      </c>
    </row>
    <row r="171" customFormat="false" ht="14.4" hidden="true" customHeight="false" outlineLevel="0" collapsed="false">
      <c r="A171" s="45" t="n">
        <v>55039</v>
      </c>
      <c r="B171" s="22" t="s">
        <v>237</v>
      </c>
      <c r="C171" s="23" t="s">
        <v>232</v>
      </c>
      <c r="D171" s="22" t="n">
        <v>147</v>
      </c>
      <c r="E171" s="22" t="s">
        <v>50</v>
      </c>
      <c r="F171" s="22" t="n">
        <v>78</v>
      </c>
      <c r="G171" s="22" t="s">
        <v>51</v>
      </c>
      <c r="H171" s="42" t="n">
        <v>2.3</v>
      </c>
      <c r="I171" s="36" t="n">
        <v>23</v>
      </c>
      <c r="J171" s="43" t="n">
        <v>0.18</v>
      </c>
      <c r="K171" s="22" t="n">
        <v>4.57</v>
      </c>
      <c r="L171" s="22" t="n">
        <v>0.425</v>
      </c>
      <c r="M171" s="22" t="n">
        <v>10.8</v>
      </c>
      <c r="N171" s="22" t="n">
        <v>0.181</v>
      </c>
      <c r="O171" s="22" t="n">
        <v>4.6</v>
      </c>
      <c r="P171" s="22" t="n">
        <v>0.0957</v>
      </c>
      <c r="Q171" s="22" t="n">
        <v>9.57</v>
      </c>
      <c r="R171" s="22" t="n">
        <v>0.22</v>
      </c>
      <c r="S171" s="22" t="n">
        <v>220</v>
      </c>
      <c r="T171" s="22" t="n">
        <v>0.164</v>
      </c>
      <c r="U171" s="22" t="n">
        <f aca="false">C171*1</f>
        <v>40</v>
      </c>
      <c r="V171" s="22" t="n">
        <f aca="false">VLOOKUP(U171,'Powder Core Toroid OD'!$A$2:$B$36,2,0)</f>
        <v>10.2</v>
      </c>
    </row>
    <row r="172" customFormat="false" ht="14.4" hidden="true" customHeight="false" outlineLevel="0" collapsed="false">
      <c r="A172" s="45" t="n">
        <v>55040</v>
      </c>
      <c r="B172" s="22" t="s">
        <v>238</v>
      </c>
      <c r="C172" s="23" t="s">
        <v>232</v>
      </c>
      <c r="D172" s="22" t="n">
        <v>125</v>
      </c>
      <c r="E172" s="22" t="s">
        <v>50</v>
      </c>
      <c r="F172" s="22" t="n">
        <v>66</v>
      </c>
      <c r="G172" s="22" t="s">
        <v>51</v>
      </c>
      <c r="H172" s="42" t="n">
        <v>2.3</v>
      </c>
      <c r="I172" s="36" t="n">
        <v>23</v>
      </c>
      <c r="J172" s="43" t="n">
        <v>0.18</v>
      </c>
      <c r="K172" s="22" t="n">
        <v>4.57</v>
      </c>
      <c r="L172" s="22" t="n">
        <v>0.425</v>
      </c>
      <c r="M172" s="22" t="n">
        <v>10.8</v>
      </c>
      <c r="N172" s="22" t="n">
        <v>0.181</v>
      </c>
      <c r="O172" s="22" t="n">
        <v>4.6</v>
      </c>
      <c r="P172" s="22" t="n">
        <v>0.0957</v>
      </c>
      <c r="Q172" s="22" t="n">
        <v>9.57</v>
      </c>
      <c r="R172" s="22" t="n">
        <v>0.22</v>
      </c>
      <c r="S172" s="22" t="n">
        <v>220</v>
      </c>
      <c r="T172" s="22" t="n">
        <v>0.164</v>
      </c>
      <c r="U172" s="22" t="n">
        <f aca="false">C172*1</f>
        <v>40</v>
      </c>
      <c r="V172" s="22" t="n">
        <f aca="false">VLOOKUP(U172,'Powder Core Toroid OD'!$A$2:$B$36,2,0)</f>
        <v>10.2</v>
      </c>
    </row>
    <row r="173" customFormat="false" ht="14.4" hidden="true" customHeight="false" outlineLevel="0" collapsed="false">
      <c r="A173" s="45" t="n">
        <v>55041</v>
      </c>
      <c r="B173" s="22" t="s">
        <v>239</v>
      </c>
      <c r="C173" s="23" t="s">
        <v>232</v>
      </c>
      <c r="D173" s="22" t="n">
        <v>60</v>
      </c>
      <c r="E173" s="22" t="s">
        <v>50</v>
      </c>
      <c r="F173" s="22" t="n">
        <v>32</v>
      </c>
      <c r="G173" s="22" t="s">
        <v>51</v>
      </c>
      <c r="H173" s="42" t="n">
        <v>2.3</v>
      </c>
      <c r="I173" s="36" t="n">
        <v>23</v>
      </c>
      <c r="J173" s="43" t="n">
        <v>0.18</v>
      </c>
      <c r="K173" s="22" t="n">
        <v>4.57</v>
      </c>
      <c r="L173" s="22" t="n">
        <v>0.425</v>
      </c>
      <c r="M173" s="22" t="n">
        <v>10.8</v>
      </c>
      <c r="N173" s="22" t="n">
        <v>0.181</v>
      </c>
      <c r="O173" s="22" t="n">
        <v>4.6</v>
      </c>
      <c r="P173" s="22" t="n">
        <v>0.0957</v>
      </c>
      <c r="Q173" s="22" t="n">
        <v>9.57</v>
      </c>
      <c r="R173" s="22" t="n">
        <v>0.22</v>
      </c>
      <c r="S173" s="22" t="n">
        <v>220</v>
      </c>
      <c r="T173" s="22" t="n">
        <v>0.164</v>
      </c>
      <c r="U173" s="22" t="n">
        <f aca="false">C173*1</f>
        <v>40</v>
      </c>
      <c r="V173" s="22" t="n">
        <f aca="false">VLOOKUP(U173,'Powder Core Toroid OD'!$A$2:$B$36,2,0)</f>
        <v>10.2</v>
      </c>
    </row>
    <row r="174" customFormat="false" ht="14.4" hidden="true" customHeight="false" outlineLevel="0" collapsed="false">
      <c r="A174" s="45" t="n">
        <v>55042</v>
      </c>
      <c r="B174" s="22" t="s">
        <v>240</v>
      </c>
      <c r="C174" s="23" t="s">
        <v>232</v>
      </c>
      <c r="D174" s="22" t="n">
        <v>26</v>
      </c>
      <c r="E174" s="22" t="s">
        <v>50</v>
      </c>
      <c r="F174" s="22" t="n">
        <v>14</v>
      </c>
      <c r="G174" s="22" t="s">
        <v>51</v>
      </c>
      <c r="H174" s="42" t="n">
        <v>2.3</v>
      </c>
      <c r="I174" s="36" t="n">
        <v>23</v>
      </c>
      <c r="J174" s="43" t="n">
        <v>0.18</v>
      </c>
      <c r="K174" s="22" t="n">
        <v>4.57</v>
      </c>
      <c r="L174" s="22" t="n">
        <v>0.425</v>
      </c>
      <c r="M174" s="22" t="n">
        <v>10.8</v>
      </c>
      <c r="N174" s="22" t="n">
        <v>0.181</v>
      </c>
      <c r="O174" s="22" t="n">
        <v>4.6</v>
      </c>
      <c r="P174" s="22" t="n">
        <v>0.0957</v>
      </c>
      <c r="Q174" s="22" t="n">
        <v>9.57</v>
      </c>
      <c r="R174" s="22" t="n">
        <v>0.22</v>
      </c>
      <c r="S174" s="22" t="n">
        <v>220</v>
      </c>
      <c r="T174" s="22" t="n">
        <v>0.164</v>
      </c>
      <c r="U174" s="22" t="n">
        <f aca="false">C174*1</f>
        <v>40</v>
      </c>
      <c r="V174" s="22" t="n">
        <f aca="false">VLOOKUP(U174,'Powder Core Toroid OD'!$A$2:$B$36,2,0)</f>
        <v>10.2</v>
      </c>
    </row>
    <row r="175" customFormat="false" ht="14.4" hidden="true" customHeight="false" outlineLevel="0" collapsed="false">
      <c r="A175" s="45" t="n">
        <v>55043</v>
      </c>
      <c r="B175" s="22" t="s">
        <v>241</v>
      </c>
      <c r="C175" s="23" t="s">
        <v>232</v>
      </c>
      <c r="D175" s="22" t="n">
        <v>14</v>
      </c>
      <c r="E175" s="22" t="s">
        <v>50</v>
      </c>
      <c r="F175" s="22" t="n">
        <v>7</v>
      </c>
      <c r="G175" s="22" t="s">
        <v>51</v>
      </c>
      <c r="H175" s="42" t="n">
        <v>2.3</v>
      </c>
      <c r="I175" s="36" t="n">
        <v>23</v>
      </c>
      <c r="J175" s="43" t="n">
        <v>0.18</v>
      </c>
      <c r="K175" s="22" t="n">
        <v>4.57</v>
      </c>
      <c r="L175" s="22" t="n">
        <v>0.425</v>
      </c>
      <c r="M175" s="22" t="n">
        <v>10.8</v>
      </c>
      <c r="N175" s="22" t="n">
        <v>0.181</v>
      </c>
      <c r="O175" s="22" t="n">
        <v>4.6</v>
      </c>
      <c r="P175" s="22" t="n">
        <v>0.0957</v>
      </c>
      <c r="Q175" s="22" t="n">
        <v>9.57</v>
      </c>
      <c r="R175" s="22" t="n">
        <v>0.22</v>
      </c>
      <c r="S175" s="22" t="n">
        <v>220</v>
      </c>
      <c r="T175" s="22" t="n">
        <v>0.164</v>
      </c>
      <c r="U175" s="22" t="n">
        <f aca="false">C175*1</f>
        <v>40</v>
      </c>
      <c r="V175" s="22" t="n">
        <f aca="false">VLOOKUP(U175,'Powder Core Toroid OD'!$A$2:$B$36,2,0)</f>
        <v>10.2</v>
      </c>
    </row>
    <row r="176" customFormat="false" ht="14.4" hidden="true" customHeight="false" outlineLevel="0" collapsed="false">
      <c r="A176" s="45" t="n">
        <v>55044</v>
      </c>
      <c r="B176" s="22" t="s">
        <v>242</v>
      </c>
      <c r="C176" s="23" t="s">
        <v>243</v>
      </c>
      <c r="D176" s="22" t="n">
        <v>173</v>
      </c>
      <c r="E176" s="22" t="s">
        <v>50</v>
      </c>
      <c r="F176" s="22" t="n">
        <v>79</v>
      </c>
      <c r="G176" s="22" t="s">
        <v>51</v>
      </c>
      <c r="H176" s="22" t="n">
        <v>3.12</v>
      </c>
      <c r="I176" s="22" t="n">
        <v>31.2</v>
      </c>
      <c r="J176" s="22" t="n">
        <v>0.275</v>
      </c>
      <c r="K176" s="22" t="n">
        <v>6.98</v>
      </c>
      <c r="L176" s="43" t="n">
        <v>0.53</v>
      </c>
      <c r="M176" s="22" t="n">
        <v>13.5</v>
      </c>
      <c r="N176" s="22" t="n">
        <v>0.217</v>
      </c>
      <c r="O176" s="22" t="n">
        <v>5.52</v>
      </c>
      <c r="P176" s="22" t="n">
        <v>0.109</v>
      </c>
      <c r="Q176" s="22" t="n">
        <v>10.9</v>
      </c>
      <c r="R176" s="22" t="n">
        <v>0.34</v>
      </c>
      <c r="S176" s="22" t="n">
        <v>340</v>
      </c>
      <c r="T176" s="22" t="n">
        <v>0.383</v>
      </c>
      <c r="U176" s="22" t="n">
        <f aca="false">C176*1</f>
        <v>50</v>
      </c>
      <c r="V176" s="22" t="n">
        <f aca="false">VLOOKUP(U176,'Powder Core Toroid OD'!$A$2:$B$36,2,0)</f>
        <v>12.7</v>
      </c>
    </row>
    <row r="177" customFormat="false" ht="14.4" hidden="true" customHeight="false" outlineLevel="0" collapsed="false">
      <c r="A177" s="45" t="n">
        <v>55045</v>
      </c>
      <c r="B177" s="22" t="s">
        <v>244</v>
      </c>
      <c r="C177" s="23" t="s">
        <v>243</v>
      </c>
      <c r="D177" s="22" t="n">
        <v>300</v>
      </c>
      <c r="E177" s="22" t="s">
        <v>50</v>
      </c>
      <c r="F177" s="22" t="n">
        <v>134</v>
      </c>
      <c r="G177" s="22" t="s">
        <v>51</v>
      </c>
      <c r="H177" s="22" t="n">
        <v>3.12</v>
      </c>
      <c r="I177" s="22" t="n">
        <v>31.2</v>
      </c>
      <c r="J177" s="22" t="n">
        <v>0.275</v>
      </c>
      <c r="K177" s="22" t="n">
        <v>6.98</v>
      </c>
      <c r="L177" s="43" t="n">
        <v>0.53</v>
      </c>
      <c r="M177" s="22" t="n">
        <v>13.5</v>
      </c>
      <c r="N177" s="22" t="n">
        <v>0.217</v>
      </c>
      <c r="O177" s="22" t="n">
        <v>5.52</v>
      </c>
      <c r="P177" s="22" t="n">
        <v>0.109</v>
      </c>
      <c r="Q177" s="22" t="n">
        <v>10.9</v>
      </c>
      <c r="R177" s="22" t="n">
        <v>0.34</v>
      </c>
      <c r="S177" s="22" t="n">
        <v>340</v>
      </c>
      <c r="T177" s="22" t="n">
        <v>0.383</v>
      </c>
      <c r="U177" s="22" t="n">
        <f aca="false">C177*1</f>
        <v>50</v>
      </c>
      <c r="V177" s="22" t="n">
        <f aca="false">VLOOKUP(U177,'Powder Core Toroid OD'!$A$2:$B$36,2,0)</f>
        <v>12.7</v>
      </c>
    </row>
    <row r="178" customFormat="false" ht="14.4" hidden="true" customHeight="false" outlineLevel="0" collapsed="false">
      <c r="A178" s="45" t="n">
        <v>55046</v>
      </c>
      <c r="B178" s="22" t="s">
        <v>245</v>
      </c>
      <c r="C178" s="23" t="s">
        <v>243</v>
      </c>
      <c r="D178" s="22" t="n">
        <v>550</v>
      </c>
      <c r="E178" s="22" t="s">
        <v>50</v>
      </c>
      <c r="F178" s="22" t="n">
        <v>255</v>
      </c>
      <c r="G178" s="22" t="s">
        <v>51</v>
      </c>
      <c r="H178" s="22" t="n">
        <v>3.12</v>
      </c>
      <c r="I178" s="22" t="n">
        <v>31.2</v>
      </c>
      <c r="J178" s="22" t="n">
        <v>0.275</v>
      </c>
      <c r="K178" s="22" t="n">
        <v>6.98</v>
      </c>
      <c r="L178" s="43" t="n">
        <v>0.53</v>
      </c>
      <c r="M178" s="22" t="n">
        <v>13.5</v>
      </c>
      <c r="N178" s="22" t="n">
        <v>0.217</v>
      </c>
      <c r="O178" s="22" t="n">
        <v>5.52</v>
      </c>
      <c r="P178" s="22" t="n">
        <v>0.109</v>
      </c>
      <c r="Q178" s="22" t="n">
        <v>10.9</v>
      </c>
      <c r="R178" s="22" t="n">
        <v>0.34</v>
      </c>
      <c r="S178" s="22" t="n">
        <v>340</v>
      </c>
      <c r="T178" s="22" t="n">
        <v>0.383</v>
      </c>
      <c r="U178" s="22" t="n">
        <f aca="false">C178*1</f>
        <v>50</v>
      </c>
      <c r="V178" s="22" t="n">
        <f aca="false">VLOOKUP(U178,'Powder Core Toroid OD'!$A$2:$B$36,2,0)</f>
        <v>12.7</v>
      </c>
    </row>
    <row r="179" customFormat="false" ht="14.4" hidden="true" customHeight="false" outlineLevel="0" collapsed="false">
      <c r="A179" s="45" t="n">
        <v>55047</v>
      </c>
      <c r="B179" s="22" t="s">
        <v>246</v>
      </c>
      <c r="C179" s="23" t="s">
        <v>243</v>
      </c>
      <c r="D179" s="22" t="n">
        <v>200</v>
      </c>
      <c r="E179" s="22" t="s">
        <v>50</v>
      </c>
      <c r="F179" s="22" t="n">
        <v>90</v>
      </c>
      <c r="G179" s="22" t="s">
        <v>51</v>
      </c>
      <c r="H179" s="22" t="n">
        <v>3.12</v>
      </c>
      <c r="I179" s="22" t="n">
        <v>31.2</v>
      </c>
      <c r="J179" s="22" t="n">
        <v>0.275</v>
      </c>
      <c r="K179" s="22" t="n">
        <v>6.98</v>
      </c>
      <c r="L179" s="43" t="n">
        <v>0.53</v>
      </c>
      <c r="M179" s="22" t="n">
        <v>13.5</v>
      </c>
      <c r="N179" s="22" t="n">
        <v>0.217</v>
      </c>
      <c r="O179" s="22" t="n">
        <v>5.52</v>
      </c>
      <c r="P179" s="22" t="n">
        <v>0.109</v>
      </c>
      <c r="Q179" s="22" t="n">
        <v>10.9</v>
      </c>
      <c r="R179" s="22" t="n">
        <v>0.34</v>
      </c>
      <c r="S179" s="22" t="n">
        <v>340</v>
      </c>
      <c r="T179" s="22" t="n">
        <v>0.383</v>
      </c>
      <c r="U179" s="22" t="n">
        <f aca="false">C179*1</f>
        <v>50</v>
      </c>
      <c r="V179" s="22" t="n">
        <f aca="false">VLOOKUP(U179,'Powder Core Toroid OD'!$A$2:$B$36,2,0)</f>
        <v>12.7</v>
      </c>
    </row>
    <row r="180" customFormat="false" ht="14.4" hidden="true" customHeight="false" outlineLevel="0" collapsed="false">
      <c r="A180" s="45" t="n">
        <v>55048</v>
      </c>
      <c r="B180" s="22" t="s">
        <v>247</v>
      </c>
      <c r="C180" s="23" t="s">
        <v>243</v>
      </c>
      <c r="D180" s="22" t="n">
        <v>160</v>
      </c>
      <c r="E180" s="22" t="s">
        <v>50</v>
      </c>
      <c r="F180" s="22" t="n">
        <v>72</v>
      </c>
      <c r="G180" s="22" t="s">
        <v>51</v>
      </c>
      <c r="H180" s="22" t="n">
        <v>3.12</v>
      </c>
      <c r="I180" s="22" t="n">
        <v>31.2</v>
      </c>
      <c r="J180" s="22" t="n">
        <v>0.275</v>
      </c>
      <c r="K180" s="22" t="n">
        <v>6.98</v>
      </c>
      <c r="L180" s="43" t="n">
        <v>0.53</v>
      </c>
      <c r="M180" s="22" t="n">
        <v>13.5</v>
      </c>
      <c r="N180" s="22" t="n">
        <v>0.217</v>
      </c>
      <c r="O180" s="22" t="n">
        <v>5.52</v>
      </c>
      <c r="P180" s="22" t="n">
        <v>0.109</v>
      </c>
      <c r="Q180" s="22" t="n">
        <v>10.9</v>
      </c>
      <c r="R180" s="22" t="n">
        <v>0.34</v>
      </c>
      <c r="S180" s="22" t="n">
        <v>340</v>
      </c>
      <c r="T180" s="22" t="n">
        <v>0.383</v>
      </c>
      <c r="U180" s="22" t="n">
        <f aca="false">C180*1</f>
        <v>50</v>
      </c>
      <c r="V180" s="22" t="n">
        <f aca="false">VLOOKUP(U180,'Powder Core Toroid OD'!$A$2:$B$36,2,0)</f>
        <v>12.7</v>
      </c>
    </row>
    <row r="181" customFormat="false" ht="14.4" hidden="true" customHeight="false" outlineLevel="0" collapsed="false">
      <c r="A181" s="45" t="n">
        <v>55049</v>
      </c>
      <c r="B181" s="22" t="s">
        <v>248</v>
      </c>
      <c r="C181" s="23" t="s">
        <v>243</v>
      </c>
      <c r="D181" s="22" t="n">
        <v>147</v>
      </c>
      <c r="E181" s="22" t="s">
        <v>50</v>
      </c>
      <c r="F181" s="22" t="n">
        <v>67</v>
      </c>
      <c r="G181" s="22" t="s">
        <v>51</v>
      </c>
      <c r="H181" s="22" t="n">
        <v>3.12</v>
      </c>
      <c r="I181" s="22" t="n">
        <v>31.2</v>
      </c>
      <c r="J181" s="22" t="n">
        <v>0.275</v>
      </c>
      <c r="K181" s="22" t="n">
        <v>6.98</v>
      </c>
      <c r="L181" s="43" t="n">
        <v>0.53</v>
      </c>
      <c r="M181" s="22" t="n">
        <v>13.5</v>
      </c>
      <c r="N181" s="22" t="n">
        <v>0.217</v>
      </c>
      <c r="O181" s="22" t="n">
        <v>5.52</v>
      </c>
      <c r="P181" s="22" t="n">
        <v>0.109</v>
      </c>
      <c r="Q181" s="22" t="n">
        <v>10.9</v>
      </c>
      <c r="R181" s="22" t="n">
        <v>0.34</v>
      </c>
      <c r="S181" s="22" t="n">
        <v>340</v>
      </c>
      <c r="T181" s="22" t="n">
        <v>0.383</v>
      </c>
      <c r="U181" s="22" t="n">
        <f aca="false">C181*1</f>
        <v>50</v>
      </c>
      <c r="V181" s="22" t="n">
        <f aca="false">VLOOKUP(U181,'Powder Core Toroid OD'!$A$2:$B$36,2,0)</f>
        <v>12.7</v>
      </c>
    </row>
    <row r="182" customFormat="false" ht="14.4" hidden="true" customHeight="false" outlineLevel="0" collapsed="false">
      <c r="A182" s="45" t="n">
        <v>55050</v>
      </c>
      <c r="B182" s="22" t="s">
        <v>249</v>
      </c>
      <c r="C182" s="23" t="s">
        <v>243</v>
      </c>
      <c r="D182" s="22" t="n">
        <v>125</v>
      </c>
      <c r="E182" s="22" t="s">
        <v>50</v>
      </c>
      <c r="F182" s="22" t="n">
        <v>56</v>
      </c>
      <c r="G182" s="22" t="s">
        <v>51</v>
      </c>
      <c r="H182" s="22" t="n">
        <v>3.12</v>
      </c>
      <c r="I182" s="22" t="n">
        <v>31.2</v>
      </c>
      <c r="J182" s="22" t="n">
        <v>0.275</v>
      </c>
      <c r="K182" s="22" t="n">
        <v>6.98</v>
      </c>
      <c r="L182" s="43" t="n">
        <v>0.53</v>
      </c>
      <c r="M182" s="22" t="n">
        <v>13.5</v>
      </c>
      <c r="N182" s="22" t="n">
        <v>0.217</v>
      </c>
      <c r="O182" s="22" t="n">
        <v>5.52</v>
      </c>
      <c r="P182" s="22" t="n">
        <v>0.109</v>
      </c>
      <c r="Q182" s="22" t="n">
        <v>10.9</v>
      </c>
      <c r="R182" s="22" t="n">
        <v>0.34</v>
      </c>
      <c r="S182" s="22" t="n">
        <v>340</v>
      </c>
      <c r="T182" s="22" t="n">
        <v>0.383</v>
      </c>
      <c r="U182" s="22" t="n">
        <f aca="false">C182*1</f>
        <v>50</v>
      </c>
      <c r="V182" s="22" t="n">
        <f aca="false">VLOOKUP(U182,'Powder Core Toroid OD'!$A$2:$B$36,2,0)</f>
        <v>12.7</v>
      </c>
    </row>
    <row r="183" customFormat="false" ht="14.4" hidden="true" customHeight="false" outlineLevel="0" collapsed="false">
      <c r="A183" s="45" t="n">
        <v>55051</v>
      </c>
      <c r="B183" s="22" t="s">
        <v>250</v>
      </c>
      <c r="C183" s="23" t="s">
        <v>243</v>
      </c>
      <c r="D183" s="22" t="n">
        <v>60</v>
      </c>
      <c r="E183" s="22" t="s">
        <v>50</v>
      </c>
      <c r="F183" s="22" t="n">
        <v>27</v>
      </c>
      <c r="G183" s="22" t="s">
        <v>51</v>
      </c>
      <c r="H183" s="22" t="n">
        <v>3.12</v>
      </c>
      <c r="I183" s="22" t="n">
        <v>31.2</v>
      </c>
      <c r="J183" s="22" t="n">
        <v>0.275</v>
      </c>
      <c r="K183" s="22" t="n">
        <v>6.98</v>
      </c>
      <c r="L183" s="43" t="n">
        <v>0.53</v>
      </c>
      <c r="M183" s="22" t="n">
        <v>13.5</v>
      </c>
      <c r="N183" s="22" t="n">
        <v>0.217</v>
      </c>
      <c r="O183" s="22" t="n">
        <v>5.52</v>
      </c>
      <c r="P183" s="22" t="n">
        <v>0.109</v>
      </c>
      <c r="Q183" s="22" t="n">
        <v>10.9</v>
      </c>
      <c r="R183" s="22" t="n">
        <v>0.34</v>
      </c>
      <c r="S183" s="22" t="n">
        <v>340</v>
      </c>
      <c r="T183" s="22" t="n">
        <v>0.383</v>
      </c>
      <c r="U183" s="22" t="n">
        <f aca="false">C183*1</f>
        <v>50</v>
      </c>
      <c r="V183" s="22" t="n">
        <f aca="false">VLOOKUP(U183,'Powder Core Toroid OD'!$A$2:$B$36,2,0)</f>
        <v>12.7</v>
      </c>
    </row>
    <row r="184" customFormat="false" ht="14.4" hidden="true" customHeight="false" outlineLevel="0" collapsed="false">
      <c r="A184" s="45" t="n">
        <v>55052</v>
      </c>
      <c r="B184" s="22" t="s">
        <v>251</v>
      </c>
      <c r="C184" s="23" t="s">
        <v>243</v>
      </c>
      <c r="D184" s="22" t="n">
        <v>26</v>
      </c>
      <c r="E184" s="22" t="s">
        <v>50</v>
      </c>
      <c r="F184" s="22" t="n">
        <v>12</v>
      </c>
      <c r="G184" s="22" t="s">
        <v>51</v>
      </c>
      <c r="H184" s="22" t="n">
        <v>3.12</v>
      </c>
      <c r="I184" s="22" t="n">
        <v>31.2</v>
      </c>
      <c r="J184" s="22" t="n">
        <v>0.275</v>
      </c>
      <c r="K184" s="22" t="n">
        <v>6.98</v>
      </c>
      <c r="L184" s="43" t="n">
        <v>0.53</v>
      </c>
      <c r="M184" s="22" t="n">
        <v>13.5</v>
      </c>
      <c r="N184" s="22" t="n">
        <v>0.217</v>
      </c>
      <c r="O184" s="22" t="n">
        <v>5.52</v>
      </c>
      <c r="P184" s="22" t="n">
        <v>0.109</v>
      </c>
      <c r="Q184" s="22" t="n">
        <v>10.9</v>
      </c>
      <c r="R184" s="22" t="n">
        <v>0.34</v>
      </c>
      <c r="S184" s="22" t="n">
        <v>340</v>
      </c>
      <c r="T184" s="22" t="n">
        <v>0.383</v>
      </c>
      <c r="U184" s="22" t="n">
        <f aca="false">C184*1</f>
        <v>50</v>
      </c>
      <c r="V184" s="22" t="n">
        <f aca="false">VLOOKUP(U184,'Powder Core Toroid OD'!$A$2:$B$36,2,0)</f>
        <v>12.7</v>
      </c>
    </row>
    <row r="185" customFormat="false" ht="14.4" hidden="true" customHeight="false" outlineLevel="0" collapsed="false">
      <c r="A185" s="45" t="n">
        <v>55053</v>
      </c>
      <c r="B185" s="22" t="s">
        <v>252</v>
      </c>
      <c r="C185" s="23" t="s">
        <v>243</v>
      </c>
      <c r="D185" s="22" t="n">
        <v>14</v>
      </c>
      <c r="E185" s="22" t="s">
        <v>50</v>
      </c>
      <c r="F185" s="22" t="n">
        <v>6.4</v>
      </c>
      <c r="G185" s="22" t="s">
        <v>51</v>
      </c>
      <c r="H185" s="22" t="n">
        <v>3.12</v>
      </c>
      <c r="I185" s="22" t="n">
        <v>31.2</v>
      </c>
      <c r="J185" s="22" t="n">
        <v>0.275</v>
      </c>
      <c r="K185" s="22" t="n">
        <v>6.98</v>
      </c>
      <c r="L185" s="43" t="n">
        <v>0.53</v>
      </c>
      <c r="M185" s="22" t="n">
        <v>13.5</v>
      </c>
      <c r="N185" s="22" t="n">
        <v>0.217</v>
      </c>
      <c r="O185" s="22" t="n">
        <v>5.52</v>
      </c>
      <c r="P185" s="22" t="n">
        <v>0.109</v>
      </c>
      <c r="Q185" s="22" t="n">
        <v>10.9</v>
      </c>
      <c r="R185" s="22" t="n">
        <v>0.34</v>
      </c>
      <c r="S185" s="22" t="n">
        <v>340</v>
      </c>
      <c r="T185" s="22" t="n">
        <v>0.383</v>
      </c>
      <c r="U185" s="22" t="n">
        <f aca="false">C185*1</f>
        <v>50</v>
      </c>
      <c r="V185" s="22" t="n">
        <f aca="false">VLOOKUP(U185,'Powder Core Toroid OD'!$A$2:$B$36,2,0)</f>
        <v>12.7</v>
      </c>
    </row>
    <row r="186" customFormat="false" ht="14.4" hidden="true" customHeight="false" outlineLevel="0" collapsed="false">
      <c r="A186" s="45" t="n">
        <v>55059</v>
      </c>
      <c r="B186" s="22" t="s">
        <v>253</v>
      </c>
      <c r="C186" s="23" t="n">
        <v>310</v>
      </c>
      <c r="D186" s="22" t="n">
        <v>60</v>
      </c>
      <c r="E186" s="22" t="s">
        <v>50</v>
      </c>
      <c r="F186" s="22" t="n">
        <v>43</v>
      </c>
      <c r="G186" s="22" t="s">
        <v>51</v>
      </c>
      <c r="H186" s="22" t="n">
        <v>5.67</v>
      </c>
      <c r="I186" s="22" t="n">
        <v>56.7</v>
      </c>
      <c r="J186" s="22" t="n">
        <v>0.525</v>
      </c>
      <c r="K186" s="22" t="n">
        <v>13.3</v>
      </c>
      <c r="L186" s="43" t="n">
        <v>0.93</v>
      </c>
      <c r="M186" s="22" t="n">
        <v>23.7</v>
      </c>
      <c r="N186" s="43" t="n">
        <v>0.33</v>
      </c>
      <c r="O186" s="22" t="n">
        <v>8.39</v>
      </c>
      <c r="P186" s="22" t="n">
        <v>0.317</v>
      </c>
      <c r="Q186" s="22" t="n">
        <v>31.7</v>
      </c>
      <c r="R186" s="42" t="n">
        <v>1.8</v>
      </c>
      <c r="S186" s="22" t="n">
        <v>1800</v>
      </c>
      <c r="T186" s="22" t="n">
        <v>1.39</v>
      </c>
      <c r="U186" s="22" t="n">
        <f aca="false">C186*1</f>
        <v>310</v>
      </c>
      <c r="V186" s="22" t="n">
        <f aca="false">VLOOKUP(U186,'Powder Core Toroid OD'!$A$2:$B$36,2,0)</f>
        <v>22.9</v>
      </c>
    </row>
    <row r="187" customFormat="false" ht="14.4" hidden="true" customHeight="false" outlineLevel="0" collapsed="false">
      <c r="A187" s="45" t="n">
        <v>55071</v>
      </c>
      <c r="B187" s="22" t="s">
        <v>254</v>
      </c>
      <c r="C187" s="23" t="n">
        <v>548</v>
      </c>
      <c r="D187" s="22" t="n">
        <v>60</v>
      </c>
      <c r="E187" s="22" t="s">
        <v>50</v>
      </c>
      <c r="F187" s="22" t="n">
        <v>61</v>
      </c>
      <c r="G187" s="22" t="s">
        <v>51</v>
      </c>
      <c r="H187" s="22" t="n">
        <v>8.14</v>
      </c>
      <c r="I187" s="22" t="n">
        <v>81.4</v>
      </c>
      <c r="J187" s="22" t="n">
        <v>0.766</v>
      </c>
      <c r="K187" s="22" t="n">
        <v>19.4</v>
      </c>
      <c r="L187" s="22" t="n">
        <v>1.325</v>
      </c>
      <c r="M187" s="22" t="n">
        <v>33.66</v>
      </c>
      <c r="N187" s="43" t="n">
        <v>0.45</v>
      </c>
      <c r="O187" s="22" t="n">
        <v>11.5</v>
      </c>
      <c r="P187" s="22" t="n">
        <v>0.656</v>
      </c>
      <c r="Q187" s="22" t="n">
        <v>65.6</v>
      </c>
      <c r="R187" s="42" t="n">
        <v>5.34</v>
      </c>
      <c r="S187" s="22" t="n">
        <v>5340</v>
      </c>
      <c r="T187" s="22" t="n">
        <v>2.97</v>
      </c>
      <c r="U187" s="22" t="n">
        <f aca="false">C187*1</f>
        <v>548</v>
      </c>
      <c r="V187" s="22" t="n">
        <f aca="false">VLOOKUP(U187,'Powder Core Toroid OD'!$A$2:$B$36,2,0)</f>
        <v>32.8</v>
      </c>
    </row>
    <row r="188" customFormat="false" ht="14.4" hidden="true" customHeight="false" outlineLevel="0" collapsed="false">
      <c r="A188" s="45" t="n">
        <v>55076</v>
      </c>
      <c r="B188" s="22" t="s">
        <v>255</v>
      </c>
      <c r="C188" s="23" t="n">
        <v>324</v>
      </c>
      <c r="D188" s="22" t="n">
        <v>60</v>
      </c>
      <c r="E188" s="22" t="s">
        <v>50</v>
      </c>
      <c r="F188" s="22" t="n">
        <v>56</v>
      </c>
      <c r="G188" s="22" t="s">
        <v>51</v>
      </c>
      <c r="H188" s="22" t="n">
        <v>8.98</v>
      </c>
      <c r="I188" s="22" t="n">
        <v>89.8</v>
      </c>
      <c r="J188" s="22" t="n">
        <v>0.848</v>
      </c>
      <c r="K188" s="22" t="n">
        <v>21.5</v>
      </c>
      <c r="L188" s="22" t="n">
        <v>1.445</v>
      </c>
      <c r="M188" s="22" t="n">
        <v>36.71</v>
      </c>
      <c r="N188" s="22" t="n">
        <v>0.447</v>
      </c>
      <c r="O188" s="22" t="n">
        <v>11.4</v>
      </c>
      <c r="P188" s="22" t="n">
        <v>0.678</v>
      </c>
      <c r="Q188" s="22" t="n">
        <v>67.8</v>
      </c>
      <c r="R188" s="42" t="n">
        <v>6.09</v>
      </c>
      <c r="S188" s="22" t="n">
        <v>6090</v>
      </c>
      <c r="T188" s="22" t="n">
        <v>3.64</v>
      </c>
      <c r="U188" s="22" t="n">
        <f aca="false">C188*1</f>
        <v>324</v>
      </c>
      <c r="V188" s="22" t="n">
        <f aca="false">VLOOKUP(U188,'Powder Core Toroid OD'!$A$2:$B$36,2,0)</f>
        <v>35.8</v>
      </c>
    </row>
    <row r="189" customFormat="false" ht="14.4" hidden="true" customHeight="false" outlineLevel="0" collapsed="false">
      <c r="A189" s="45" t="n">
        <v>55083</v>
      </c>
      <c r="B189" s="22" t="s">
        <v>256</v>
      </c>
      <c r="C189" s="23" t="n">
        <v>254</v>
      </c>
      <c r="D189" s="22" t="n">
        <v>60</v>
      </c>
      <c r="E189" s="22" t="s">
        <v>50</v>
      </c>
      <c r="F189" s="22" t="n">
        <v>81</v>
      </c>
      <c r="G189" s="22" t="s">
        <v>51</v>
      </c>
      <c r="H189" s="22" t="n">
        <v>9.84</v>
      </c>
      <c r="I189" s="22" t="n">
        <v>98.4</v>
      </c>
      <c r="J189" s="22" t="n">
        <v>0.918</v>
      </c>
      <c r="K189" s="22" t="n">
        <v>23.3</v>
      </c>
      <c r="L189" s="22" t="n">
        <v>1.605</v>
      </c>
      <c r="M189" s="22" t="n">
        <v>40.77</v>
      </c>
      <c r="N189" s="22" t="n">
        <v>0.605</v>
      </c>
      <c r="O189" s="22" t="n">
        <v>15.4</v>
      </c>
      <c r="P189" s="22" t="n">
        <v>1.07</v>
      </c>
      <c r="Q189" s="22" t="n">
        <v>107</v>
      </c>
      <c r="R189" s="36" t="n">
        <v>10.6</v>
      </c>
      <c r="S189" s="22" t="n">
        <v>10600</v>
      </c>
      <c r="T189" s="22" t="n">
        <v>4.27</v>
      </c>
      <c r="U189" s="22" t="n">
        <f aca="false">C189*1</f>
        <v>254</v>
      </c>
      <c r="V189" s="22" t="n">
        <f aca="false">VLOOKUP(U189,'Powder Core Toroid OD'!$A$2:$B$36,2,0)</f>
        <v>39.9</v>
      </c>
    </row>
    <row r="190" customFormat="false" ht="14.4" hidden="true" customHeight="false" outlineLevel="0" collapsed="false">
      <c r="A190" s="45" t="n">
        <v>55084</v>
      </c>
      <c r="B190" s="22" t="s">
        <v>257</v>
      </c>
      <c r="C190" s="23" t="s">
        <v>258</v>
      </c>
      <c r="D190" s="22" t="n">
        <v>300</v>
      </c>
      <c r="E190" s="22" t="s">
        <v>50</v>
      </c>
      <c r="F190" s="22" t="n">
        <v>427</v>
      </c>
      <c r="G190" s="22" t="s">
        <v>51</v>
      </c>
      <c r="H190" s="22" t="n">
        <v>11.6</v>
      </c>
      <c r="I190" s="22" t="n">
        <v>116</v>
      </c>
      <c r="J190" s="22" t="n">
        <v>1.098</v>
      </c>
      <c r="K190" s="22" t="n">
        <v>27.88</v>
      </c>
      <c r="L190" s="22" t="n">
        <v>1.875</v>
      </c>
      <c r="M190" s="22" t="n">
        <v>47.63</v>
      </c>
      <c r="N190" s="22" t="n">
        <v>0.635</v>
      </c>
      <c r="O190" s="22" t="n">
        <v>16.1</v>
      </c>
      <c r="P190" s="22" t="n">
        <v>1.34</v>
      </c>
      <c r="Q190" s="22" t="n">
        <v>134</v>
      </c>
      <c r="R190" s="22" t="n">
        <v>15.6</v>
      </c>
      <c r="S190" s="22" t="n">
        <v>15600</v>
      </c>
      <c r="T190" s="22" t="n">
        <v>6.1</v>
      </c>
      <c r="U190" s="22" t="n">
        <f aca="false">C190*1</f>
        <v>89</v>
      </c>
      <c r="V190" s="22" t="n">
        <f aca="false">VLOOKUP(U190,'Powder Core Toroid OD'!$A$2:$B$36,2,0)</f>
        <v>46.7</v>
      </c>
    </row>
    <row r="191" customFormat="false" ht="14.4" hidden="true" customHeight="false" outlineLevel="0" collapsed="false">
      <c r="A191" s="45" t="n">
        <v>55086</v>
      </c>
      <c r="B191" s="22" t="s">
        <v>259</v>
      </c>
      <c r="C191" s="23" t="s">
        <v>258</v>
      </c>
      <c r="D191" s="22" t="n">
        <v>200</v>
      </c>
      <c r="E191" s="22" t="s">
        <v>50</v>
      </c>
      <c r="F191" s="22" t="n">
        <v>285</v>
      </c>
      <c r="G191" s="22" t="s">
        <v>51</v>
      </c>
      <c r="H191" s="22" t="n">
        <v>11.6</v>
      </c>
      <c r="I191" s="22" t="n">
        <v>116</v>
      </c>
      <c r="J191" s="22" t="n">
        <v>1.098</v>
      </c>
      <c r="K191" s="22" t="n">
        <v>27.88</v>
      </c>
      <c r="L191" s="22" t="n">
        <v>1.875</v>
      </c>
      <c r="M191" s="22" t="n">
        <v>47.63</v>
      </c>
      <c r="N191" s="22" t="n">
        <v>0.635</v>
      </c>
      <c r="O191" s="22" t="n">
        <v>16.1</v>
      </c>
      <c r="P191" s="22" t="n">
        <v>1.34</v>
      </c>
      <c r="Q191" s="22" t="n">
        <v>134</v>
      </c>
      <c r="R191" s="22" t="n">
        <v>15.6</v>
      </c>
      <c r="S191" s="22" t="n">
        <v>15600</v>
      </c>
      <c r="T191" s="22" t="n">
        <v>6.1</v>
      </c>
      <c r="U191" s="22" t="n">
        <f aca="false">C191*1</f>
        <v>89</v>
      </c>
      <c r="V191" s="22" t="n">
        <f aca="false">VLOOKUP(U191,'Powder Core Toroid OD'!$A$2:$B$36,2,0)</f>
        <v>46.7</v>
      </c>
    </row>
    <row r="192" customFormat="false" ht="14.4" hidden="true" customHeight="false" outlineLevel="0" collapsed="false">
      <c r="A192" s="45" t="n">
        <v>55087</v>
      </c>
      <c r="B192" s="22" t="s">
        <v>260</v>
      </c>
      <c r="C192" s="23" t="s">
        <v>258</v>
      </c>
      <c r="D192" s="22" t="n">
        <v>160</v>
      </c>
      <c r="E192" s="22" t="s">
        <v>50</v>
      </c>
      <c r="F192" s="22" t="n">
        <v>228</v>
      </c>
      <c r="G192" s="22" t="s">
        <v>51</v>
      </c>
      <c r="H192" s="22" t="n">
        <v>11.6</v>
      </c>
      <c r="I192" s="22" t="n">
        <v>116</v>
      </c>
      <c r="J192" s="22" t="n">
        <v>1.098</v>
      </c>
      <c r="K192" s="22" t="n">
        <v>27.88</v>
      </c>
      <c r="L192" s="22" t="n">
        <v>1.875</v>
      </c>
      <c r="M192" s="22" t="n">
        <v>47.63</v>
      </c>
      <c r="N192" s="22" t="n">
        <v>0.635</v>
      </c>
      <c r="O192" s="22" t="n">
        <v>16.1</v>
      </c>
      <c r="P192" s="22" t="n">
        <v>1.34</v>
      </c>
      <c r="Q192" s="22" t="n">
        <v>134</v>
      </c>
      <c r="R192" s="22" t="n">
        <v>15.6</v>
      </c>
      <c r="S192" s="22" t="n">
        <v>15600</v>
      </c>
      <c r="T192" s="22" t="n">
        <v>6.1</v>
      </c>
      <c r="U192" s="22" t="n">
        <f aca="false">C192*1</f>
        <v>89</v>
      </c>
      <c r="V192" s="22" t="n">
        <f aca="false">VLOOKUP(U192,'Powder Core Toroid OD'!$A$2:$B$36,2,0)</f>
        <v>46.7</v>
      </c>
    </row>
    <row r="193" customFormat="false" ht="14.4" hidden="true" customHeight="false" outlineLevel="0" collapsed="false">
      <c r="A193" s="45" t="n">
        <v>55088</v>
      </c>
      <c r="B193" s="22" t="s">
        <v>261</v>
      </c>
      <c r="C193" s="23" t="s">
        <v>258</v>
      </c>
      <c r="D193" s="22" t="n">
        <v>147</v>
      </c>
      <c r="E193" s="22" t="s">
        <v>50</v>
      </c>
      <c r="F193" s="22" t="n">
        <v>210</v>
      </c>
      <c r="G193" s="22" t="s">
        <v>51</v>
      </c>
      <c r="H193" s="22" t="n">
        <v>11.6</v>
      </c>
      <c r="I193" s="22" t="n">
        <v>116</v>
      </c>
      <c r="J193" s="22" t="n">
        <v>1.098</v>
      </c>
      <c r="K193" s="22" t="n">
        <v>27.88</v>
      </c>
      <c r="L193" s="22" t="n">
        <v>1.875</v>
      </c>
      <c r="M193" s="22" t="n">
        <v>47.63</v>
      </c>
      <c r="N193" s="22" t="n">
        <v>0.635</v>
      </c>
      <c r="O193" s="22" t="n">
        <v>16.1</v>
      </c>
      <c r="P193" s="22" t="n">
        <v>1.34</v>
      </c>
      <c r="Q193" s="22" t="n">
        <v>134</v>
      </c>
      <c r="R193" s="22" t="n">
        <v>15.6</v>
      </c>
      <c r="S193" s="22" t="n">
        <v>15600</v>
      </c>
      <c r="T193" s="22" t="n">
        <v>6.1</v>
      </c>
      <c r="U193" s="22" t="n">
        <f aca="false">C193*1</f>
        <v>89</v>
      </c>
      <c r="V193" s="22" t="n">
        <f aca="false">VLOOKUP(U193,'Powder Core Toroid OD'!$A$2:$B$36,2,0)</f>
        <v>46.7</v>
      </c>
    </row>
    <row r="194" customFormat="false" ht="14.4" hidden="true" customHeight="false" outlineLevel="0" collapsed="false">
      <c r="A194" s="45" t="n">
        <v>55089</v>
      </c>
      <c r="B194" s="22" t="s">
        <v>262</v>
      </c>
      <c r="C194" s="23" t="s">
        <v>258</v>
      </c>
      <c r="D194" s="22" t="n">
        <v>125</v>
      </c>
      <c r="E194" s="22" t="s">
        <v>50</v>
      </c>
      <c r="F194" s="22" t="n">
        <v>178</v>
      </c>
      <c r="G194" s="22" t="s">
        <v>51</v>
      </c>
      <c r="H194" s="22" t="n">
        <v>11.6</v>
      </c>
      <c r="I194" s="22" t="n">
        <v>116</v>
      </c>
      <c r="J194" s="22" t="n">
        <v>1.098</v>
      </c>
      <c r="K194" s="22" t="n">
        <v>27.88</v>
      </c>
      <c r="L194" s="22" t="n">
        <v>1.875</v>
      </c>
      <c r="M194" s="22" t="n">
        <v>47.63</v>
      </c>
      <c r="N194" s="22" t="n">
        <v>0.635</v>
      </c>
      <c r="O194" s="22" t="n">
        <v>16.1</v>
      </c>
      <c r="P194" s="22" t="n">
        <v>1.34</v>
      </c>
      <c r="Q194" s="22" t="n">
        <v>134</v>
      </c>
      <c r="R194" s="22" t="n">
        <v>15.6</v>
      </c>
      <c r="S194" s="22" t="n">
        <v>15600</v>
      </c>
      <c r="T194" s="22" t="n">
        <v>6.1</v>
      </c>
      <c r="U194" s="22" t="n">
        <f aca="false">C194*1</f>
        <v>89</v>
      </c>
      <c r="V194" s="22" t="n">
        <f aca="false">VLOOKUP(U194,'Powder Core Toroid OD'!$A$2:$B$36,2,0)</f>
        <v>46.7</v>
      </c>
    </row>
    <row r="195" customFormat="false" ht="14.4" hidden="true" customHeight="false" outlineLevel="0" collapsed="false">
      <c r="A195" s="45" t="n">
        <v>55090</v>
      </c>
      <c r="B195" s="22" t="s">
        <v>263</v>
      </c>
      <c r="C195" s="23" t="s">
        <v>258</v>
      </c>
      <c r="D195" s="22" t="n">
        <v>60</v>
      </c>
      <c r="E195" s="22" t="s">
        <v>50</v>
      </c>
      <c r="F195" s="22" t="n">
        <v>86</v>
      </c>
      <c r="G195" s="22" t="s">
        <v>51</v>
      </c>
      <c r="H195" s="22" t="n">
        <v>11.6</v>
      </c>
      <c r="I195" s="22" t="n">
        <v>116</v>
      </c>
      <c r="J195" s="22" t="n">
        <v>1.098</v>
      </c>
      <c r="K195" s="22" t="n">
        <v>27.88</v>
      </c>
      <c r="L195" s="22" t="n">
        <v>1.875</v>
      </c>
      <c r="M195" s="22" t="n">
        <v>47.63</v>
      </c>
      <c r="N195" s="22" t="n">
        <v>0.635</v>
      </c>
      <c r="O195" s="22" t="n">
        <v>16.1</v>
      </c>
      <c r="P195" s="22" t="n">
        <v>1.34</v>
      </c>
      <c r="Q195" s="22" t="n">
        <v>134</v>
      </c>
      <c r="R195" s="22" t="n">
        <v>15.6</v>
      </c>
      <c r="S195" s="22" t="n">
        <v>15600</v>
      </c>
      <c r="T195" s="22" t="n">
        <v>6.1</v>
      </c>
      <c r="U195" s="22" t="n">
        <f aca="false">C195*1</f>
        <v>89</v>
      </c>
      <c r="V195" s="22" t="n">
        <f aca="false">VLOOKUP(U195,'Powder Core Toroid OD'!$A$2:$B$36,2,0)</f>
        <v>46.7</v>
      </c>
    </row>
    <row r="196" customFormat="false" ht="14.4" hidden="true" customHeight="false" outlineLevel="0" collapsed="false">
      <c r="A196" s="45" t="n">
        <v>55091</v>
      </c>
      <c r="B196" s="22" t="s">
        <v>264</v>
      </c>
      <c r="C196" s="23" t="s">
        <v>258</v>
      </c>
      <c r="D196" s="22" t="n">
        <v>26</v>
      </c>
      <c r="E196" s="22" t="s">
        <v>50</v>
      </c>
      <c r="F196" s="22" t="n">
        <v>37</v>
      </c>
      <c r="G196" s="22" t="s">
        <v>51</v>
      </c>
      <c r="H196" s="22" t="n">
        <v>11.6</v>
      </c>
      <c r="I196" s="22" t="n">
        <v>116</v>
      </c>
      <c r="J196" s="22" t="n">
        <v>1.098</v>
      </c>
      <c r="K196" s="22" t="n">
        <v>27.88</v>
      </c>
      <c r="L196" s="22" t="n">
        <v>1.875</v>
      </c>
      <c r="M196" s="22" t="n">
        <v>47.63</v>
      </c>
      <c r="N196" s="22" t="n">
        <v>0.635</v>
      </c>
      <c r="O196" s="22" t="n">
        <v>16.1</v>
      </c>
      <c r="P196" s="22" t="n">
        <v>1.34</v>
      </c>
      <c r="Q196" s="22" t="n">
        <v>134</v>
      </c>
      <c r="R196" s="22" t="n">
        <v>15.6</v>
      </c>
      <c r="S196" s="22" t="n">
        <v>15600</v>
      </c>
      <c r="T196" s="22" t="n">
        <v>6.1</v>
      </c>
      <c r="U196" s="22" t="n">
        <f aca="false">C196*1</f>
        <v>89</v>
      </c>
      <c r="V196" s="22" t="n">
        <f aca="false">VLOOKUP(U196,'Powder Core Toroid OD'!$A$2:$B$36,2,0)</f>
        <v>46.7</v>
      </c>
    </row>
    <row r="197" customFormat="false" ht="14.4" hidden="true" customHeight="false" outlineLevel="0" collapsed="false">
      <c r="A197" s="45" t="n">
        <v>55092</v>
      </c>
      <c r="B197" s="22" t="s">
        <v>265</v>
      </c>
      <c r="C197" s="23" t="s">
        <v>258</v>
      </c>
      <c r="D197" s="22" t="n">
        <v>14</v>
      </c>
      <c r="E197" s="22" t="s">
        <v>50</v>
      </c>
      <c r="F197" s="22" t="n">
        <v>20</v>
      </c>
      <c r="G197" s="22" t="s">
        <v>51</v>
      </c>
      <c r="H197" s="22" t="n">
        <v>11.6</v>
      </c>
      <c r="I197" s="22" t="n">
        <v>116</v>
      </c>
      <c r="J197" s="22" t="n">
        <v>1.098</v>
      </c>
      <c r="K197" s="22" t="n">
        <v>27.88</v>
      </c>
      <c r="L197" s="22" t="n">
        <v>1.875</v>
      </c>
      <c r="M197" s="22" t="n">
        <v>47.63</v>
      </c>
      <c r="N197" s="22" t="n">
        <v>0.635</v>
      </c>
      <c r="O197" s="22" t="n">
        <v>16.1</v>
      </c>
      <c r="P197" s="22" t="n">
        <v>1.34</v>
      </c>
      <c r="Q197" s="22" t="n">
        <v>134</v>
      </c>
      <c r="R197" s="22" t="n">
        <v>15.6</v>
      </c>
      <c r="S197" s="22" t="n">
        <v>15600</v>
      </c>
      <c r="T197" s="22" t="n">
        <v>6.1</v>
      </c>
      <c r="U197" s="22" t="n">
        <f aca="false">C197*1</f>
        <v>89</v>
      </c>
      <c r="V197" s="22" t="n">
        <f aca="false">VLOOKUP(U197,'Powder Core Toroid OD'!$A$2:$B$36,2,0)</f>
        <v>46.7</v>
      </c>
    </row>
    <row r="198" customFormat="false" ht="14.4" hidden="true" customHeight="false" outlineLevel="0" collapsed="false">
      <c r="A198" s="45" t="n">
        <v>55103</v>
      </c>
      <c r="B198" s="22" t="s">
        <v>266</v>
      </c>
      <c r="C198" s="23" t="n">
        <v>109</v>
      </c>
      <c r="D198" s="22" t="n">
        <v>173</v>
      </c>
      <c r="E198" s="22" t="s">
        <v>50</v>
      </c>
      <c r="F198" s="22" t="n">
        <v>218</v>
      </c>
      <c r="G198" s="22" t="s">
        <v>51</v>
      </c>
      <c r="H198" s="22" t="n">
        <v>14.3</v>
      </c>
      <c r="I198" s="22" t="n">
        <v>143</v>
      </c>
      <c r="J198" s="22" t="n">
        <v>1.368</v>
      </c>
      <c r="K198" s="22" t="n">
        <v>34.74</v>
      </c>
      <c r="L198" s="22" t="n">
        <v>2.285</v>
      </c>
      <c r="M198" s="22" t="n">
        <v>58.04</v>
      </c>
      <c r="N198" s="22" t="n">
        <v>0.585</v>
      </c>
      <c r="O198" s="22" t="n">
        <v>14.9</v>
      </c>
      <c r="P198" s="22" t="n">
        <v>1.44</v>
      </c>
      <c r="Q198" s="22" t="n">
        <v>144</v>
      </c>
      <c r="R198" s="22" t="n">
        <v>20.7</v>
      </c>
      <c r="S198" s="22" t="n">
        <v>20700</v>
      </c>
      <c r="T198" s="22" t="n">
        <v>9.48</v>
      </c>
      <c r="U198" s="22" t="n">
        <f aca="false">C198*1</f>
        <v>109</v>
      </c>
      <c r="V198" s="22" t="n">
        <f aca="false">VLOOKUP(U198,'Powder Core Toroid OD'!$A$2:$B$36,2,0)</f>
        <v>57.2</v>
      </c>
    </row>
    <row r="199" customFormat="false" ht="14.4" hidden="true" customHeight="false" outlineLevel="0" collapsed="false">
      <c r="A199" s="45" t="n">
        <v>55104</v>
      </c>
      <c r="B199" s="22" t="s">
        <v>267</v>
      </c>
      <c r="C199" s="23" t="n">
        <v>109</v>
      </c>
      <c r="D199" s="22" t="n">
        <v>300</v>
      </c>
      <c r="E199" s="22" t="s">
        <v>50</v>
      </c>
      <c r="F199" s="22" t="n">
        <v>374</v>
      </c>
      <c r="G199" s="22" t="s">
        <v>51</v>
      </c>
      <c r="H199" s="22" t="n">
        <v>14.3</v>
      </c>
      <c r="I199" s="22" t="n">
        <v>143</v>
      </c>
      <c r="J199" s="22" t="n">
        <v>1.368</v>
      </c>
      <c r="K199" s="22" t="n">
        <v>34.74</v>
      </c>
      <c r="L199" s="22" t="n">
        <v>2.285</v>
      </c>
      <c r="M199" s="22" t="n">
        <v>58.04</v>
      </c>
      <c r="N199" s="22" t="n">
        <v>0.585</v>
      </c>
      <c r="O199" s="22" t="n">
        <v>14.9</v>
      </c>
      <c r="P199" s="22" t="n">
        <v>1.44</v>
      </c>
      <c r="Q199" s="22" t="n">
        <v>144</v>
      </c>
      <c r="R199" s="22" t="n">
        <v>20.7</v>
      </c>
      <c r="S199" s="22" t="n">
        <v>20700</v>
      </c>
      <c r="T199" s="22" t="n">
        <v>9.48</v>
      </c>
      <c r="U199" s="22" t="n">
        <f aca="false">C199*1</f>
        <v>109</v>
      </c>
      <c r="V199" s="22" t="n">
        <f aca="false">VLOOKUP(U199,'Powder Core Toroid OD'!$A$2:$B$36,2,0)</f>
        <v>57.2</v>
      </c>
    </row>
    <row r="200" customFormat="false" ht="14.4" hidden="true" customHeight="false" outlineLevel="0" collapsed="false">
      <c r="A200" s="45" t="n">
        <v>55106</v>
      </c>
      <c r="B200" s="22" t="s">
        <v>268</v>
      </c>
      <c r="C200" s="23" t="n">
        <v>109</v>
      </c>
      <c r="D200" s="22" t="n">
        <v>200</v>
      </c>
      <c r="E200" s="22" t="s">
        <v>50</v>
      </c>
      <c r="F200" s="22" t="n">
        <v>250</v>
      </c>
      <c r="G200" s="22" t="s">
        <v>51</v>
      </c>
      <c r="H200" s="22" t="n">
        <v>14.3</v>
      </c>
      <c r="I200" s="22" t="n">
        <v>143</v>
      </c>
      <c r="J200" s="22" t="n">
        <v>1.368</v>
      </c>
      <c r="K200" s="22" t="n">
        <v>34.74</v>
      </c>
      <c r="L200" s="22" t="n">
        <v>2.285</v>
      </c>
      <c r="M200" s="22" t="n">
        <v>58.04</v>
      </c>
      <c r="N200" s="22" t="n">
        <v>0.585</v>
      </c>
      <c r="O200" s="22" t="n">
        <v>14.9</v>
      </c>
      <c r="P200" s="22" t="n">
        <v>1.44</v>
      </c>
      <c r="Q200" s="22" t="n">
        <v>144</v>
      </c>
      <c r="R200" s="22" t="n">
        <v>20.7</v>
      </c>
      <c r="S200" s="22" t="n">
        <v>20700</v>
      </c>
      <c r="T200" s="22" t="n">
        <v>9.48</v>
      </c>
      <c r="U200" s="22" t="n">
        <f aca="false">C200*1</f>
        <v>109</v>
      </c>
      <c r="V200" s="22" t="n">
        <f aca="false">VLOOKUP(U200,'Powder Core Toroid OD'!$A$2:$B$36,2,0)</f>
        <v>57.2</v>
      </c>
    </row>
    <row r="201" customFormat="false" ht="14.4" hidden="true" customHeight="false" outlineLevel="0" collapsed="false">
      <c r="A201" s="45" t="n">
        <v>55107</v>
      </c>
      <c r="B201" s="22" t="s">
        <v>269</v>
      </c>
      <c r="C201" s="23" t="n">
        <v>109</v>
      </c>
      <c r="D201" s="22" t="n">
        <v>160</v>
      </c>
      <c r="E201" s="22" t="s">
        <v>50</v>
      </c>
      <c r="F201" s="22" t="n">
        <v>200</v>
      </c>
      <c r="G201" s="22" t="s">
        <v>51</v>
      </c>
      <c r="H201" s="22" t="n">
        <v>14.3</v>
      </c>
      <c r="I201" s="22" t="n">
        <v>143</v>
      </c>
      <c r="J201" s="22" t="n">
        <v>1.368</v>
      </c>
      <c r="K201" s="22" t="n">
        <v>34.74</v>
      </c>
      <c r="L201" s="22" t="n">
        <v>2.285</v>
      </c>
      <c r="M201" s="22" t="n">
        <v>58.04</v>
      </c>
      <c r="N201" s="22" t="n">
        <v>0.585</v>
      </c>
      <c r="O201" s="22" t="n">
        <v>14.9</v>
      </c>
      <c r="P201" s="22" t="n">
        <v>1.44</v>
      </c>
      <c r="Q201" s="22" t="n">
        <v>144</v>
      </c>
      <c r="R201" s="22" t="n">
        <v>20.7</v>
      </c>
      <c r="S201" s="22" t="n">
        <v>20700</v>
      </c>
      <c r="T201" s="22" t="n">
        <v>9.48</v>
      </c>
      <c r="U201" s="22" t="n">
        <f aca="false">C201*1</f>
        <v>109</v>
      </c>
      <c r="V201" s="22" t="n">
        <f aca="false">VLOOKUP(U201,'Powder Core Toroid OD'!$A$2:$B$36,2,0)</f>
        <v>57.2</v>
      </c>
    </row>
    <row r="202" customFormat="false" ht="14.4" hidden="true" customHeight="false" outlineLevel="0" collapsed="false">
      <c r="A202" s="45" t="n">
        <v>55108</v>
      </c>
      <c r="B202" s="22" t="s">
        <v>270</v>
      </c>
      <c r="C202" s="23" t="n">
        <v>109</v>
      </c>
      <c r="D202" s="22" t="n">
        <v>147</v>
      </c>
      <c r="E202" s="22" t="s">
        <v>50</v>
      </c>
      <c r="F202" s="22" t="n">
        <v>185</v>
      </c>
      <c r="G202" s="22" t="s">
        <v>51</v>
      </c>
      <c r="H202" s="22" t="n">
        <v>14.3</v>
      </c>
      <c r="I202" s="22" t="n">
        <v>143</v>
      </c>
      <c r="J202" s="22" t="n">
        <v>1.368</v>
      </c>
      <c r="K202" s="22" t="n">
        <v>34.74</v>
      </c>
      <c r="L202" s="22" t="n">
        <v>2.285</v>
      </c>
      <c r="M202" s="22" t="n">
        <v>58.04</v>
      </c>
      <c r="N202" s="22" t="n">
        <v>0.585</v>
      </c>
      <c r="O202" s="22" t="n">
        <v>14.9</v>
      </c>
      <c r="P202" s="22" t="n">
        <v>1.44</v>
      </c>
      <c r="Q202" s="22" t="n">
        <v>144</v>
      </c>
      <c r="R202" s="22" t="n">
        <v>20.7</v>
      </c>
      <c r="S202" s="22" t="n">
        <v>20700</v>
      </c>
      <c r="T202" s="22" t="n">
        <v>9.48</v>
      </c>
      <c r="U202" s="22" t="n">
        <f aca="false">C202*1</f>
        <v>109</v>
      </c>
      <c r="V202" s="22" t="n">
        <f aca="false">VLOOKUP(U202,'Powder Core Toroid OD'!$A$2:$B$36,2,0)</f>
        <v>57.2</v>
      </c>
    </row>
    <row r="203" customFormat="false" ht="14.4" hidden="true" customHeight="false" outlineLevel="0" collapsed="false">
      <c r="A203" s="45" t="n">
        <v>55109</v>
      </c>
      <c r="B203" s="22" t="s">
        <v>271</v>
      </c>
      <c r="C203" s="23" t="n">
        <v>109</v>
      </c>
      <c r="D203" s="22" t="n">
        <v>125</v>
      </c>
      <c r="E203" s="22" t="s">
        <v>50</v>
      </c>
      <c r="F203" s="22" t="n">
        <v>156</v>
      </c>
      <c r="G203" s="22" t="s">
        <v>51</v>
      </c>
      <c r="H203" s="22" t="n">
        <v>14.3</v>
      </c>
      <c r="I203" s="22" t="n">
        <v>143</v>
      </c>
      <c r="J203" s="22" t="n">
        <v>1.368</v>
      </c>
      <c r="K203" s="22" t="n">
        <v>34.74</v>
      </c>
      <c r="L203" s="22" t="n">
        <v>2.285</v>
      </c>
      <c r="M203" s="22" t="n">
        <v>58.04</v>
      </c>
      <c r="N203" s="22" t="n">
        <v>0.585</v>
      </c>
      <c r="O203" s="22" t="n">
        <v>14.9</v>
      </c>
      <c r="P203" s="22" t="n">
        <v>1.44</v>
      </c>
      <c r="Q203" s="22" t="n">
        <v>144</v>
      </c>
      <c r="R203" s="22" t="n">
        <v>20.7</v>
      </c>
      <c r="S203" s="22" t="n">
        <v>20700</v>
      </c>
      <c r="T203" s="22" t="n">
        <v>9.48</v>
      </c>
      <c r="U203" s="22" t="n">
        <f aca="false">C203*1</f>
        <v>109</v>
      </c>
      <c r="V203" s="22" t="n">
        <f aca="false">VLOOKUP(U203,'Powder Core Toroid OD'!$A$2:$B$36,2,0)</f>
        <v>57.2</v>
      </c>
    </row>
    <row r="204" customFormat="false" ht="14.4" hidden="true" customHeight="false" outlineLevel="0" collapsed="false">
      <c r="A204" s="45" t="n">
        <v>55110</v>
      </c>
      <c r="B204" s="22" t="s">
        <v>272</v>
      </c>
      <c r="C204" s="23" t="n">
        <v>109</v>
      </c>
      <c r="D204" s="22" t="n">
        <v>60</v>
      </c>
      <c r="E204" s="22" t="s">
        <v>50</v>
      </c>
      <c r="F204" s="22" t="n">
        <v>75</v>
      </c>
      <c r="G204" s="22" t="s">
        <v>51</v>
      </c>
      <c r="H204" s="22" t="n">
        <v>14.3</v>
      </c>
      <c r="I204" s="22" t="n">
        <v>143</v>
      </c>
      <c r="J204" s="22" t="n">
        <v>1.368</v>
      </c>
      <c r="K204" s="22" t="n">
        <v>34.74</v>
      </c>
      <c r="L204" s="22" t="n">
        <v>2.285</v>
      </c>
      <c r="M204" s="22" t="n">
        <v>58.04</v>
      </c>
      <c r="N204" s="22" t="n">
        <v>0.585</v>
      </c>
      <c r="O204" s="22" t="n">
        <v>14.9</v>
      </c>
      <c r="P204" s="22" t="n">
        <v>1.44</v>
      </c>
      <c r="Q204" s="22" t="n">
        <v>144</v>
      </c>
      <c r="R204" s="22" t="n">
        <v>20.7</v>
      </c>
      <c r="S204" s="22" t="n">
        <v>20700</v>
      </c>
      <c r="T204" s="22" t="n">
        <v>9.48</v>
      </c>
      <c r="U204" s="22" t="n">
        <f aca="false">C204*1</f>
        <v>109</v>
      </c>
      <c r="V204" s="22" t="n">
        <f aca="false">VLOOKUP(U204,'Powder Core Toroid OD'!$A$2:$B$36,2,0)</f>
        <v>57.2</v>
      </c>
    </row>
    <row r="205" customFormat="false" ht="14.4" hidden="true" customHeight="false" outlineLevel="0" collapsed="false">
      <c r="A205" s="45" t="n">
        <v>55111</v>
      </c>
      <c r="B205" s="22" t="s">
        <v>273</v>
      </c>
      <c r="C205" s="23" t="n">
        <v>109</v>
      </c>
      <c r="D205" s="22" t="n">
        <v>26</v>
      </c>
      <c r="E205" s="22" t="s">
        <v>50</v>
      </c>
      <c r="F205" s="22" t="n">
        <v>33</v>
      </c>
      <c r="G205" s="22" t="s">
        <v>51</v>
      </c>
      <c r="H205" s="22" t="n">
        <v>14.3</v>
      </c>
      <c r="I205" s="22" t="n">
        <v>143</v>
      </c>
      <c r="J205" s="22" t="n">
        <v>1.368</v>
      </c>
      <c r="K205" s="22" t="n">
        <v>34.74</v>
      </c>
      <c r="L205" s="22" t="n">
        <v>2.285</v>
      </c>
      <c r="M205" s="22" t="n">
        <v>58.04</v>
      </c>
      <c r="N205" s="22" t="n">
        <v>0.585</v>
      </c>
      <c r="O205" s="22" t="n">
        <v>14.9</v>
      </c>
      <c r="P205" s="22" t="n">
        <v>1.44</v>
      </c>
      <c r="Q205" s="22" t="n">
        <v>144</v>
      </c>
      <c r="R205" s="22" t="n">
        <v>20.7</v>
      </c>
      <c r="S205" s="22" t="n">
        <v>20700</v>
      </c>
      <c r="T205" s="22" t="n">
        <v>9.48</v>
      </c>
      <c r="U205" s="22" t="n">
        <f aca="false">C205*1</f>
        <v>109</v>
      </c>
      <c r="V205" s="22" t="n">
        <f aca="false">VLOOKUP(U205,'Powder Core Toroid OD'!$A$2:$B$36,2,0)</f>
        <v>57.2</v>
      </c>
    </row>
    <row r="206" customFormat="false" ht="14.4" hidden="true" customHeight="false" outlineLevel="0" collapsed="false">
      <c r="A206" s="45" t="n">
        <v>55112</v>
      </c>
      <c r="B206" s="22" t="s">
        <v>274</v>
      </c>
      <c r="C206" s="23" t="n">
        <v>109</v>
      </c>
      <c r="D206" s="22" t="n">
        <v>14</v>
      </c>
      <c r="E206" s="22" t="s">
        <v>50</v>
      </c>
      <c r="F206" s="22" t="n">
        <v>18</v>
      </c>
      <c r="G206" s="22" t="s">
        <v>51</v>
      </c>
      <c r="H206" s="22" t="n">
        <v>14.3</v>
      </c>
      <c r="I206" s="22" t="n">
        <v>143</v>
      </c>
      <c r="J206" s="22" t="n">
        <v>1.368</v>
      </c>
      <c r="K206" s="22" t="n">
        <v>34.74</v>
      </c>
      <c r="L206" s="22" t="n">
        <v>2.285</v>
      </c>
      <c r="M206" s="22" t="n">
        <v>58.04</v>
      </c>
      <c r="N206" s="22" t="n">
        <v>0.585</v>
      </c>
      <c r="O206" s="22" t="n">
        <v>14.9</v>
      </c>
      <c r="P206" s="22" t="n">
        <v>1.44</v>
      </c>
      <c r="Q206" s="22" t="n">
        <v>144</v>
      </c>
      <c r="R206" s="22" t="n">
        <v>20.7</v>
      </c>
      <c r="S206" s="22" t="n">
        <v>20700</v>
      </c>
      <c r="T206" s="22" t="n">
        <v>9.48</v>
      </c>
      <c r="U206" s="22" t="n">
        <f aca="false">C206*1</f>
        <v>109</v>
      </c>
      <c r="V206" s="22" t="n">
        <f aca="false">VLOOKUP(U206,'Powder Core Toroid OD'!$A$2:$B$36,2,0)</f>
        <v>57.2</v>
      </c>
    </row>
    <row r="207" customFormat="false" ht="14.4" hidden="true" customHeight="false" outlineLevel="0" collapsed="false">
      <c r="A207" s="45" t="n">
        <v>55114</v>
      </c>
      <c r="B207" s="22" t="s">
        <v>275</v>
      </c>
      <c r="C207" s="23" t="n">
        <v>120</v>
      </c>
      <c r="D207" s="22" t="n">
        <v>173</v>
      </c>
      <c r="E207" s="22" t="s">
        <v>50</v>
      </c>
      <c r="F207" s="22" t="n">
        <v>104</v>
      </c>
      <c r="G207" s="22" t="s">
        <v>51</v>
      </c>
      <c r="H207" s="22" t="n">
        <v>4.12</v>
      </c>
      <c r="I207" s="22" t="n">
        <v>41.2</v>
      </c>
      <c r="J207" s="22" t="n">
        <v>0.375</v>
      </c>
      <c r="K207" s="22" t="n">
        <v>9.52</v>
      </c>
      <c r="L207" s="43" t="n">
        <v>0.68</v>
      </c>
      <c r="M207" s="22" t="n">
        <v>17.3</v>
      </c>
      <c r="N207" s="43" t="n">
        <v>0.28</v>
      </c>
      <c r="O207" s="22" t="n">
        <v>7.12</v>
      </c>
      <c r="P207" s="22" t="n">
        <v>0.192</v>
      </c>
      <c r="Q207" s="22" t="n">
        <v>19.2</v>
      </c>
      <c r="R207" s="22" t="n">
        <v>0.791</v>
      </c>
      <c r="S207" s="22" t="n">
        <v>791</v>
      </c>
      <c r="T207" s="22" t="n">
        <v>0.712</v>
      </c>
      <c r="U207" s="22" t="n">
        <f aca="false">C207*1</f>
        <v>120</v>
      </c>
      <c r="V207" s="22" t="n">
        <f aca="false">VLOOKUP(U207,'Powder Core Toroid OD'!$A$2:$B$36,2,0)</f>
        <v>16.6</v>
      </c>
    </row>
    <row r="208" customFormat="false" ht="14.4" hidden="true" customHeight="false" outlineLevel="0" collapsed="false">
      <c r="A208" s="45" t="n">
        <v>55115</v>
      </c>
      <c r="B208" s="22" t="s">
        <v>276</v>
      </c>
      <c r="C208" s="23" t="n">
        <v>120</v>
      </c>
      <c r="D208" s="22" t="n">
        <v>300</v>
      </c>
      <c r="E208" s="22" t="s">
        <v>50</v>
      </c>
      <c r="F208" s="22" t="n">
        <v>173</v>
      </c>
      <c r="G208" s="22" t="s">
        <v>51</v>
      </c>
      <c r="H208" s="22" t="n">
        <v>4.12</v>
      </c>
      <c r="I208" s="22" t="n">
        <v>41.2</v>
      </c>
      <c r="J208" s="22" t="n">
        <v>0.375</v>
      </c>
      <c r="K208" s="22" t="n">
        <v>9.52</v>
      </c>
      <c r="L208" s="43" t="n">
        <v>0.68</v>
      </c>
      <c r="M208" s="22" t="n">
        <v>17.3</v>
      </c>
      <c r="N208" s="43" t="n">
        <v>0.28</v>
      </c>
      <c r="O208" s="22" t="n">
        <v>7.12</v>
      </c>
      <c r="P208" s="22" t="n">
        <v>0.192</v>
      </c>
      <c r="Q208" s="22" t="n">
        <v>19.2</v>
      </c>
      <c r="R208" s="22" t="n">
        <v>0.791</v>
      </c>
      <c r="S208" s="22" t="n">
        <v>791</v>
      </c>
      <c r="T208" s="22" t="n">
        <v>0.712</v>
      </c>
      <c r="U208" s="22" t="n">
        <f aca="false">C208*1</f>
        <v>120</v>
      </c>
      <c r="V208" s="22" t="n">
        <f aca="false">VLOOKUP(U208,'Powder Core Toroid OD'!$A$2:$B$36,2,0)</f>
        <v>16.6</v>
      </c>
    </row>
    <row r="209" customFormat="false" ht="14.4" hidden="true" customHeight="false" outlineLevel="0" collapsed="false">
      <c r="A209" s="45" t="n">
        <v>55116</v>
      </c>
      <c r="B209" s="22" t="s">
        <v>277</v>
      </c>
      <c r="C209" s="23" t="n">
        <v>120</v>
      </c>
      <c r="D209" s="22" t="n">
        <v>550</v>
      </c>
      <c r="E209" s="22" t="s">
        <v>50</v>
      </c>
      <c r="F209" s="22" t="n">
        <v>317</v>
      </c>
      <c r="G209" s="22" t="s">
        <v>51</v>
      </c>
      <c r="H209" s="22" t="n">
        <v>4.12</v>
      </c>
      <c r="I209" s="22" t="n">
        <v>41.2</v>
      </c>
      <c r="J209" s="22" t="n">
        <v>0.375</v>
      </c>
      <c r="K209" s="22" t="n">
        <v>9.52</v>
      </c>
      <c r="L209" s="43" t="n">
        <v>0.68</v>
      </c>
      <c r="M209" s="22" t="n">
        <v>17.3</v>
      </c>
      <c r="N209" s="43" t="n">
        <v>0.28</v>
      </c>
      <c r="O209" s="22" t="n">
        <v>7.12</v>
      </c>
      <c r="P209" s="22" t="n">
        <v>0.192</v>
      </c>
      <c r="Q209" s="22" t="n">
        <v>19.2</v>
      </c>
      <c r="R209" s="22" t="n">
        <v>0.791</v>
      </c>
      <c r="S209" s="22" t="n">
        <v>791</v>
      </c>
      <c r="T209" s="22" t="n">
        <v>0.712</v>
      </c>
      <c r="U209" s="22" t="n">
        <f aca="false">C209*1</f>
        <v>120</v>
      </c>
      <c r="V209" s="22" t="n">
        <f aca="false">VLOOKUP(U209,'Powder Core Toroid OD'!$A$2:$B$36,2,0)</f>
        <v>16.6</v>
      </c>
    </row>
    <row r="210" customFormat="false" ht="14.4" hidden="true" customHeight="false" outlineLevel="0" collapsed="false">
      <c r="A210" s="45" t="n">
        <v>55117</v>
      </c>
      <c r="B210" s="22" t="s">
        <v>278</v>
      </c>
      <c r="C210" s="23" t="n">
        <v>120</v>
      </c>
      <c r="D210" s="22" t="n">
        <v>200</v>
      </c>
      <c r="E210" s="22" t="s">
        <v>50</v>
      </c>
      <c r="F210" s="22" t="n">
        <v>115</v>
      </c>
      <c r="G210" s="22" t="s">
        <v>51</v>
      </c>
      <c r="H210" s="22" t="n">
        <v>4.12</v>
      </c>
      <c r="I210" s="22" t="n">
        <v>41.2</v>
      </c>
      <c r="J210" s="22" t="n">
        <v>0.375</v>
      </c>
      <c r="K210" s="22" t="n">
        <v>9.52</v>
      </c>
      <c r="L210" s="43" t="n">
        <v>0.68</v>
      </c>
      <c r="M210" s="22" t="n">
        <v>17.3</v>
      </c>
      <c r="N210" s="43" t="n">
        <v>0.28</v>
      </c>
      <c r="O210" s="22" t="n">
        <v>7.12</v>
      </c>
      <c r="P210" s="22" t="n">
        <v>0.192</v>
      </c>
      <c r="Q210" s="22" t="n">
        <v>19.2</v>
      </c>
      <c r="R210" s="22" t="n">
        <v>0.791</v>
      </c>
      <c r="S210" s="22" t="n">
        <v>791</v>
      </c>
      <c r="T210" s="22" t="n">
        <v>0.712</v>
      </c>
      <c r="U210" s="22" t="n">
        <f aca="false">C210*1</f>
        <v>120</v>
      </c>
      <c r="V210" s="22" t="n">
        <f aca="false">VLOOKUP(U210,'Powder Core Toroid OD'!$A$2:$B$36,2,0)</f>
        <v>16.6</v>
      </c>
    </row>
    <row r="211" customFormat="false" ht="14.4" hidden="true" customHeight="false" outlineLevel="0" collapsed="false">
      <c r="A211" s="45" t="n">
        <v>55118</v>
      </c>
      <c r="B211" s="22" t="s">
        <v>279</v>
      </c>
      <c r="C211" s="23" t="n">
        <v>120</v>
      </c>
      <c r="D211" s="22" t="n">
        <v>160</v>
      </c>
      <c r="E211" s="22" t="s">
        <v>50</v>
      </c>
      <c r="F211" s="22" t="n">
        <v>92</v>
      </c>
      <c r="G211" s="22" t="s">
        <v>51</v>
      </c>
      <c r="H211" s="22" t="n">
        <v>4.12</v>
      </c>
      <c r="I211" s="22" t="n">
        <v>41.2</v>
      </c>
      <c r="J211" s="22" t="n">
        <v>0.375</v>
      </c>
      <c r="K211" s="22" t="n">
        <v>9.52</v>
      </c>
      <c r="L211" s="43" t="n">
        <v>0.68</v>
      </c>
      <c r="M211" s="22" t="n">
        <v>17.3</v>
      </c>
      <c r="N211" s="43" t="n">
        <v>0.28</v>
      </c>
      <c r="O211" s="22" t="n">
        <v>7.12</v>
      </c>
      <c r="P211" s="22" t="n">
        <v>0.192</v>
      </c>
      <c r="Q211" s="22" t="n">
        <v>19.2</v>
      </c>
      <c r="R211" s="22" t="n">
        <v>0.791</v>
      </c>
      <c r="S211" s="22" t="n">
        <v>791</v>
      </c>
      <c r="T211" s="22" t="n">
        <v>0.712</v>
      </c>
      <c r="U211" s="22" t="n">
        <f aca="false">C211*1</f>
        <v>120</v>
      </c>
      <c r="V211" s="22" t="n">
        <f aca="false">VLOOKUP(U211,'Powder Core Toroid OD'!$A$2:$B$36,2,0)</f>
        <v>16.6</v>
      </c>
    </row>
    <row r="212" customFormat="false" ht="14.4" hidden="true" customHeight="false" outlineLevel="0" collapsed="false">
      <c r="A212" s="45" t="n">
        <v>55119</v>
      </c>
      <c r="B212" s="22" t="s">
        <v>280</v>
      </c>
      <c r="C212" s="23" t="n">
        <v>120</v>
      </c>
      <c r="D212" s="22" t="n">
        <v>147</v>
      </c>
      <c r="E212" s="22" t="s">
        <v>50</v>
      </c>
      <c r="F212" s="22" t="n">
        <v>88</v>
      </c>
      <c r="G212" s="22" t="s">
        <v>51</v>
      </c>
      <c r="H212" s="22" t="n">
        <v>4.12</v>
      </c>
      <c r="I212" s="22" t="n">
        <v>41.2</v>
      </c>
      <c r="J212" s="22" t="n">
        <v>0.375</v>
      </c>
      <c r="K212" s="22" t="n">
        <v>9.52</v>
      </c>
      <c r="L212" s="43" t="n">
        <v>0.68</v>
      </c>
      <c r="M212" s="22" t="n">
        <v>17.3</v>
      </c>
      <c r="N212" s="43" t="n">
        <v>0.28</v>
      </c>
      <c r="O212" s="22" t="n">
        <v>7.12</v>
      </c>
      <c r="P212" s="22" t="n">
        <v>0.192</v>
      </c>
      <c r="Q212" s="22" t="n">
        <v>19.2</v>
      </c>
      <c r="R212" s="22" t="n">
        <v>0.791</v>
      </c>
      <c r="S212" s="22" t="n">
        <v>791</v>
      </c>
      <c r="T212" s="22" t="n">
        <v>0.712</v>
      </c>
      <c r="U212" s="22" t="n">
        <f aca="false">C212*1</f>
        <v>120</v>
      </c>
      <c r="V212" s="22" t="n">
        <f aca="false">VLOOKUP(U212,'Powder Core Toroid OD'!$A$2:$B$36,2,0)</f>
        <v>16.6</v>
      </c>
    </row>
    <row r="213" customFormat="false" ht="14.4" hidden="true" customHeight="false" outlineLevel="0" collapsed="false">
      <c r="A213" s="45" t="n">
        <v>55120</v>
      </c>
      <c r="B213" s="22" t="s">
        <v>281</v>
      </c>
      <c r="C213" s="23" t="n">
        <v>120</v>
      </c>
      <c r="D213" s="22" t="n">
        <v>125</v>
      </c>
      <c r="E213" s="22" t="s">
        <v>50</v>
      </c>
      <c r="F213" s="22" t="n">
        <v>72</v>
      </c>
      <c r="G213" s="22" t="s">
        <v>51</v>
      </c>
      <c r="H213" s="22" t="n">
        <v>4.12</v>
      </c>
      <c r="I213" s="22" t="n">
        <v>41.2</v>
      </c>
      <c r="J213" s="22" t="n">
        <v>0.375</v>
      </c>
      <c r="K213" s="22" t="n">
        <v>9.52</v>
      </c>
      <c r="L213" s="43" t="n">
        <v>0.68</v>
      </c>
      <c r="M213" s="22" t="n">
        <v>17.3</v>
      </c>
      <c r="N213" s="43" t="n">
        <v>0.28</v>
      </c>
      <c r="O213" s="22" t="n">
        <v>7.12</v>
      </c>
      <c r="P213" s="22" t="n">
        <v>0.192</v>
      </c>
      <c r="Q213" s="22" t="n">
        <v>19.2</v>
      </c>
      <c r="R213" s="22" t="n">
        <v>0.791</v>
      </c>
      <c r="S213" s="22" t="n">
        <v>791</v>
      </c>
      <c r="T213" s="22" t="n">
        <v>0.712</v>
      </c>
      <c r="U213" s="22" t="n">
        <f aca="false">C213*1</f>
        <v>120</v>
      </c>
      <c r="V213" s="22" t="n">
        <f aca="false">VLOOKUP(U213,'Powder Core Toroid OD'!$A$2:$B$36,2,0)</f>
        <v>16.6</v>
      </c>
    </row>
    <row r="214" customFormat="false" ht="14.4" hidden="true" customHeight="false" outlineLevel="0" collapsed="false">
      <c r="A214" s="45" t="n">
        <v>55121</v>
      </c>
      <c r="B214" s="22" t="s">
        <v>282</v>
      </c>
      <c r="C214" s="23" t="n">
        <v>120</v>
      </c>
      <c r="D214" s="22" t="n">
        <v>60</v>
      </c>
      <c r="E214" s="22" t="s">
        <v>50</v>
      </c>
      <c r="F214" s="22" t="n">
        <v>35</v>
      </c>
      <c r="G214" s="22" t="s">
        <v>51</v>
      </c>
      <c r="H214" s="22" t="n">
        <v>4.12</v>
      </c>
      <c r="I214" s="22" t="n">
        <v>41.2</v>
      </c>
      <c r="J214" s="22" t="n">
        <v>0.375</v>
      </c>
      <c r="K214" s="22" t="n">
        <v>9.52</v>
      </c>
      <c r="L214" s="43" t="n">
        <v>0.68</v>
      </c>
      <c r="M214" s="22" t="n">
        <v>17.3</v>
      </c>
      <c r="N214" s="43" t="n">
        <v>0.28</v>
      </c>
      <c r="O214" s="22" t="n">
        <v>7.12</v>
      </c>
      <c r="P214" s="22" t="n">
        <v>0.192</v>
      </c>
      <c r="Q214" s="22" t="n">
        <v>19.2</v>
      </c>
      <c r="R214" s="22" t="n">
        <v>0.791</v>
      </c>
      <c r="S214" s="22" t="n">
        <v>791</v>
      </c>
      <c r="T214" s="22" t="n">
        <v>0.712</v>
      </c>
      <c r="U214" s="22" t="n">
        <f aca="false">C214*1</f>
        <v>120</v>
      </c>
      <c r="V214" s="22" t="n">
        <f aca="false">VLOOKUP(U214,'Powder Core Toroid OD'!$A$2:$B$36,2,0)</f>
        <v>16.6</v>
      </c>
    </row>
    <row r="215" customFormat="false" ht="14.4" hidden="true" customHeight="false" outlineLevel="0" collapsed="false">
      <c r="A215" s="45" t="n">
        <v>55122</v>
      </c>
      <c r="B215" s="22" t="s">
        <v>283</v>
      </c>
      <c r="C215" s="23" t="n">
        <v>120</v>
      </c>
      <c r="D215" s="22" t="n">
        <v>26</v>
      </c>
      <c r="E215" s="22" t="s">
        <v>50</v>
      </c>
      <c r="F215" s="22" t="n">
        <v>15</v>
      </c>
      <c r="G215" s="22" t="s">
        <v>51</v>
      </c>
      <c r="H215" s="22" t="n">
        <v>4.12</v>
      </c>
      <c r="I215" s="22" t="n">
        <v>41.2</v>
      </c>
      <c r="J215" s="22" t="n">
        <v>0.375</v>
      </c>
      <c r="K215" s="22" t="n">
        <v>9.52</v>
      </c>
      <c r="L215" s="43" t="n">
        <v>0.68</v>
      </c>
      <c r="M215" s="22" t="n">
        <v>17.3</v>
      </c>
      <c r="N215" s="43" t="n">
        <v>0.28</v>
      </c>
      <c r="O215" s="22" t="n">
        <v>7.12</v>
      </c>
      <c r="P215" s="22" t="n">
        <v>0.192</v>
      </c>
      <c r="Q215" s="22" t="n">
        <v>19.2</v>
      </c>
      <c r="R215" s="22" t="n">
        <v>0.791</v>
      </c>
      <c r="S215" s="22" t="n">
        <v>791</v>
      </c>
      <c r="T215" s="22" t="n">
        <v>0.712</v>
      </c>
      <c r="U215" s="22" t="n">
        <f aca="false">C215*1</f>
        <v>120</v>
      </c>
      <c r="V215" s="22" t="n">
        <f aca="false">VLOOKUP(U215,'Powder Core Toroid OD'!$A$2:$B$36,2,0)</f>
        <v>16.6</v>
      </c>
    </row>
    <row r="216" customFormat="false" ht="14.4" hidden="true" customHeight="false" outlineLevel="0" collapsed="false">
      <c r="A216" s="45" t="n">
        <v>55123</v>
      </c>
      <c r="B216" s="22" t="s">
        <v>284</v>
      </c>
      <c r="C216" s="23" t="n">
        <v>120</v>
      </c>
      <c r="D216" s="22" t="n">
        <v>14</v>
      </c>
      <c r="E216" s="22" t="s">
        <v>50</v>
      </c>
      <c r="F216" s="22" t="n">
        <v>8</v>
      </c>
      <c r="G216" s="22" t="s">
        <v>51</v>
      </c>
      <c r="H216" s="22" t="n">
        <v>4.12</v>
      </c>
      <c r="I216" s="22" t="n">
        <v>41.2</v>
      </c>
      <c r="J216" s="22" t="n">
        <v>0.375</v>
      </c>
      <c r="K216" s="22" t="n">
        <v>9.52</v>
      </c>
      <c r="L216" s="43" t="n">
        <v>0.68</v>
      </c>
      <c r="M216" s="22" t="n">
        <v>17.3</v>
      </c>
      <c r="N216" s="43" t="n">
        <v>0.28</v>
      </c>
      <c r="O216" s="22" t="n">
        <v>7.12</v>
      </c>
      <c r="P216" s="22" t="n">
        <v>0.192</v>
      </c>
      <c r="Q216" s="22" t="n">
        <v>19.2</v>
      </c>
      <c r="R216" s="22" t="n">
        <v>0.791</v>
      </c>
      <c r="S216" s="22" t="n">
        <v>791</v>
      </c>
      <c r="T216" s="22" t="n">
        <v>0.712</v>
      </c>
      <c r="U216" s="22" t="n">
        <f aca="false">C216*1</f>
        <v>120</v>
      </c>
      <c r="V216" s="22" t="n">
        <f aca="false">VLOOKUP(U216,'Powder Core Toroid OD'!$A$2:$B$36,2,0)</f>
        <v>16.6</v>
      </c>
    </row>
    <row r="217" customFormat="false" ht="14.4" hidden="true" customHeight="false" outlineLevel="0" collapsed="false">
      <c r="A217" s="45" t="n">
        <v>55124</v>
      </c>
      <c r="B217" s="22" t="s">
        <v>285</v>
      </c>
      <c r="C217" s="23" t="n">
        <v>130</v>
      </c>
      <c r="D217" s="22" t="n">
        <v>173</v>
      </c>
      <c r="E217" s="22" t="s">
        <v>50</v>
      </c>
      <c r="F217" s="22" t="n">
        <v>74</v>
      </c>
      <c r="G217" s="22" t="s">
        <v>51</v>
      </c>
      <c r="H217" s="22" t="n">
        <v>2.69</v>
      </c>
      <c r="I217" s="22" t="n">
        <v>26.9</v>
      </c>
      <c r="J217" s="43" t="n">
        <v>0.23</v>
      </c>
      <c r="K217" s="22" t="n">
        <v>5.84</v>
      </c>
      <c r="L217" s="22" t="n">
        <v>0.465</v>
      </c>
      <c r="M217" s="22" t="n">
        <v>11.9</v>
      </c>
      <c r="N217" s="22" t="n">
        <v>0.181</v>
      </c>
      <c r="O217" s="43" t="n">
        <v>4.6</v>
      </c>
      <c r="P217" s="22" t="n">
        <v>0.0906</v>
      </c>
      <c r="Q217" s="22" t="n">
        <v>9.06</v>
      </c>
      <c r="R217" s="22" t="n">
        <v>0.244</v>
      </c>
      <c r="S217" s="22" t="n">
        <v>244</v>
      </c>
      <c r="T217" s="22" t="n">
        <v>0.268</v>
      </c>
      <c r="U217" s="22" t="n">
        <f aca="false">C217*1</f>
        <v>130</v>
      </c>
      <c r="V217" s="22" t="n">
        <f aca="false">VLOOKUP(U217,'Powder Core Toroid OD'!$A$2:$B$36,2,0)</f>
        <v>11.2</v>
      </c>
    </row>
    <row r="218" customFormat="false" ht="14.4" hidden="true" customHeight="false" outlineLevel="0" collapsed="false">
      <c r="A218" s="45" t="n">
        <v>55125</v>
      </c>
      <c r="B218" s="22" t="s">
        <v>286</v>
      </c>
      <c r="C218" s="23" t="n">
        <v>130</v>
      </c>
      <c r="D218" s="22" t="n">
        <v>300</v>
      </c>
      <c r="E218" s="22" t="s">
        <v>50</v>
      </c>
      <c r="F218" s="22" t="n">
        <v>127</v>
      </c>
      <c r="G218" s="22" t="s">
        <v>51</v>
      </c>
      <c r="H218" s="22" t="n">
        <v>2.69</v>
      </c>
      <c r="I218" s="22" t="n">
        <v>26.9</v>
      </c>
      <c r="J218" s="43" t="n">
        <v>0.23</v>
      </c>
      <c r="K218" s="22" t="n">
        <v>5.84</v>
      </c>
      <c r="L218" s="22" t="n">
        <v>0.465</v>
      </c>
      <c r="M218" s="22" t="n">
        <v>11.9</v>
      </c>
      <c r="N218" s="22" t="n">
        <v>0.181</v>
      </c>
      <c r="O218" s="43" t="n">
        <v>4.6</v>
      </c>
      <c r="P218" s="22" t="n">
        <v>0.0906</v>
      </c>
      <c r="Q218" s="22" t="n">
        <v>9.06</v>
      </c>
      <c r="R218" s="22" t="n">
        <v>0.244</v>
      </c>
      <c r="S218" s="22" t="n">
        <v>244</v>
      </c>
      <c r="T218" s="22" t="n">
        <v>0.268</v>
      </c>
      <c r="U218" s="22" t="n">
        <f aca="false">C218*1</f>
        <v>130</v>
      </c>
      <c r="V218" s="22" t="n">
        <f aca="false">VLOOKUP(U218,'Powder Core Toroid OD'!$A$2:$B$36,2,0)</f>
        <v>11.2</v>
      </c>
    </row>
    <row r="219" customFormat="false" ht="14.4" hidden="true" customHeight="false" outlineLevel="0" collapsed="false">
      <c r="A219" s="45" t="n">
        <v>55127</v>
      </c>
      <c r="B219" s="22" t="s">
        <v>287</v>
      </c>
      <c r="C219" s="23" t="n">
        <v>130</v>
      </c>
      <c r="D219" s="22" t="n">
        <v>200</v>
      </c>
      <c r="E219" s="22" t="s">
        <v>50</v>
      </c>
      <c r="F219" s="22" t="n">
        <v>85</v>
      </c>
      <c r="G219" s="22" t="s">
        <v>51</v>
      </c>
      <c r="H219" s="22" t="n">
        <v>2.69</v>
      </c>
      <c r="I219" s="22" t="n">
        <v>26.9</v>
      </c>
      <c r="J219" s="43" t="n">
        <v>0.23</v>
      </c>
      <c r="K219" s="22" t="n">
        <v>5.84</v>
      </c>
      <c r="L219" s="22" t="n">
        <v>0.465</v>
      </c>
      <c r="M219" s="22" t="n">
        <v>11.9</v>
      </c>
      <c r="N219" s="22" t="n">
        <v>0.181</v>
      </c>
      <c r="O219" s="43" t="n">
        <v>4.6</v>
      </c>
      <c r="P219" s="22" t="n">
        <v>0.0906</v>
      </c>
      <c r="Q219" s="22" t="n">
        <v>9.06</v>
      </c>
      <c r="R219" s="22" t="n">
        <v>0.244</v>
      </c>
      <c r="S219" s="22" t="n">
        <v>244</v>
      </c>
      <c r="T219" s="22" t="n">
        <v>0.268</v>
      </c>
      <c r="U219" s="22" t="n">
        <f aca="false">C219*1</f>
        <v>130</v>
      </c>
      <c r="V219" s="22" t="n">
        <f aca="false">VLOOKUP(U219,'Powder Core Toroid OD'!$A$2:$B$36,2,0)</f>
        <v>11.2</v>
      </c>
    </row>
    <row r="220" customFormat="false" ht="14.4" hidden="true" customHeight="false" outlineLevel="0" collapsed="false">
      <c r="A220" s="45" t="n">
        <v>55128</v>
      </c>
      <c r="B220" s="22" t="s">
        <v>288</v>
      </c>
      <c r="C220" s="23" t="n">
        <v>130</v>
      </c>
      <c r="D220" s="22" t="n">
        <v>160</v>
      </c>
      <c r="E220" s="22" t="s">
        <v>50</v>
      </c>
      <c r="F220" s="22" t="n">
        <v>68</v>
      </c>
      <c r="G220" s="22" t="s">
        <v>51</v>
      </c>
      <c r="H220" s="22" t="n">
        <v>2.69</v>
      </c>
      <c r="I220" s="22" t="n">
        <v>26.9</v>
      </c>
      <c r="J220" s="43" t="n">
        <v>0.23</v>
      </c>
      <c r="K220" s="22" t="n">
        <v>5.84</v>
      </c>
      <c r="L220" s="22" t="n">
        <v>0.465</v>
      </c>
      <c r="M220" s="22" t="n">
        <v>11.9</v>
      </c>
      <c r="N220" s="22" t="n">
        <v>0.181</v>
      </c>
      <c r="O220" s="43" t="n">
        <v>4.6</v>
      </c>
      <c r="P220" s="22" t="n">
        <v>0.0906</v>
      </c>
      <c r="Q220" s="22" t="n">
        <v>9.06</v>
      </c>
      <c r="R220" s="22" t="n">
        <v>0.244</v>
      </c>
      <c r="S220" s="22" t="n">
        <v>244</v>
      </c>
      <c r="T220" s="22" t="n">
        <v>0.268</v>
      </c>
      <c r="U220" s="22" t="n">
        <f aca="false">C220*1</f>
        <v>130</v>
      </c>
      <c r="V220" s="22" t="n">
        <f aca="false">VLOOKUP(U220,'Powder Core Toroid OD'!$A$2:$B$36,2,0)</f>
        <v>11.2</v>
      </c>
    </row>
    <row r="221" customFormat="false" ht="14.4" hidden="true" customHeight="false" outlineLevel="0" collapsed="false">
      <c r="A221" s="45" t="n">
        <v>55129</v>
      </c>
      <c r="B221" s="22" t="s">
        <v>289</v>
      </c>
      <c r="C221" s="23" t="n">
        <v>130</v>
      </c>
      <c r="D221" s="22" t="n">
        <v>147</v>
      </c>
      <c r="E221" s="22" t="s">
        <v>50</v>
      </c>
      <c r="F221" s="22" t="n">
        <v>63</v>
      </c>
      <c r="G221" s="22" t="s">
        <v>51</v>
      </c>
      <c r="H221" s="22" t="n">
        <v>2.69</v>
      </c>
      <c r="I221" s="22" t="n">
        <v>26.9</v>
      </c>
      <c r="J221" s="43" t="n">
        <v>0.23</v>
      </c>
      <c r="K221" s="22" t="n">
        <v>5.84</v>
      </c>
      <c r="L221" s="22" t="n">
        <v>0.465</v>
      </c>
      <c r="M221" s="22" t="n">
        <v>11.9</v>
      </c>
      <c r="N221" s="22" t="n">
        <v>0.181</v>
      </c>
      <c r="O221" s="43" t="n">
        <v>4.6</v>
      </c>
      <c r="P221" s="22" t="n">
        <v>0.0906</v>
      </c>
      <c r="Q221" s="22" t="n">
        <v>9.06</v>
      </c>
      <c r="R221" s="22" t="n">
        <v>0.244</v>
      </c>
      <c r="S221" s="22" t="n">
        <v>244</v>
      </c>
      <c r="T221" s="22" t="n">
        <v>0.268</v>
      </c>
      <c r="U221" s="22" t="n">
        <f aca="false">C221*1</f>
        <v>130</v>
      </c>
      <c r="V221" s="22" t="n">
        <f aca="false">VLOOKUP(U221,'Powder Core Toroid OD'!$A$2:$B$36,2,0)</f>
        <v>11.2</v>
      </c>
    </row>
    <row r="222" customFormat="false" ht="14.4" hidden="true" customHeight="false" outlineLevel="0" collapsed="false">
      <c r="A222" s="45" t="n">
        <v>55130</v>
      </c>
      <c r="B222" s="22" t="s">
        <v>290</v>
      </c>
      <c r="C222" s="23" t="n">
        <v>130</v>
      </c>
      <c r="D222" s="22" t="n">
        <v>125</v>
      </c>
      <c r="E222" s="22" t="s">
        <v>50</v>
      </c>
      <c r="F222" s="22" t="n">
        <v>53</v>
      </c>
      <c r="G222" s="22" t="s">
        <v>51</v>
      </c>
      <c r="H222" s="22" t="n">
        <v>2.69</v>
      </c>
      <c r="I222" s="22" t="n">
        <v>26.9</v>
      </c>
      <c r="J222" s="43" t="n">
        <v>0.23</v>
      </c>
      <c r="K222" s="22" t="n">
        <v>5.84</v>
      </c>
      <c r="L222" s="22" t="n">
        <v>0.465</v>
      </c>
      <c r="M222" s="22" t="n">
        <v>11.9</v>
      </c>
      <c r="N222" s="22" t="n">
        <v>0.181</v>
      </c>
      <c r="O222" s="43" t="n">
        <v>4.6</v>
      </c>
      <c r="P222" s="22" t="n">
        <v>0.0906</v>
      </c>
      <c r="Q222" s="22" t="n">
        <v>9.06</v>
      </c>
      <c r="R222" s="22" t="n">
        <v>0.244</v>
      </c>
      <c r="S222" s="22" t="n">
        <v>244</v>
      </c>
      <c r="T222" s="22" t="n">
        <v>0.268</v>
      </c>
      <c r="U222" s="22" t="n">
        <f aca="false">C222*1</f>
        <v>130</v>
      </c>
      <c r="V222" s="22" t="n">
        <f aca="false">VLOOKUP(U222,'Powder Core Toroid OD'!$A$2:$B$36,2,0)</f>
        <v>11.2</v>
      </c>
    </row>
    <row r="223" customFormat="false" ht="14.4" hidden="true" customHeight="false" outlineLevel="0" collapsed="false">
      <c r="A223" s="45" t="n">
        <v>55131</v>
      </c>
      <c r="B223" s="22" t="s">
        <v>291</v>
      </c>
      <c r="C223" s="23" t="n">
        <v>130</v>
      </c>
      <c r="D223" s="22" t="n">
        <v>60</v>
      </c>
      <c r="E223" s="22" t="s">
        <v>50</v>
      </c>
      <c r="F223" s="22" t="n">
        <v>26</v>
      </c>
      <c r="G223" s="22" t="s">
        <v>51</v>
      </c>
      <c r="H223" s="22" t="n">
        <v>2.69</v>
      </c>
      <c r="I223" s="22" t="n">
        <v>26.9</v>
      </c>
      <c r="J223" s="43" t="n">
        <v>0.23</v>
      </c>
      <c r="K223" s="22" t="n">
        <v>5.84</v>
      </c>
      <c r="L223" s="22" t="n">
        <v>0.465</v>
      </c>
      <c r="M223" s="22" t="n">
        <v>11.9</v>
      </c>
      <c r="N223" s="22" t="n">
        <v>0.181</v>
      </c>
      <c r="O223" s="43" t="n">
        <v>4.6</v>
      </c>
      <c r="P223" s="22" t="n">
        <v>0.0906</v>
      </c>
      <c r="Q223" s="22" t="n">
        <v>9.06</v>
      </c>
      <c r="R223" s="22" t="n">
        <v>0.244</v>
      </c>
      <c r="S223" s="22" t="n">
        <v>244</v>
      </c>
      <c r="T223" s="22" t="n">
        <v>0.268</v>
      </c>
      <c r="U223" s="22" t="n">
        <f aca="false">C223*1</f>
        <v>130</v>
      </c>
      <c r="V223" s="22" t="n">
        <f aca="false">VLOOKUP(U223,'Powder Core Toroid OD'!$A$2:$B$36,2,0)</f>
        <v>11.2</v>
      </c>
    </row>
    <row r="224" customFormat="false" ht="14.4" hidden="true" customHeight="false" outlineLevel="0" collapsed="false">
      <c r="A224" s="45" t="n">
        <v>55132</v>
      </c>
      <c r="B224" s="22" t="s">
        <v>292</v>
      </c>
      <c r="C224" s="23" t="n">
        <v>130</v>
      </c>
      <c r="D224" s="22" t="n">
        <v>26</v>
      </c>
      <c r="E224" s="22" t="s">
        <v>50</v>
      </c>
      <c r="F224" s="22" t="n">
        <v>11</v>
      </c>
      <c r="G224" s="22" t="s">
        <v>51</v>
      </c>
      <c r="H224" s="22" t="n">
        <v>2.69</v>
      </c>
      <c r="I224" s="22" t="n">
        <v>26.9</v>
      </c>
      <c r="J224" s="43" t="n">
        <v>0.23</v>
      </c>
      <c r="K224" s="22" t="n">
        <v>5.84</v>
      </c>
      <c r="L224" s="22" t="n">
        <v>0.465</v>
      </c>
      <c r="M224" s="22" t="n">
        <v>11.9</v>
      </c>
      <c r="N224" s="22" t="n">
        <v>0.181</v>
      </c>
      <c r="O224" s="43" t="n">
        <v>4.6</v>
      </c>
      <c r="P224" s="22" t="n">
        <v>0.0906</v>
      </c>
      <c r="Q224" s="22" t="n">
        <v>9.06</v>
      </c>
      <c r="R224" s="22" t="n">
        <v>0.244</v>
      </c>
      <c r="S224" s="22" t="n">
        <v>244</v>
      </c>
      <c r="T224" s="22" t="n">
        <v>0.268</v>
      </c>
      <c r="U224" s="22" t="n">
        <f aca="false">C224*1</f>
        <v>130</v>
      </c>
      <c r="V224" s="22" t="n">
        <f aca="false">VLOOKUP(U224,'Powder Core Toroid OD'!$A$2:$B$36,2,0)</f>
        <v>11.2</v>
      </c>
    </row>
    <row r="225" customFormat="false" ht="14.4" hidden="true" customHeight="false" outlineLevel="0" collapsed="false">
      <c r="A225" s="45" t="n">
        <v>55133</v>
      </c>
      <c r="B225" s="22" t="s">
        <v>293</v>
      </c>
      <c r="C225" s="23" t="n">
        <v>130</v>
      </c>
      <c r="D225" s="22" t="n">
        <v>14</v>
      </c>
      <c r="E225" s="22" t="s">
        <v>50</v>
      </c>
      <c r="F225" s="22" t="n">
        <v>6</v>
      </c>
      <c r="G225" s="22" t="s">
        <v>51</v>
      </c>
      <c r="H225" s="22" t="n">
        <v>2.69</v>
      </c>
      <c r="I225" s="22" t="n">
        <v>26.9</v>
      </c>
      <c r="J225" s="43" t="n">
        <v>0.23</v>
      </c>
      <c r="K225" s="22" t="n">
        <v>5.84</v>
      </c>
      <c r="L225" s="22" t="n">
        <v>0.465</v>
      </c>
      <c r="M225" s="22" t="n">
        <v>11.9</v>
      </c>
      <c r="N225" s="22" t="n">
        <v>0.181</v>
      </c>
      <c r="O225" s="43" t="n">
        <v>4.6</v>
      </c>
      <c r="P225" s="22" t="n">
        <v>0.0906</v>
      </c>
      <c r="Q225" s="22" t="n">
        <v>9.06</v>
      </c>
      <c r="R225" s="22" t="n">
        <v>0.244</v>
      </c>
      <c r="S225" s="22" t="n">
        <v>244</v>
      </c>
      <c r="T225" s="22" t="n">
        <v>0.268</v>
      </c>
      <c r="U225" s="22" t="n">
        <f aca="false">C225*1</f>
        <v>130</v>
      </c>
      <c r="V225" s="22" t="n">
        <f aca="false">VLOOKUP(U225,'Powder Core Toroid OD'!$A$2:$B$36,2,0)</f>
        <v>11.2</v>
      </c>
    </row>
    <row r="226" customFormat="false" ht="14.4" hidden="true" customHeight="false" outlineLevel="0" collapsed="false">
      <c r="A226" s="45" t="n">
        <v>55134</v>
      </c>
      <c r="B226" s="22" t="s">
        <v>294</v>
      </c>
      <c r="C226" s="23" t="n">
        <v>140</v>
      </c>
      <c r="D226" s="22" t="n">
        <v>173</v>
      </c>
      <c r="E226" s="22" t="s">
        <v>50</v>
      </c>
      <c r="F226" s="22" t="n">
        <v>36</v>
      </c>
      <c r="G226" s="22" t="s">
        <v>51</v>
      </c>
      <c r="H226" s="22" t="n">
        <v>0.806</v>
      </c>
      <c r="I226" s="22" t="n">
        <v>8.06</v>
      </c>
      <c r="J226" s="43" t="n">
        <v>0.05</v>
      </c>
      <c r="K226" s="22" t="n">
        <v>1.27</v>
      </c>
      <c r="L226" s="22" t="n">
        <v>0.165</v>
      </c>
      <c r="M226" s="42" t="n">
        <v>4.2</v>
      </c>
      <c r="N226" s="22" t="n">
        <v>0.085</v>
      </c>
      <c r="O226" s="22" t="n">
        <v>2.16</v>
      </c>
      <c r="P226" s="22" t="n">
        <v>0.013</v>
      </c>
      <c r="Q226" s="22" t="n">
        <v>1.3</v>
      </c>
      <c r="R226" s="22" t="n">
        <v>0.0105</v>
      </c>
      <c r="S226" s="22" t="n">
        <v>10.5</v>
      </c>
      <c r="T226" s="22" t="n">
        <v>0.0127</v>
      </c>
      <c r="U226" s="22" t="n">
        <f aca="false">C226*1</f>
        <v>140</v>
      </c>
      <c r="V226" s="22" t="n">
        <f aca="false">VLOOKUP(U226,'Powder Core Toroid OD'!$A$2:$B$36,2,0)</f>
        <v>3.56</v>
      </c>
    </row>
    <row r="227" customFormat="false" ht="14.4" hidden="true" customHeight="false" outlineLevel="0" collapsed="false">
      <c r="A227" s="45" t="n">
        <v>55135</v>
      </c>
      <c r="B227" s="22" t="s">
        <v>295</v>
      </c>
      <c r="C227" s="23" t="n">
        <v>140</v>
      </c>
      <c r="D227" s="22" t="n">
        <v>300</v>
      </c>
      <c r="E227" s="22" t="s">
        <v>50</v>
      </c>
      <c r="F227" s="22" t="n">
        <v>62</v>
      </c>
      <c r="G227" s="22" t="s">
        <v>51</v>
      </c>
      <c r="H227" s="22" t="n">
        <v>0.806</v>
      </c>
      <c r="I227" s="22" t="n">
        <v>8.06</v>
      </c>
      <c r="J227" s="43" t="n">
        <v>0.05</v>
      </c>
      <c r="K227" s="22" t="n">
        <v>1.27</v>
      </c>
      <c r="L227" s="22" t="n">
        <v>0.165</v>
      </c>
      <c r="M227" s="42" t="n">
        <v>4.2</v>
      </c>
      <c r="N227" s="22" t="n">
        <v>0.085</v>
      </c>
      <c r="O227" s="22" t="n">
        <v>2.16</v>
      </c>
      <c r="P227" s="22" t="n">
        <v>0.013</v>
      </c>
      <c r="Q227" s="22" t="n">
        <v>1.3</v>
      </c>
      <c r="R227" s="22" t="n">
        <v>0.0105</v>
      </c>
      <c r="S227" s="22" t="n">
        <v>10.5</v>
      </c>
      <c r="T227" s="22" t="n">
        <v>0.0127</v>
      </c>
      <c r="U227" s="22" t="n">
        <f aca="false">C227*1</f>
        <v>140</v>
      </c>
      <c r="V227" s="22" t="n">
        <f aca="false">VLOOKUP(U227,'Powder Core Toroid OD'!$A$2:$B$36,2,0)</f>
        <v>3.56</v>
      </c>
    </row>
    <row r="228" customFormat="false" ht="14.4" hidden="true" customHeight="false" outlineLevel="0" collapsed="false">
      <c r="A228" s="45" t="n">
        <v>55137</v>
      </c>
      <c r="B228" s="22" t="s">
        <v>296</v>
      </c>
      <c r="C228" s="23" t="n">
        <v>140</v>
      </c>
      <c r="D228" s="22" t="n">
        <v>200</v>
      </c>
      <c r="E228" s="22" t="s">
        <v>50</v>
      </c>
      <c r="F228" s="22" t="n">
        <v>42</v>
      </c>
      <c r="G228" s="22" t="s">
        <v>51</v>
      </c>
      <c r="H228" s="22" t="n">
        <v>0.806</v>
      </c>
      <c r="I228" s="22" t="n">
        <v>8.06</v>
      </c>
      <c r="J228" s="43" t="n">
        <v>0.05</v>
      </c>
      <c r="K228" s="22" t="n">
        <v>1.27</v>
      </c>
      <c r="L228" s="22" t="n">
        <v>0.165</v>
      </c>
      <c r="M228" s="42" t="n">
        <v>4.2</v>
      </c>
      <c r="N228" s="22" t="n">
        <v>0.085</v>
      </c>
      <c r="O228" s="22" t="n">
        <v>2.16</v>
      </c>
      <c r="P228" s="22" t="n">
        <v>0.013</v>
      </c>
      <c r="Q228" s="22" t="n">
        <v>1.3</v>
      </c>
      <c r="R228" s="22" t="n">
        <v>0.0105</v>
      </c>
      <c r="S228" s="22" t="n">
        <v>10.5</v>
      </c>
      <c r="T228" s="22" t="n">
        <v>0.0127</v>
      </c>
      <c r="U228" s="22" t="n">
        <f aca="false">C228*1</f>
        <v>140</v>
      </c>
      <c r="V228" s="22" t="n">
        <f aca="false">VLOOKUP(U228,'Powder Core Toroid OD'!$A$2:$B$36,2,0)</f>
        <v>3.56</v>
      </c>
    </row>
    <row r="229" customFormat="false" ht="14.4" hidden="true" customHeight="false" outlineLevel="0" collapsed="false">
      <c r="A229" s="45" t="n">
        <v>55138</v>
      </c>
      <c r="B229" s="22" t="s">
        <v>297</v>
      </c>
      <c r="C229" s="23" t="n">
        <v>140</v>
      </c>
      <c r="D229" s="22" t="n">
        <v>160</v>
      </c>
      <c r="E229" s="22" t="s">
        <v>50</v>
      </c>
      <c r="F229" s="22" t="n">
        <v>33</v>
      </c>
      <c r="G229" s="22" t="s">
        <v>51</v>
      </c>
      <c r="H229" s="22" t="n">
        <v>0.806</v>
      </c>
      <c r="I229" s="22" t="n">
        <v>8.06</v>
      </c>
      <c r="J229" s="43" t="n">
        <v>0.05</v>
      </c>
      <c r="K229" s="22" t="n">
        <v>1.27</v>
      </c>
      <c r="L229" s="22" t="n">
        <v>0.165</v>
      </c>
      <c r="M229" s="42" t="n">
        <v>4.2</v>
      </c>
      <c r="N229" s="22" t="n">
        <v>0.085</v>
      </c>
      <c r="O229" s="22" t="n">
        <v>2.16</v>
      </c>
      <c r="P229" s="22" t="n">
        <v>0.013</v>
      </c>
      <c r="Q229" s="22" t="n">
        <v>1.3</v>
      </c>
      <c r="R229" s="22" t="n">
        <v>0.0105</v>
      </c>
      <c r="S229" s="22" t="n">
        <v>10.5</v>
      </c>
      <c r="T229" s="22" t="n">
        <v>0.0127</v>
      </c>
      <c r="U229" s="22" t="n">
        <f aca="false">C229*1</f>
        <v>140</v>
      </c>
      <c r="V229" s="22" t="n">
        <f aca="false">VLOOKUP(U229,'Powder Core Toroid OD'!$A$2:$B$36,2,0)</f>
        <v>3.56</v>
      </c>
    </row>
    <row r="230" customFormat="false" ht="14.4" hidden="true" customHeight="false" outlineLevel="0" collapsed="false">
      <c r="A230" s="45" t="n">
        <v>55139</v>
      </c>
      <c r="B230" s="22" t="s">
        <v>298</v>
      </c>
      <c r="C230" s="23" t="n">
        <v>140</v>
      </c>
      <c r="D230" s="22" t="n">
        <v>147</v>
      </c>
      <c r="E230" s="22" t="s">
        <v>50</v>
      </c>
      <c r="F230" s="22" t="n">
        <v>31</v>
      </c>
      <c r="G230" s="22" t="s">
        <v>51</v>
      </c>
      <c r="H230" s="22" t="n">
        <v>0.806</v>
      </c>
      <c r="I230" s="22" t="n">
        <v>8.06</v>
      </c>
      <c r="J230" s="43" t="n">
        <v>0.05</v>
      </c>
      <c r="K230" s="22" t="n">
        <v>1.27</v>
      </c>
      <c r="L230" s="22" t="n">
        <v>0.165</v>
      </c>
      <c r="M230" s="42" t="n">
        <v>4.2</v>
      </c>
      <c r="N230" s="22" t="n">
        <v>0.085</v>
      </c>
      <c r="O230" s="22" t="n">
        <v>2.16</v>
      </c>
      <c r="P230" s="22" t="n">
        <v>0.013</v>
      </c>
      <c r="Q230" s="22" t="n">
        <v>1.3</v>
      </c>
      <c r="R230" s="22" t="n">
        <v>0.0105</v>
      </c>
      <c r="S230" s="22" t="n">
        <v>10.5</v>
      </c>
      <c r="T230" s="22" t="n">
        <v>0.0127</v>
      </c>
      <c r="U230" s="22" t="n">
        <f aca="false">C230*1</f>
        <v>140</v>
      </c>
      <c r="V230" s="22" t="n">
        <f aca="false">VLOOKUP(U230,'Powder Core Toroid OD'!$A$2:$B$36,2,0)</f>
        <v>3.56</v>
      </c>
    </row>
    <row r="231" customFormat="false" ht="14.4" hidden="true" customHeight="false" outlineLevel="0" collapsed="false">
      <c r="A231" s="45" t="n">
        <v>55140</v>
      </c>
      <c r="B231" s="22" t="s">
        <v>299</v>
      </c>
      <c r="C231" s="23" t="n">
        <v>140</v>
      </c>
      <c r="D231" s="22" t="n">
        <v>125</v>
      </c>
      <c r="E231" s="22" t="s">
        <v>50</v>
      </c>
      <c r="F231" s="22" t="n">
        <v>26</v>
      </c>
      <c r="G231" s="22" t="s">
        <v>51</v>
      </c>
      <c r="H231" s="22" t="n">
        <v>0.806</v>
      </c>
      <c r="I231" s="22" t="n">
        <v>8.06</v>
      </c>
      <c r="J231" s="43" t="n">
        <v>0.05</v>
      </c>
      <c r="K231" s="22" t="n">
        <v>1.27</v>
      </c>
      <c r="L231" s="22" t="n">
        <v>0.165</v>
      </c>
      <c r="M231" s="42" t="n">
        <v>4.2</v>
      </c>
      <c r="N231" s="22" t="n">
        <v>0.085</v>
      </c>
      <c r="O231" s="22" t="n">
        <v>2.16</v>
      </c>
      <c r="P231" s="22" t="n">
        <v>0.013</v>
      </c>
      <c r="Q231" s="22" t="n">
        <v>1.3</v>
      </c>
      <c r="R231" s="22" t="n">
        <v>0.0105</v>
      </c>
      <c r="S231" s="22" t="n">
        <v>10.5</v>
      </c>
      <c r="T231" s="22" t="n">
        <v>0.0127</v>
      </c>
      <c r="U231" s="22" t="n">
        <f aca="false">C231*1</f>
        <v>140</v>
      </c>
      <c r="V231" s="22" t="n">
        <f aca="false">VLOOKUP(U231,'Powder Core Toroid OD'!$A$2:$B$36,2,0)</f>
        <v>3.56</v>
      </c>
    </row>
    <row r="232" customFormat="false" ht="14.4" hidden="true" customHeight="false" outlineLevel="0" collapsed="false">
      <c r="A232" s="45" t="n">
        <v>55144</v>
      </c>
      <c r="B232" s="22" t="s">
        <v>300</v>
      </c>
      <c r="C232" s="23" t="n">
        <v>150</v>
      </c>
      <c r="D232" s="22" t="n">
        <v>173</v>
      </c>
      <c r="E232" s="22" t="s">
        <v>50</v>
      </c>
      <c r="F232" s="22" t="n">
        <v>48</v>
      </c>
      <c r="G232" s="22" t="s">
        <v>51</v>
      </c>
      <c r="H232" s="22" t="n">
        <v>0.942</v>
      </c>
      <c r="I232" s="22" t="n">
        <v>9.42</v>
      </c>
      <c r="J232" s="22" t="n">
        <v>0.068</v>
      </c>
      <c r="K232" s="22" t="n">
        <v>1.72</v>
      </c>
      <c r="L232" s="22" t="n">
        <v>0.18</v>
      </c>
      <c r="M232" s="22" t="n">
        <v>4.58</v>
      </c>
      <c r="N232" s="22" t="n">
        <v>0.125</v>
      </c>
      <c r="O232" s="22" t="n">
        <v>3.18</v>
      </c>
      <c r="P232" s="22" t="n">
        <v>0.0211</v>
      </c>
      <c r="Q232" s="22" t="n">
        <v>2.11</v>
      </c>
      <c r="R232" s="22" t="n">
        <v>0.0199</v>
      </c>
      <c r="S232" s="22" t="n">
        <v>19.9</v>
      </c>
      <c r="T232" s="22" t="n">
        <v>0.0232</v>
      </c>
      <c r="U232" s="22" t="n">
        <f aca="false">C232*1</f>
        <v>150</v>
      </c>
      <c r="V232" s="22" t="n">
        <f aca="false">VLOOKUP(U232,'Powder Core Toroid OD'!$A$2:$B$36,2,0)</f>
        <v>3.94</v>
      </c>
    </row>
    <row r="233" customFormat="false" ht="14.4" hidden="true" customHeight="false" outlineLevel="0" collapsed="false">
      <c r="A233" s="45" t="n">
        <v>55145</v>
      </c>
      <c r="B233" s="22" t="s">
        <v>301</v>
      </c>
      <c r="C233" s="23" t="n">
        <v>150</v>
      </c>
      <c r="D233" s="22" t="n">
        <v>300</v>
      </c>
      <c r="E233" s="22" t="s">
        <v>50</v>
      </c>
      <c r="F233" s="22" t="n">
        <v>84</v>
      </c>
      <c r="G233" s="22" t="s">
        <v>51</v>
      </c>
      <c r="H233" s="22" t="n">
        <v>0.942</v>
      </c>
      <c r="I233" s="22" t="n">
        <v>9.42</v>
      </c>
      <c r="J233" s="22" t="n">
        <v>0.068</v>
      </c>
      <c r="K233" s="22" t="n">
        <v>1.72</v>
      </c>
      <c r="L233" s="22" t="n">
        <v>0.18</v>
      </c>
      <c r="M233" s="22" t="n">
        <v>4.58</v>
      </c>
      <c r="N233" s="22" t="n">
        <v>0.125</v>
      </c>
      <c r="O233" s="22" t="n">
        <v>3.18</v>
      </c>
      <c r="P233" s="22" t="n">
        <v>0.0211</v>
      </c>
      <c r="Q233" s="22" t="n">
        <v>2.11</v>
      </c>
      <c r="R233" s="22" t="n">
        <v>0.0199</v>
      </c>
      <c r="S233" s="22" t="n">
        <v>19.9</v>
      </c>
      <c r="T233" s="22" t="n">
        <v>0.0232</v>
      </c>
      <c r="U233" s="22" t="n">
        <f aca="false">C233*1</f>
        <v>150</v>
      </c>
      <c r="V233" s="22" t="n">
        <f aca="false">VLOOKUP(U233,'Powder Core Toroid OD'!$A$2:$B$36,2,0)</f>
        <v>3.94</v>
      </c>
    </row>
    <row r="234" customFormat="false" ht="14.4" hidden="true" customHeight="false" outlineLevel="0" collapsed="false">
      <c r="A234" s="45" t="n">
        <v>55147</v>
      </c>
      <c r="B234" s="22" t="s">
        <v>302</v>
      </c>
      <c r="C234" s="23" t="n">
        <v>150</v>
      </c>
      <c r="D234" s="22" t="n">
        <v>200</v>
      </c>
      <c r="E234" s="22" t="s">
        <v>50</v>
      </c>
      <c r="F234" s="22" t="n">
        <v>56</v>
      </c>
      <c r="G234" s="22" t="s">
        <v>51</v>
      </c>
      <c r="H234" s="22" t="n">
        <v>0.942</v>
      </c>
      <c r="I234" s="22" t="n">
        <v>9.42</v>
      </c>
      <c r="J234" s="22" t="n">
        <v>0.068</v>
      </c>
      <c r="K234" s="22" t="n">
        <v>1.72</v>
      </c>
      <c r="L234" s="22" t="n">
        <v>0.18</v>
      </c>
      <c r="M234" s="22" t="n">
        <v>4.58</v>
      </c>
      <c r="N234" s="22" t="n">
        <v>0.125</v>
      </c>
      <c r="O234" s="22" t="n">
        <v>3.18</v>
      </c>
      <c r="P234" s="22" t="n">
        <v>0.0211</v>
      </c>
      <c r="Q234" s="22" t="n">
        <v>2.11</v>
      </c>
      <c r="R234" s="22" t="n">
        <v>0.0199</v>
      </c>
      <c r="S234" s="22" t="n">
        <v>19.9</v>
      </c>
      <c r="T234" s="22" t="n">
        <v>0.0232</v>
      </c>
      <c r="U234" s="22" t="n">
        <f aca="false">C234*1</f>
        <v>150</v>
      </c>
      <c r="V234" s="22" t="n">
        <f aca="false">VLOOKUP(U234,'Powder Core Toroid OD'!$A$2:$B$36,2,0)</f>
        <v>3.94</v>
      </c>
    </row>
    <row r="235" customFormat="false" ht="14.4" hidden="true" customHeight="false" outlineLevel="0" collapsed="false">
      <c r="A235" s="45" t="n">
        <v>55148</v>
      </c>
      <c r="B235" s="22" t="s">
        <v>303</v>
      </c>
      <c r="C235" s="23" t="n">
        <v>150</v>
      </c>
      <c r="D235" s="22" t="n">
        <v>160</v>
      </c>
      <c r="E235" s="22" t="s">
        <v>50</v>
      </c>
      <c r="F235" s="22" t="n">
        <v>45</v>
      </c>
      <c r="G235" s="22" t="s">
        <v>51</v>
      </c>
      <c r="H235" s="22" t="n">
        <v>0.942</v>
      </c>
      <c r="I235" s="22" t="n">
        <v>9.42</v>
      </c>
      <c r="J235" s="22" t="n">
        <v>0.068</v>
      </c>
      <c r="K235" s="22" t="n">
        <v>1.72</v>
      </c>
      <c r="L235" s="22" t="n">
        <v>0.18</v>
      </c>
      <c r="M235" s="22" t="n">
        <v>4.58</v>
      </c>
      <c r="N235" s="22" t="n">
        <v>0.125</v>
      </c>
      <c r="O235" s="22" t="n">
        <v>3.18</v>
      </c>
      <c r="P235" s="22" t="n">
        <v>0.0211</v>
      </c>
      <c r="Q235" s="22" t="n">
        <v>2.11</v>
      </c>
      <c r="R235" s="22" t="n">
        <v>0.0199</v>
      </c>
      <c r="S235" s="22" t="n">
        <v>19.9</v>
      </c>
      <c r="T235" s="22" t="n">
        <v>0.0232</v>
      </c>
      <c r="U235" s="22" t="n">
        <f aca="false">C235*1</f>
        <v>150</v>
      </c>
      <c r="V235" s="22" t="n">
        <f aca="false">VLOOKUP(U235,'Powder Core Toroid OD'!$A$2:$B$36,2,0)</f>
        <v>3.94</v>
      </c>
    </row>
    <row r="236" customFormat="false" ht="14.4" hidden="true" customHeight="false" outlineLevel="0" collapsed="false">
      <c r="A236" s="45" t="n">
        <v>55149</v>
      </c>
      <c r="B236" s="22" t="s">
        <v>304</v>
      </c>
      <c r="C236" s="23" t="n">
        <v>150</v>
      </c>
      <c r="D236" s="22" t="n">
        <v>147</v>
      </c>
      <c r="E236" s="22" t="s">
        <v>50</v>
      </c>
      <c r="F236" s="22" t="n">
        <v>41</v>
      </c>
      <c r="G236" s="22" t="s">
        <v>51</v>
      </c>
      <c r="H236" s="22" t="n">
        <v>0.942</v>
      </c>
      <c r="I236" s="22" t="n">
        <v>9.42</v>
      </c>
      <c r="J236" s="22" t="n">
        <v>0.068</v>
      </c>
      <c r="K236" s="22" t="n">
        <v>1.72</v>
      </c>
      <c r="L236" s="22" t="n">
        <v>0.18</v>
      </c>
      <c r="M236" s="22" t="n">
        <v>4.58</v>
      </c>
      <c r="N236" s="22" t="n">
        <v>0.125</v>
      </c>
      <c r="O236" s="22" t="n">
        <v>3.18</v>
      </c>
      <c r="P236" s="22" t="n">
        <v>0.0211</v>
      </c>
      <c r="Q236" s="22" t="n">
        <v>2.11</v>
      </c>
      <c r="R236" s="22" t="n">
        <v>0.0199</v>
      </c>
      <c r="S236" s="22" t="n">
        <v>19.9</v>
      </c>
      <c r="T236" s="22" t="n">
        <v>0.0232</v>
      </c>
      <c r="U236" s="22" t="n">
        <f aca="false">C236*1</f>
        <v>150</v>
      </c>
      <c r="V236" s="22" t="n">
        <f aca="false">VLOOKUP(U236,'Powder Core Toroid OD'!$A$2:$B$36,2,0)</f>
        <v>3.94</v>
      </c>
    </row>
    <row r="237" customFormat="false" ht="14.4" hidden="true" customHeight="false" outlineLevel="0" collapsed="false">
      <c r="A237" s="45" t="n">
        <v>55150</v>
      </c>
      <c r="B237" s="22" t="s">
        <v>305</v>
      </c>
      <c r="C237" s="23" t="n">
        <v>150</v>
      </c>
      <c r="D237" s="22" t="n">
        <v>125</v>
      </c>
      <c r="E237" s="22" t="s">
        <v>50</v>
      </c>
      <c r="F237" s="22" t="n">
        <v>35</v>
      </c>
      <c r="G237" s="22" t="s">
        <v>51</v>
      </c>
      <c r="H237" s="22" t="n">
        <v>0.942</v>
      </c>
      <c r="I237" s="22" t="n">
        <v>9.42</v>
      </c>
      <c r="J237" s="22" t="n">
        <v>0.068</v>
      </c>
      <c r="K237" s="22" t="n">
        <v>1.72</v>
      </c>
      <c r="L237" s="22" t="n">
        <v>0.18</v>
      </c>
      <c r="M237" s="22" t="n">
        <v>4.58</v>
      </c>
      <c r="N237" s="22" t="n">
        <v>0.125</v>
      </c>
      <c r="O237" s="22" t="n">
        <v>3.18</v>
      </c>
      <c r="P237" s="22" t="n">
        <v>0.0211</v>
      </c>
      <c r="Q237" s="22" t="n">
        <v>2.11</v>
      </c>
      <c r="R237" s="22" t="n">
        <v>0.0199</v>
      </c>
      <c r="S237" s="22" t="n">
        <v>19.9</v>
      </c>
      <c r="T237" s="22" t="n">
        <v>0.0232</v>
      </c>
      <c r="U237" s="22" t="n">
        <f aca="false">C237*1</f>
        <v>150</v>
      </c>
      <c r="V237" s="22" t="n">
        <f aca="false">VLOOKUP(U237,'Powder Core Toroid OD'!$A$2:$B$36,2,0)</f>
        <v>3.94</v>
      </c>
    </row>
    <row r="238" customFormat="false" ht="14.4" hidden="true" customHeight="false" outlineLevel="0" collapsed="false">
      <c r="A238" s="45" t="n">
        <v>55174</v>
      </c>
      <c r="B238" s="22" t="s">
        <v>306</v>
      </c>
      <c r="C238" s="23" t="n">
        <v>180</v>
      </c>
      <c r="D238" s="22" t="n">
        <v>173</v>
      </c>
      <c r="E238" s="22" t="s">
        <v>50</v>
      </c>
      <c r="F238" s="22" t="n">
        <v>57</v>
      </c>
      <c r="G238" s="22" t="s">
        <v>51</v>
      </c>
      <c r="H238" s="22" t="n">
        <v>1.06</v>
      </c>
      <c r="I238" s="22" t="n">
        <v>10.6</v>
      </c>
      <c r="J238" s="22" t="n">
        <v>0.073</v>
      </c>
      <c r="K238" s="22" t="n">
        <v>1.85</v>
      </c>
      <c r="L238" s="22" t="n">
        <v>0.208</v>
      </c>
      <c r="M238" s="22" t="n">
        <v>5.29</v>
      </c>
      <c r="N238" s="22" t="n">
        <v>0.125</v>
      </c>
      <c r="O238" s="22" t="n">
        <v>3.18</v>
      </c>
      <c r="P238" s="22" t="n">
        <v>0.0285</v>
      </c>
      <c r="Q238" s="22" t="n">
        <v>2.85</v>
      </c>
      <c r="R238" s="22" t="n">
        <v>0.0303</v>
      </c>
      <c r="S238" s="22" t="n">
        <v>30.3</v>
      </c>
      <c r="T238" s="22" t="n">
        <v>0.0269</v>
      </c>
      <c r="U238" s="22" t="n">
        <f aca="false">C238*1</f>
        <v>180</v>
      </c>
      <c r="V238" s="22" t="n">
        <f aca="false">VLOOKUP(U238,'Powder Core Toroid OD'!$A$2:$B$36,2,0)</f>
        <v>4.65</v>
      </c>
    </row>
    <row r="239" customFormat="false" ht="14.4" hidden="true" customHeight="false" outlineLevel="0" collapsed="false">
      <c r="A239" s="45" t="n">
        <v>55175</v>
      </c>
      <c r="B239" s="22" t="s">
        <v>307</v>
      </c>
      <c r="C239" s="23" t="n">
        <v>180</v>
      </c>
      <c r="D239" s="22" t="n">
        <v>300</v>
      </c>
      <c r="E239" s="22" t="s">
        <v>50</v>
      </c>
      <c r="F239" s="22" t="n">
        <v>99</v>
      </c>
      <c r="G239" s="22" t="s">
        <v>51</v>
      </c>
      <c r="H239" s="22" t="n">
        <v>1.06</v>
      </c>
      <c r="I239" s="22" t="n">
        <v>10.6</v>
      </c>
      <c r="J239" s="22" t="n">
        <v>0.073</v>
      </c>
      <c r="K239" s="22" t="n">
        <v>1.85</v>
      </c>
      <c r="L239" s="22" t="n">
        <v>0.208</v>
      </c>
      <c r="M239" s="22" t="n">
        <v>5.29</v>
      </c>
      <c r="N239" s="22" t="n">
        <v>0.125</v>
      </c>
      <c r="O239" s="22" t="n">
        <v>3.18</v>
      </c>
      <c r="P239" s="22" t="n">
        <v>0.0285</v>
      </c>
      <c r="Q239" s="22" t="n">
        <v>2.85</v>
      </c>
      <c r="R239" s="22" t="n">
        <v>0.0303</v>
      </c>
      <c r="S239" s="22" t="n">
        <v>30.3</v>
      </c>
      <c r="T239" s="22" t="n">
        <v>0.0269</v>
      </c>
      <c r="U239" s="22" t="n">
        <f aca="false">C239*1</f>
        <v>180</v>
      </c>
      <c r="V239" s="22" t="n">
        <f aca="false">VLOOKUP(U239,'Powder Core Toroid OD'!$A$2:$B$36,2,0)</f>
        <v>4.65</v>
      </c>
    </row>
    <row r="240" customFormat="false" ht="14.4" hidden="true" customHeight="false" outlineLevel="0" collapsed="false">
      <c r="A240" s="45" t="n">
        <v>55177</v>
      </c>
      <c r="B240" s="22" t="s">
        <v>308</v>
      </c>
      <c r="C240" s="23" t="n">
        <v>180</v>
      </c>
      <c r="D240" s="22" t="n">
        <v>200</v>
      </c>
      <c r="E240" s="22" t="s">
        <v>50</v>
      </c>
      <c r="F240" s="22" t="n">
        <v>67</v>
      </c>
      <c r="G240" s="22" t="s">
        <v>51</v>
      </c>
      <c r="H240" s="22" t="n">
        <v>1.06</v>
      </c>
      <c r="I240" s="22" t="n">
        <v>10.6</v>
      </c>
      <c r="J240" s="22" t="n">
        <v>0.073</v>
      </c>
      <c r="K240" s="22" t="n">
        <v>1.85</v>
      </c>
      <c r="L240" s="22" t="n">
        <v>0.208</v>
      </c>
      <c r="M240" s="22" t="n">
        <v>5.29</v>
      </c>
      <c r="N240" s="22" t="n">
        <v>0.125</v>
      </c>
      <c r="O240" s="22" t="n">
        <v>3.18</v>
      </c>
      <c r="P240" s="22" t="n">
        <v>0.0285</v>
      </c>
      <c r="Q240" s="22" t="n">
        <v>2.85</v>
      </c>
      <c r="R240" s="22" t="n">
        <v>0.0303</v>
      </c>
      <c r="S240" s="22" t="n">
        <v>30.3</v>
      </c>
      <c r="T240" s="22" t="n">
        <v>0.0269</v>
      </c>
      <c r="U240" s="22" t="n">
        <f aca="false">C240*1</f>
        <v>180</v>
      </c>
      <c r="V240" s="22" t="n">
        <f aca="false">VLOOKUP(U240,'Powder Core Toroid OD'!$A$2:$B$36,2,0)</f>
        <v>4.65</v>
      </c>
    </row>
    <row r="241" customFormat="false" ht="14.4" hidden="true" customHeight="false" outlineLevel="0" collapsed="false">
      <c r="A241" s="45" t="n">
        <v>55178</v>
      </c>
      <c r="B241" s="22" t="s">
        <v>309</v>
      </c>
      <c r="C241" s="23" t="n">
        <v>180</v>
      </c>
      <c r="D241" s="22" t="n">
        <v>160</v>
      </c>
      <c r="E241" s="22" t="s">
        <v>50</v>
      </c>
      <c r="F241" s="22" t="n">
        <v>53</v>
      </c>
      <c r="G241" s="22" t="s">
        <v>51</v>
      </c>
      <c r="H241" s="22" t="n">
        <v>1.06</v>
      </c>
      <c r="I241" s="22" t="n">
        <v>10.6</v>
      </c>
      <c r="J241" s="22" t="n">
        <v>0.073</v>
      </c>
      <c r="K241" s="22" t="n">
        <v>1.85</v>
      </c>
      <c r="L241" s="22" t="n">
        <v>0.208</v>
      </c>
      <c r="M241" s="22" t="n">
        <v>5.29</v>
      </c>
      <c r="N241" s="22" t="n">
        <v>0.125</v>
      </c>
      <c r="O241" s="22" t="n">
        <v>3.18</v>
      </c>
      <c r="P241" s="22" t="n">
        <v>0.0285</v>
      </c>
      <c r="Q241" s="22" t="n">
        <v>2.85</v>
      </c>
      <c r="R241" s="22" t="n">
        <v>0.0303</v>
      </c>
      <c r="S241" s="22" t="n">
        <v>30.3</v>
      </c>
      <c r="T241" s="22" t="n">
        <v>0.0269</v>
      </c>
      <c r="U241" s="22" t="n">
        <f aca="false">C241*1</f>
        <v>180</v>
      </c>
      <c r="V241" s="22" t="n">
        <f aca="false">VLOOKUP(U241,'Powder Core Toroid OD'!$A$2:$B$36,2,0)</f>
        <v>4.65</v>
      </c>
    </row>
    <row r="242" customFormat="false" ht="14.4" hidden="true" customHeight="false" outlineLevel="0" collapsed="false">
      <c r="A242" s="45" t="n">
        <v>55179</v>
      </c>
      <c r="B242" s="22" t="s">
        <v>310</v>
      </c>
      <c r="C242" s="23" t="n">
        <v>180</v>
      </c>
      <c r="D242" s="22" t="n">
        <v>147</v>
      </c>
      <c r="E242" s="22" t="s">
        <v>50</v>
      </c>
      <c r="F242" s="22" t="n">
        <v>49</v>
      </c>
      <c r="G242" s="22" t="s">
        <v>51</v>
      </c>
      <c r="H242" s="22" t="n">
        <v>1.06</v>
      </c>
      <c r="I242" s="22" t="n">
        <v>10.6</v>
      </c>
      <c r="J242" s="22" t="n">
        <v>0.073</v>
      </c>
      <c r="K242" s="22" t="n">
        <v>1.85</v>
      </c>
      <c r="L242" s="22" t="n">
        <v>0.208</v>
      </c>
      <c r="M242" s="22" t="n">
        <v>5.29</v>
      </c>
      <c r="N242" s="22" t="n">
        <v>0.125</v>
      </c>
      <c r="O242" s="22" t="n">
        <v>3.18</v>
      </c>
      <c r="P242" s="22" t="n">
        <v>0.0285</v>
      </c>
      <c r="Q242" s="22" t="n">
        <v>2.85</v>
      </c>
      <c r="R242" s="22" t="n">
        <v>0.0303</v>
      </c>
      <c r="S242" s="22" t="n">
        <v>30.3</v>
      </c>
      <c r="T242" s="22" t="n">
        <v>0.0269</v>
      </c>
      <c r="U242" s="22" t="n">
        <f aca="false">C242*1</f>
        <v>180</v>
      </c>
      <c r="V242" s="22" t="n">
        <f aca="false">VLOOKUP(U242,'Powder Core Toroid OD'!$A$2:$B$36,2,0)</f>
        <v>4.65</v>
      </c>
    </row>
    <row r="243" customFormat="false" ht="14.4" hidden="true" customHeight="false" outlineLevel="0" collapsed="false">
      <c r="A243" s="45" t="n">
        <v>55180</v>
      </c>
      <c r="B243" s="22" t="s">
        <v>311</v>
      </c>
      <c r="C243" s="23" t="n">
        <v>180</v>
      </c>
      <c r="D243" s="22" t="n">
        <v>125</v>
      </c>
      <c r="E243" s="22" t="s">
        <v>50</v>
      </c>
      <c r="F243" s="22" t="n">
        <v>42</v>
      </c>
      <c r="G243" s="22" t="s">
        <v>51</v>
      </c>
      <c r="H243" s="22" t="n">
        <v>1.06</v>
      </c>
      <c r="I243" s="22" t="n">
        <v>10.6</v>
      </c>
      <c r="J243" s="22" t="n">
        <v>0.073</v>
      </c>
      <c r="K243" s="22" t="n">
        <v>1.85</v>
      </c>
      <c r="L243" s="22" t="n">
        <v>0.208</v>
      </c>
      <c r="M243" s="22" t="n">
        <v>5.29</v>
      </c>
      <c r="N243" s="22" t="n">
        <v>0.125</v>
      </c>
      <c r="O243" s="22" t="n">
        <v>3.18</v>
      </c>
      <c r="P243" s="22" t="n">
        <v>0.0285</v>
      </c>
      <c r="Q243" s="22" t="n">
        <v>2.85</v>
      </c>
      <c r="R243" s="22" t="n">
        <v>0.0303</v>
      </c>
      <c r="S243" s="22" t="n">
        <v>30.3</v>
      </c>
      <c r="T243" s="22" t="n">
        <v>0.0269</v>
      </c>
      <c r="U243" s="22" t="n">
        <f aca="false">C243*1</f>
        <v>180</v>
      </c>
      <c r="V243" s="22" t="n">
        <f aca="false">VLOOKUP(U243,'Powder Core Toroid OD'!$A$2:$B$36,2,0)</f>
        <v>4.65</v>
      </c>
    </row>
    <row r="244" customFormat="false" ht="14.4" hidden="true" customHeight="false" outlineLevel="0" collapsed="false">
      <c r="A244" s="45" t="n">
        <v>55181</v>
      </c>
      <c r="B244" s="22" t="s">
        <v>312</v>
      </c>
      <c r="C244" s="23" t="n">
        <v>180</v>
      </c>
      <c r="D244" s="22" t="n">
        <v>60</v>
      </c>
      <c r="E244" s="22" t="s">
        <v>50</v>
      </c>
      <c r="F244" s="22" t="n">
        <v>20</v>
      </c>
      <c r="G244" s="22" t="s">
        <v>51</v>
      </c>
      <c r="H244" s="22" t="n">
        <v>1.06</v>
      </c>
      <c r="I244" s="22" t="n">
        <v>10.6</v>
      </c>
      <c r="J244" s="22" t="n">
        <v>0.073</v>
      </c>
      <c r="K244" s="22" t="n">
        <v>1.85</v>
      </c>
      <c r="L244" s="22" t="n">
        <v>0.208</v>
      </c>
      <c r="M244" s="22" t="n">
        <v>5.29</v>
      </c>
      <c r="N244" s="22" t="n">
        <v>0.125</v>
      </c>
      <c r="O244" s="22" t="n">
        <v>3.18</v>
      </c>
      <c r="P244" s="22" t="n">
        <v>0.0285</v>
      </c>
      <c r="Q244" s="22" t="n">
        <v>2.85</v>
      </c>
      <c r="R244" s="22" t="n">
        <v>0.0303</v>
      </c>
      <c r="S244" s="22" t="n">
        <v>30.3</v>
      </c>
      <c r="T244" s="22" t="n">
        <v>0.0269</v>
      </c>
      <c r="U244" s="22" t="n">
        <f aca="false">C244*1</f>
        <v>180</v>
      </c>
      <c r="V244" s="22" t="n">
        <f aca="false">VLOOKUP(U244,'Powder Core Toroid OD'!$A$2:$B$36,2,0)</f>
        <v>4.65</v>
      </c>
    </row>
    <row r="245" customFormat="false" ht="14.4" hidden="true" customHeight="false" outlineLevel="0" collapsed="false">
      <c r="A245" s="45" t="n">
        <v>55190</v>
      </c>
      <c r="B245" s="22" t="s">
        <v>313</v>
      </c>
      <c r="C245" s="23" t="n">
        <v>195</v>
      </c>
      <c r="D245" s="22" t="n">
        <v>14</v>
      </c>
      <c r="E245" s="22" t="s">
        <v>50</v>
      </c>
      <c r="F245" s="22" t="n">
        <v>32</v>
      </c>
      <c r="G245" s="22" t="s">
        <v>51</v>
      </c>
      <c r="H245" s="22" t="n">
        <v>12.5</v>
      </c>
      <c r="I245" s="22" t="n">
        <v>125</v>
      </c>
      <c r="J245" s="22" t="n">
        <v>1.007</v>
      </c>
      <c r="K245" s="22" t="n">
        <v>25.57</v>
      </c>
      <c r="L245" s="22" t="n">
        <v>2.285</v>
      </c>
      <c r="M245" s="22" t="n">
        <v>58.04</v>
      </c>
      <c r="N245" s="22" t="n">
        <v>0.635</v>
      </c>
      <c r="O245" s="22" t="n">
        <v>16.2</v>
      </c>
      <c r="P245" s="22" t="n">
        <v>2.29</v>
      </c>
      <c r="Q245" s="22" t="n">
        <v>229</v>
      </c>
      <c r="R245" s="22" t="n">
        <v>28.6</v>
      </c>
      <c r="S245" s="22" t="n">
        <v>28600</v>
      </c>
      <c r="T245" s="22" t="n">
        <v>5.14</v>
      </c>
      <c r="U245" s="22" t="n">
        <f aca="false">C245*1</f>
        <v>195</v>
      </c>
      <c r="V245" s="22" t="n">
        <f aca="false">VLOOKUP(U245,'Powder Core Toroid OD'!$A$2:$B$36,2,0)</f>
        <v>57.2</v>
      </c>
    </row>
    <row r="246" customFormat="false" ht="14.4" hidden="true" customHeight="false" outlineLevel="0" collapsed="false">
      <c r="A246" s="45" t="n">
        <v>55191</v>
      </c>
      <c r="B246" s="22" t="s">
        <v>314</v>
      </c>
      <c r="C246" s="23" t="n">
        <v>195</v>
      </c>
      <c r="D246" s="22" t="n">
        <v>26</v>
      </c>
      <c r="E246" s="22" t="s">
        <v>50</v>
      </c>
      <c r="F246" s="22" t="n">
        <v>60</v>
      </c>
      <c r="G246" s="22" t="s">
        <v>51</v>
      </c>
      <c r="H246" s="22" t="n">
        <v>12.5</v>
      </c>
      <c r="I246" s="22" t="n">
        <v>125</v>
      </c>
      <c r="J246" s="22" t="n">
        <v>1.007</v>
      </c>
      <c r="K246" s="22" t="n">
        <v>25.57</v>
      </c>
      <c r="L246" s="22" t="n">
        <v>2.285</v>
      </c>
      <c r="M246" s="22" t="n">
        <v>58.04</v>
      </c>
      <c r="N246" s="22" t="n">
        <v>0.635</v>
      </c>
      <c r="O246" s="22" t="n">
        <v>16.2</v>
      </c>
      <c r="P246" s="22" t="n">
        <v>2.29</v>
      </c>
      <c r="Q246" s="22" t="n">
        <v>229</v>
      </c>
      <c r="R246" s="22" t="n">
        <v>28.6</v>
      </c>
      <c r="S246" s="22" t="n">
        <v>28600</v>
      </c>
      <c r="T246" s="22" t="n">
        <v>5.14</v>
      </c>
      <c r="U246" s="22" t="n">
        <f aca="false">C246*1</f>
        <v>195</v>
      </c>
      <c r="V246" s="22" t="n">
        <f aca="false">VLOOKUP(U246,'Powder Core Toroid OD'!$A$2:$B$36,2,0)</f>
        <v>57.2</v>
      </c>
    </row>
    <row r="247" customFormat="false" ht="14.4" hidden="true" customHeight="false" outlineLevel="0" collapsed="false">
      <c r="A247" s="45" t="n">
        <v>55192</v>
      </c>
      <c r="B247" s="22" t="s">
        <v>315</v>
      </c>
      <c r="C247" s="23" t="n">
        <v>195</v>
      </c>
      <c r="D247" s="22" t="n">
        <v>60</v>
      </c>
      <c r="E247" s="22" t="s">
        <v>50</v>
      </c>
      <c r="F247" s="22" t="n">
        <v>138</v>
      </c>
      <c r="G247" s="22" t="s">
        <v>51</v>
      </c>
      <c r="H247" s="22" t="n">
        <v>12.5</v>
      </c>
      <c r="I247" s="22" t="n">
        <v>125</v>
      </c>
      <c r="J247" s="22" t="n">
        <v>1.007</v>
      </c>
      <c r="K247" s="22" t="n">
        <v>25.57</v>
      </c>
      <c r="L247" s="22" t="n">
        <v>2.285</v>
      </c>
      <c r="M247" s="22" t="n">
        <v>58.04</v>
      </c>
      <c r="N247" s="22" t="n">
        <v>0.635</v>
      </c>
      <c r="O247" s="22" t="n">
        <v>16.2</v>
      </c>
      <c r="P247" s="22" t="n">
        <v>2.29</v>
      </c>
      <c r="Q247" s="22" t="n">
        <v>229</v>
      </c>
      <c r="R247" s="22" t="n">
        <v>28.6</v>
      </c>
      <c r="S247" s="22" t="n">
        <v>28600</v>
      </c>
      <c r="T247" s="22" t="n">
        <v>5.14</v>
      </c>
      <c r="U247" s="22" t="n">
        <f aca="false">C247*1</f>
        <v>195</v>
      </c>
      <c r="V247" s="22" t="n">
        <f aca="false">VLOOKUP(U247,'Powder Core Toroid OD'!$A$2:$B$36,2,0)</f>
        <v>57.2</v>
      </c>
    </row>
    <row r="248" customFormat="false" ht="14.4" hidden="true" customHeight="false" outlineLevel="0" collapsed="false">
      <c r="A248" s="45" t="n">
        <v>55200</v>
      </c>
      <c r="B248" s="22" t="s">
        <v>316</v>
      </c>
      <c r="C248" s="23" t="n">
        <v>206</v>
      </c>
      <c r="D248" s="22" t="n">
        <v>173</v>
      </c>
      <c r="E248" s="22" t="s">
        <v>50</v>
      </c>
      <c r="F248" s="22" t="n">
        <v>96</v>
      </c>
      <c r="G248" s="22" t="s">
        <v>51</v>
      </c>
      <c r="H248" s="22" t="n">
        <v>5.09</v>
      </c>
      <c r="I248" s="22" t="n">
        <v>50.9</v>
      </c>
      <c r="J248" s="22" t="n">
        <v>0.475</v>
      </c>
      <c r="K248" s="36" t="n">
        <v>12</v>
      </c>
      <c r="L248" s="43" t="n">
        <v>0.83</v>
      </c>
      <c r="M248" s="22" t="n">
        <v>21.1</v>
      </c>
      <c r="N248" s="43" t="n">
        <v>0.28</v>
      </c>
      <c r="O248" s="22" t="n">
        <v>7.12</v>
      </c>
      <c r="P248" s="22" t="n">
        <v>0.221</v>
      </c>
      <c r="Q248" s="22" t="n">
        <v>22.1</v>
      </c>
      <c r="R248" s="42" t="n">
        <v>1.12</v>
      </c>
      <c r="S248" s="22" t="n">
        <v>1120</v>
      </c>
      <c r="T248" s="22" t="n">
        <v>1.14</v>
      </c>
      <c r="U248" s="22" t="n">
        <f aca="false">C248*1</f>
        <v>206</v>
      </c>
      <c r="V248" s="22" t="n">
        <f aca="false">VLOOKUP(U248,'Powder Core Toroid OD'!$A$2:$B$36,2,0)</f>
        <v>20.3</v>
      </c>
    </row>
    <row r="249" customFormat="false" ht="14.4" hidden="true" customHeight="false" outlineLevel="0" collapsed="false">
      <c r="A249" s="45" t="n">
        <v>55201</v>
      </c>
      <c r="B249" s="22" t="s">
        <v>317</v>
      </c>
      <c r="C249" s="23" t="n">
        <v>206</v>
      </c>
      <c r="D249" s="22" t="n">
        <v>300</v>
      </c>
      <c r="E249" s="22" t="s">
        <v>50</v>
      </c>
      <c r="F249" s="22" t="n">
        <v>163</v>
      </c>
      <c r="G249" s="22" t="s">
        <v>51</v>
      </c>
      <c r="H249" s="22" t="n">
        <v>5.09</v>
      </c>
      <c r="I249" s="22" t="n">
        <v>50.9</v>
      </c>
      <c r="J249" s="22" t="n">
        <v>0.475</v>
      </c>
      <c r="K249" s="36" t="n">
        <v>12</v>
      </c>
      <c r="L249" s="43" t="n">
        <v>0.83</v>
      </c>
      <c r="M249" s="22" t="n">
        <v>21.1</v>
      </c>
      <c r="N249" s="43" t="n">
        <v>0.28</v>
      </c>
      <c r="O249" s="22" t="n">
        <v>7.12</v>
      </c>
      <c r="P249" s="22" t="n">
        <v>0.221</v>
      </c>
      <c r="Q249" s="22" t="n">
        <v>22.1</v>
      </c>
      <c r="R249" s="42" t="n">
        <v>1.12</v>
      </c>
      <c r="S249" s="22" t="n">
        <v>1120</v>
      </c>
      <c r="T249" s="22" t="n">
        <v>1.14</v>
      </c>
      <c r="U249" s="22" t="n">
        <f aca="false">C249*1</f>
        <v>206</v>
      </c>
      <c r="V249" s="22" t="n">
        <f aca="false">VLOOKUP(U249,'Powder Core Toroid OD'!$A$2:$B$36,2,0)</f>
        <v>20.3</v>
      </c>
    </row>
    <row r="250" customFormat="false" ht="14.4" hidden="true" customHeight="false" outlineLevel="0" collapsed="false">
      <c r="A250" s="45" t="n">
        <v>55202</v>
      </c>
      <c r="B250" s="22" t="s">
        <v>318</v>
      </c>
      <c r="C250" s="23" t="n">
        <v>206</v>
      </c>
      <c r="D250" s="22" t="n">
        <v>550</v>
      </c>
      <c r="E250" s="22" t="s">
        <v>50</v>
      </c>
      <c r="F250" s="22" t="n">
        <v>320</v>
      </c>
      <c r="G250" s="22" t="s">
        <v>51</v>
      </c>
      <c r="H250" s="22" t="n">
        <v>5.09</v>
      </c>
      <c r="I250" s="22" t="n">
        <v>50.9</v>
      </c>
      <c r="J250" s="22" t="n">
        <v>0.475</v>
      </c>
      <c r="K250" s="36" t="n">
        <v>12</v>
      </c>
      <c r="L250" s="43" t="n">
        <v>0.83</v>
      </c>
      <c r="M250" s="22" t="n">
        <v>21.1</v>
      </c>
      <c r="N250" s="43" t="n">
        <v>0.28</v>
      </c>
      <c r="O250" s="22" t="n">
        <v>7.12</v>
      </c>
      <c r="P250" s="22" t="n">
        <v>0.221</v>
      </c>
      <c r="Q250" s="22" t="n">
        <v>22.1</v>
      </c>
      <c r="R250" s="42" t="n">
        <v>1.12</v>
      </c>
      <c r="S250" s="22" t="n">
        <v>1120</v>
      </c>
      <c r="T250" s="22" t="n">
        <v>1.14</v>
      </c>
      <c r="U250" s="22" t="n">
        <f aca="false">C250*1</f>
        <v>206</v>
      </c>
      <c r="V250" s="22" t="n">
        <f aca="false">VLOOKUP(U250,'Powder Core Toroid OD'!$A$2:$B$36,2,0)</f>
        <v>20.3</v>
      </c>
    </row>
    <row r="251" customFormat="false" ht="14.4" hidden="true" customHeight="false" outlineLevel="0" collapsed="false">
      <c r="A251" s="45" t="n">
        <v>55203</v>
      </c>
      <c r="B251" s="22" t="s">
        <v>319</v>
      </c>
      <c r="C251" s="23" t="n">
        <v>206</v>
      </c>
      <c r="D251" s="22" t="n">
        <v>200</v>
      </c>
      <c r="E251" s="22" t="s">
        <v>50</v>
      </c>
      <c r="F251" s="22" t="n">
        <v>109</v>
      </c>
      <c r="G251" s="22" t="s">
        <v>51</v>
      </c>
      <c r="H251" s="22" t="n">
        <v>5.09</v>
      </c>
      <c r="I251" s="22" t="n">
        <v>50.9</v>
      </c>
      <c r="J251" s="22" t="n">
        <v>0.475</v>
      </c>
      <c r="K251" s="36" t="n">
        <v>12</v>
      </c>
      <c r="L251" s="43" t="n">
        <v>0.83</v>
      </c>
      <c r="M251" s="22" t="n">
        <v>21.1</v>
      </c>
      <c r="N251" s="43" t="n">
        <v>0.28</v>
      </c>
      <c r="O251" s="22" t="n">
        <v>7.12</v>
      </c>
      <c r="P251" s="22" t="n">
        <v>0.221</v>
      </c>
      <c r="Q251" s="22" t="n">
        <v>22.1</v>
      </c>
      <c r="R251" s="42" t="n">
        <v>1.12</v>
      </c>
      <c r="S251" s="22" t="n">
        <v>1120</v>
      </c>
      <c r="T251" s="22" t="n">
        <v>1.14</v>
      </c>
      <c r="U251" s="22" t="n">
        <f aca="false">C251*1</f>
        <v>206</v>
      </c>
      <c r="V251" s="22" t="n">
        <f aca="false">VLOOKUP(U251,'Powder Core Toroid OD'!$A$2:$B$36,2,0)</f>
        <v>20.3</v>
      </c>
    </row>
    <row r="252" customFormat="false" ht="14.4" hidden="true" customHeight="false" outlineLevel="0" collapsed="false">
      <c r="A252" s="45" t="n">
        <v>55204</v>
      </c>
      <c r="B252" s="22" t="s">
        <v>320</v>
      </c>
      <c r="C252" s="23" t="n">
        <v>206</v>
      </c>
      <c r="D252" s="22" t="n">
        <v>160</v>
      </c>
      <c r="E252" s="22" t="s">
        <v>50</v>
      </c>
      <c r="F252" s="22" t="n">
        <v>87</v>
      </c>
      <c r="G252" s="22" t="s">
        <v>51</v>
      </c>
      <c r="H252" s="22" t="n">
        <v>5.09</v>
      </c>
      <c r="I252" s="22" t="n">
        <v>50.9</v>
      </c>
      <c r="J252" s="22" t="n">
        <v>0.475</v>
      </c>
      <c r="K252" s="36" t="n">
        <v>12</v>
      </c>
      <c r="L252" s="43" t="n">
        <v>0.83</v>
      </c>
      <c r="M252" s="22" t="n">
        <v>21.1</v>
      </c>
      <c r="N252" s="43" t="n">
        <v>0.28</v>
      </c>
      <c r="O252" s="22" t="n">
        <v>7.12</v>
      </c>
      <c r="P252" s="22" t="n">
        <v>0.221</v>
      </c>
      <c r="Q252" s="22" t="n">
        <v>22.1</v>
      </c>
      <c r="R252" s="42" t="n">
        <v>1.12</v>
      </c>
      <c r="S252" s="22" t="n">
        <v>1120</v>
      </c>
      <c r="T252" s="22" t="n">
        <v>1.14</v>
      </c>
      <c r="U252" s="22" t="n">
        <f aca="false">C252*1</f>
        <v>206</v>
      </c>
      <c r="V252" s="22" t="n">
        <f aca="false">VLOOKUP(U252,'Powder Core Toroid OD'!$A$2:$B$36,2,0)</f>
        <v>20.3</v>
      </c>
    </row>
    <row r="253" customFormat="false" ht="14.4" hidden="true" customHeight="false" outlineLevel="0" collapsed="false">
      <c r="A253" s="45" t="n">
        <v>55205</v>
      </c>
      <c r="B253" s="22" t="s">
        <v>321</v>
      </c>
      <c r="C253" s="23" t="n">
        <v>206</v>
      </c>
      <c r="D253" s="22" t="n">
        <v>147</v>
      </c>
      <c r="E253" s="22" t="s">
        <v>50</v>
      </c>
      <c r="F253" s="22" t="n">
        <v>81</v>
      </c>
      <c r="G253" s="22" t="s">
        <v>51</v>
      </c>
      <c r="H253" s="22" t="n">
        <v>5.09</v>
      </c>
      <c r="I253" s="22" t="n">
        <v>50.9</v>
      </c>
      <c r="J253" s="22" t="n">
        <v>0.475</v>
      </c>
      <c r="K253" s="36" t="n">
        <v>12</v>
      </c>
      <c r="L253" s="43" t="n">
        <v>0.83</v>
      </c>
      <c r="M253" s="22" t="n">
        <v>21.1</v>
      </c>
      <c r="N253" s="43" t="n">
        <v>0.28</v>
      </c>
      <c r="O253" s="22" t="n">
        <v>7.12</v>
      </c>
      <c r="P253" s="22" t="n">
        <v>0.221</v>
      </c>
      <c r="Q253" s="22" t="n">
        <v>22.1</v>
      </c>
      <c r="R253" s="42" t="n">
        <v>1.12</v>
      </c>
      <c r="S253" s="22" t="n">
        <v>1120</v>
      </c>
      <c r="T253" s="22" t="n">
        <v>1.14</v>
      </c>
      <c r="U253" s="22" t="n">
        <f aca="false">C253*1</f>
        <v>206</v>
      </c>
      <c r="V253" s="22" t="n">
        <f aca="false">VLOOKUP(U253,'Powder Core Toroid OD'!$A$2:$B$36,2,0)</f>
        <v>20.3</v>
      </c>
    </row>
    <row r="254" customFormat="false" ht="14.4" hidden="true" customHeight="false" outlineLevel="0" collapsed="false">
      <c r="A254" s="45" t="n">
        <v>55206</v>
      </c>
      <c r="B254" s="22" t="s">
        <v>322</v>
      </c>
      <c r="C254" s="23" t="n">
        <v>206</v>
      </c>
      <c r="D254" s="22" t="n">
        <v>125</v>
      </c>
      <c r="E254" s="22" t="s">
        <v>50</v>
      </c>
      <c r="F254" s="22" t="n">
        <v>68</v>
      </c>
      <c r="G254" s="22" t="s">
        <v>51</v>
      </c>
      <c r="H254" s="22" t="n">
        <v>5.09</v>
      </c>
      <c r="I254" s="22" t="n">
        <v>50.9</v>
      </c>
      <c r="J254" s="22" t="n">
        <v>0.475</v>
      </c>
      <c r="K254" s="36" t="n">
        <v>12</v>
      </c>
      <c r="L254" s="43" t="n">
        <v>0.83</v>
      </c>
      <c r="M254" s="22" t="n">
        <v>21.1</v>
      </c>
      <c r="N254" s="43" t="n">
        <v>0.28</v>
      </c>
      <c r="O254" s="22" t="n">
        <v>7.12</v>
      </c>
      <c r="P254" s="22" t="n">
        <v>0.221</v>
      </c>
      <c r="Q254" s="22" t="n">
        <v>22.1</v>
      </c>
      <c r="R254" s="42" t="n">
        <v>1.12</v>
      </c>
      <c r="S254" s="22" t="n">
        <v>1120</v>
      </c>
      <c r="T254" s="22" t="n">
        <v>1.14</v>
      </c>
      <c r="U254" s="22" t="n">
        <f aca="false">C254*1</f>
        <v>206</v>
      </c>
      <c r="V254" s="22" t="n">
        <f aca="false">VLOOKUP(U254,'Powder Core Toroid OD'!$A$2:$B$36,2,0)</f>
        <v>20.3</v>
      </c>
    </row>
    <row r="255" customFormat="false" ht="14.4" hidden="true" customHeight="false" outlineLevel="0" collapsed="false">
      <c r="A255" s="45" t="n">
        <v>55208</v>
      </c>
      <c r="B255" s="22" t="s">
        <v>323</v>
      </c>
      <c r="C255" s="23" t="n">
        <v>206</v>
      </c>
      <c r="D255" s="22" t="n">
        <v>26</v>
      </c>
      <c r="E255" s="22" t="s">
        <v>50</v>
      </c>
      <c r="F255" s="22" t="n">
        <v>14</v>
      </c>
      <c r="G255" s="22" t="s">
        <v>51</v>
      </c>
      <c r="H255" s="22" t="n">
        <v>5.09</v>
      </c>
      <c r="I255" s="22" t="n">
        <v>50.9</v>
      </c>
      <c r="J255" s="22" t="n">
        <v>0.475</v>
      </c>
      <c r="K255" s="36" t="n">
        <v>12</v>
      </c>
      <c r="L255" s="43" t="n">
        <v>0.83</v>
      </c>
      <c r="M255" s="22" t="n">
        <v>21.1</v>
      </c>
      <c r="N255" s="43" t="n">
        <v>0.28</v>
      </c>
      <c r="O255" s="22" t="n">
        <v>7.12</v>
      </c>
      <c r="P255" s="22" t="n">
        <v>0.221</v>
      </c>
      <c r="Q255" s="22" t="n">
        <v>22.1</v>
      </c>
      <c r="R255" s="42" t="n">
        <v>1.12</v>
      </c>
      <c r="S255" s="22" t="n">
        <v>1120</v>
      </c>
      <c r="T255" s="22" t="n">
        <v>1.14</v>
      </c>
      <c r="U255" s="22" t="n">
        <f aca="false">C255*1</f>
        <v>206</v>
      </c>
      <c r="V255" s="22" t="n">
        <f aca="false">VLOOKUP(U255,'Powder Core Toroid OD'!$A$2:$B$36,2,0)</f>
        <v>20.3</v>
      </c>
    </row>
    <row r="256" customFormat="false" ht="14.4" hidden="true" customHeight="false" outlineLevel="0" collapsed="false">
      <c r="A256" s="45" t="n">
        <v>55209</v>
      </c>
      <c r="B256" s="22" t="s">
        <v>324</v>
      </c>
      <c r="C256" s="23" t="n">
        <v>206</v>
      </c>
      <c r="D256" s="22" t="n">
        <v>14</v>
      </c>
      <c r="E256" s="22" t="s">
        <v>50</v>
      </c>
      <c r="F256" s="22" t="n">
        <v>7.8</v>
      </c>
      <c r="G256" s="22" t="s">
        <v>51</v>
      </c>
      <c r="H256" s="22" t="n">
        <v>5.09</v>
      </c>
      <c r="I256" s="22" t="n">
        <v>50.9</v>
      </c>
      <c r="J256" s="22" t="n">
        <v>0.475</v>
      </c>
      <c r="K256" s="36" t="n">
        <v>12</v>
      </c>
      <c r="L256" s="43" t="n">
        <v>0.83</v>
      </c>
      <c r="M256" s="22" t="n">
        <v>21.1</v>
      </c>
      <c r="N256" s="43" t="n">
        <v>0.28</v>
      </c>
      <c r="O256" s="22" t="n">
        <v>7.12</v>
      </c>
      <c r="P256" s="22" t="n">
        <v>0.221</v>
      </c>
      <c r="Q256" s="22" t="n">
        <v>22.1</v>
      </c>
      <c r="R256" s="42" t="n">
        <v>1.12</v>
      </c>
      <c r="S256" s="22" t="n">
        <v>1120</v>
      </c>
      <c r="T256" s="22" t="n">
        <v>1.14</v>
      </c>
      <c r="U256" s="22" t="n">
        <f aca="false">C256*1</f>
        <v>206</v>
      </c>
      <c r="V256" s="22" t="n">
        <f aca="false">VLOOKUP(U256,'Powder Core Toroid OD'!$A$2:$B$36,2,0)</f>
        <v>20.3</v>
      </c>
    </row>
    <row r="257" customFormat="false" ht="14.4" hidden="true" customHeight="false" outlineLevel="0" collapsed="false">
      <c r="A257" s="45" t="n">
        <v>55234</v>
      </c>
      <c r="B257" s="22" t="s">
        <v>325</v>
      </c>
      <c r="C257" s="23" t="n">
        <v>240</v>
      </c>
      <c r="D257" s="22" t="n">
        <v>173</v>
      </c>
      <c r="E257" s="22" t="s">
        <v>50</v>
      </c>
      <c r="F257" s="22" t="n">
        <v>75</v>
      </c>
      <c r="G257" s="22" t="s">
        <v>51</v>
      </c>
      <c r="H257" s="22" t="n">
        <v>1.36</v>
      </c>
      <c r="I257" s="22" t="n">
        <v>13.6</v>
      </c>
      <c r="J257" s="22" t="n">
        <v>0.085</v>
      </c>
      <c r="K257" s="22" t="n">
        <v>2.15</v>
      </c>
      <c r="L257" s="22" t="n">
        <v>0.285</v>
      </c>
      <c r="M257" s="22" t="n">
        <v>7.24</v>
      </c>
      <c r="N257" s="22" t="n">
        <v>0.125</v>
      </c>
      <c r="O257" s="22" t="n">
        <v>3.18</v>
      </c>
      <c r="P257" s="22" t="n">
        <v>0.0476</v>
      </c>
      <c r="Q257" s="22" t="n">
        <v>4.76</v>
      </c>
      <c r="R257" s="22" t="n">
        <v>0.0649</v>
      </c>
      <c r="S257" s="22" t="n">
        <v>64.9</v>
      </c>
      <c r="T257" s="22" t="n">
        <v>0.0363</v>
      </c>
      <c r="U257" s="22" t="n">
        <f aca="false">C257*1</f>
        <v>240</v>
      </c>
      <c r="V257" s="22" t="n">
        <f aca="false">VLOOKUP(U257,'Powder Core Toroid OD'!$A$2:$B$36,2,0)</f>
        <v>6.6</v>
      </c>
    </row>
    <row r="258" customFormat="false" ht="14.4" hidden="true" customHeight="false" outlineLevel="0" collapsed="false">
      <c r="A258" s="45" t="n">
        <v>55235</v>
      </c>
      <c r="B258" s="22" t="s">
        <v>326</v>
      </c>
      <c r="C258" s="23" t="n">
        <v>240</v>
      </c>
      <c r="D258" s="22" t="n">
        <v>300</v>
      </c>
      <c r="E258" s="22" t="s">
        <v>50</v>
      </c>
      <c r="F258" s="22" t="n">
        <v>130</v>
      </c>
      <c r="G258" s="22" t="s">
        <v>51</v>
      </c>
      <c r="H258" s="22" t="n">
        <v>1.36</v>
      </c>
      <c r="I258" s="22" t="n">
        <v>13.6</v>
      </c>
      <c r="J258" s="22" t="n">
        <v>0.085</v>
      </c>
      <c r="K258" s="22" t="n">
        <v>2.15</v>
      </c>
      <c r="L258" s="22" t="n">
        <v>0.285</v>
      </c>
      <c r="M258" s="22" t="n">
        <v>7.24</v>
      </c>
      <c r="N258" s="22" t="n">
        <v>0.125</v>
      </c>
      <c r="O258" s="22" t="n">
        <v>3.18</v>
      </c>
      <c r="P258" s="22" t="n">
        <v>0.0476</v>
      </c>
      <c r="Q258" s="22" t="n">
        <v>4.76</v>
      </c>
      <c r="R258" s="22" t="n">
        <v>0.0649</v>
      </c>
      <c r="S258" s="22" t="n">
        <v>64.9</v>
      </c>
      <c r="T258" s="22" t="n">
        <v>0.0363</v>
      </c>
      <c r="U258" s="22" t="n">
        <f aca="false">C258*1</f>
        <v>240</v>
      </c>
      <c r="V258" s="22" t="n">
        <f aca="false">VLOOKUP(U258,'Powder Core Toroid OD'!$A$2:$B$36,2,0)</f>
        <v>6.6</v>
      </c>
    </row>
    <row r="259" customFormat="false" ht="14.4" hidden="true" customHeight="false" outlineLevel="0" collapsed="false">
      <c r="A259" s="45" t="n">
        <v>55236</v>
      </c>
      <c r="B259" s="22" t="s">
        <v>327</v>
      </c>
      <c r="C259" s="23" t="n">
        <v>240</v>
      </c>
      <c r="D259" s="22" t="n">
        <v>550</v>
      </c>
      <c r="E259" s="22" t="s">
        <v>50</v>
      </c>
      <c r="F259" s="22" t="n">
        <v>242</v>
      </c>
      <c r="G259" s="22" t="s">
        <v>51</v>
      </c>
      <c r="H259" s="22" t="n">
        <v>1.36</v>
      </c>
      <c r="I259" s="22" t="n">
        <v>13.6</v>
      </c>
      <c r="J259" s="22" t="n">
        <v>0.085</v>
      </c>
      <c r="K259" s="22" t="n">
        <v>2.15</v>
      </c>
      <c r="L259" s="22" t="n">
        <v>0.285</v>
      </c>
      <c r="M259" s="22" t="n">
        <v>7.24</v>
      </c>
      <c r="N259" s="22" t="n">
        <v>0.125</v>
      </c>
      <c r="O259" s="22" t="n">
        <v>3.18</v>
      </c>
      <c r="P259" s="22" t="n">
        <v>0.0476</v>
      </c>
      <c r="Q259" s="22" t="n">
        <v>4.76</v>
      </c>
      <c r="R259" s="22" t="n">
        <v>0.0649</v>
      </c>
      <c r="S259" s="22" t="n">
        <v>64.9</v>
      </c>
      <c r="T259" s="22" t="n">
        <v>0.0363</v>
      </c>
      <c r="U259" s="22" t="n">
        <f aca="false">C259*1</f>
        <v>240</v>
      </c>
      <c r="V259" s="22" t="n">
        <f aca="false">VLOOKUP(U259,'Powder Core Toroid OD'!$A$2:$B$36,2,0)</f>
        <v>6.6</v>
      </c>
    </row>
    <row r="260" customFormat="false" ht="14.4" hidden="true" customHeight="false" outlineLevel="0" collapsed="false">
      <c r="A260" s="45" t="n">
        <v>55237</v>
      </c>
      <c r="B260" s="22" t="s">
        <v>328</v>
      </c>
      <c r="C260" s="23" t="n">
        <v>240</v>
      </c>
      <c r="D260" s="22" t="n">
        <v>200</v>
      </c>
      <c r="E260" s="22" t="s">
        <v>50</v>
      </c>
      <c r="F260" s="22" t="n">
        <v>86</v>
      </c>
      <c r="G260" s="22" t="s">
        <v>51</v>
      </c>
      <c r="H260" s="22" t="n">
        <v>1.36</v>
      </c>
      <c r="I260" s="22" t="n">
        <v>13.6</v>
      </c>
      <c r="J260" s="22" t="n">
        <v>0.085</v>
      </c>
      <c r="K260" s="22" t="n">
        <v>2.15</v>
      </c>
      <c r="L260" s="22" t="n">
        <v>0.285</v>
      </c>
      <c r="M260" s="22" t="n">
        <v>7.24</v>
      </c>
      <c r="N260" s="22" t="n">
        <v>0.125</v>
      </c>
      <c r="O260" s="22" t="n">
        <v>3.18</v>
      </c>
      <c r="P260" s="22" t="n">
        <v>0.0476</v>
      </c>
      <c r="Q260" s="22" t="n">
        <v>4.76</v>
      </c>
      <c r="R260" s="22" t="n">
        <v>0.0649</v>
      </c>
      <c r="S260" s="22" t="n">
        <v>64.9</v>
      </c>
      <c r="T260" s="22" t="n">
        <v>0.0363</v>
      </c>
      <c r="U260" s="22" t="n">
        <f aca="false">C260*1</f>
        <v>240</v>
      </c>
      <c r="V260" s="22" t="n">
        <f aca="false">VLOOKUP(U260,'Powder Core Toroid OD'!$A$2:$B$36,2,0)</f>
        <v>6.6</v>
      </c>
    </row>
    <row r="261" customFormat="false" ht="14.4" hidden="true" customHeight="false" outlineLevel="0" collapsed="false">
      <c r="A261" s="45" t="n">
        <v>55238</v>
      </c>
      <c r="B261" s="22" t="s">
        <v>329</v>
      </c>
      <c r="C261" s="23" t="n">
        <v>240</v>
      </c>
      <c r="D261" s="22" t="n">
        <v>160</v>
      </c>
      <c r="E261" s="22" t="s">
        <v>50</v>
      </c>
      <c r="F261" s="22" t="n">
        <v>69</v>
      </c>
      <c r="G261" s="22" t="s">
        <v>51</v>
      </c>
      <c r="H261" s="22" t="n">
        <v>1.36</v>
      </c>
      <c r="I261" s="22" t="n">
        <v>13.6</v>
      </c>
      <c r="J261" s="22" t="n">
        <v>0.085</v>
      </c>
      <c r="K261" s="22" t="n">
        <v>2.15</v>
      </c>
      <c r="L261" s="22" t="n">
        <v>0.285</v>
      </c>
      <c r="M261" s="22" t="n">
        <v>7.24</v>
      </c>
      <c r="N261" s="22" t="n">
        <v>0.125</v>
      </c>
      <c r="O261" s="22" t="n">
        <v>3.18</v>
      </c>
      <c r="P261" s="22" t="n">
        <v>0.0476</v>
      </c>
      <c r="Q261" s="22" t="n">
        <v>4.76</v>
      </c>
      <c r="R261" s="22" t="n">
        <v>0.0649</v>
      </c>
      <c r="S261" s="22" t="n">
        <v>64.9</v>
      </c>
      <c r="T261" s="22" t="n">
        <v>0.0363</v>
      </c>
      <c r="U261" s="22" t="n">
        <f aca="false">C261*1</f>
        <v>240</v>
      </c>
      <c r="V261" s="22" t="n">
        <f aca="false">VLOOKUP(U261,'Powder Core Toroid OD'!$A$2:$B$36,2,0)</f>
        <v>6.6</v>
      </c>
    </row>
    <row r="262" customFormat="false" ht="14.4" hidden="true" customHeight="false" outlineLevel="0" collapsed="false">
      <c r="A262" s="45" t="n">
        <v>55239</v>
      </c>
      <c r="B262" s="22" t="s">
        <v>330</v>
      </c>
      <c r="C262" s="23" t="n">
        <v>240</v>
      </c>
      <c r="D262" s="22" t="n">
        <v>147</v>
      </c>
      <c r="E262" s="22" t="s">
        <v>50</v>
      </c>
      <c r="F262" s="22" t="n">
        <v>64</v>
      </c>
      <c r="G262" s="22" t="s">
        <v>51</v>
      </c>
      <c r="H262" s="22" t="n">
        <v>1.36</v>
      </c>
      <c r="I262" s="22" t="n">
        <v>13.6</v>
      </c>
      <c r="J262" s="22" t="n">
        <v>0.085</v>
      </c>
      <c r="K262" s="22" t="n">
        <v>2.15</v>
      </c>
      <c r="L262" s="22" t="n">
        <v>0.285</v>
      </c>
      <c r="M262" s="22" t="n">
        <v>7.24</v>
      </c>
      <c r="N262" s="22" t="n">
        <v>0.125</v>
      </c>
      <c r="O262" s="22" t="n">
        <v>3.18</v>
      </c>
      <c r="P262" s="22" t="n">
        <v>0.0476</v>
      </c>
      <c r="Q262" s="22" t="n">
        <v>4.76</v>
      </c>
      <c r="R262" s="22" t="n">
        <v>0.0649</v>
      </c>
      <c r="S262" s="22" t="n">
        <v>64.9</v>
      </c>
      <c r="T262" s="22" t="n">
        <v>0.0363</v>
      </c>
      <c r="U262" s="22" t="n">
        <f aca="false">C262*1</f>
        <v>240</v>
      </c>
      <c r="V262" s="22" t="n">
        <f aca="false">VLOOKUP(U262,'Powder Core Toroid OD'!$A$2:$B$36,2,0)</f>
        <v>6.6</v>
      </c>
    </row>
    <row r="263" customFormat="false" ht="14.4" hidden="true" customHeight="false" outlineLevel="0" collapsed="false">
      <c r="A263" s="45" t="n">
        <v>55240</v>
      </c>
      <c r="B263" s="22" t="s">
        <v>331</v>
      </c>
      <c r="C263" s="23" t="n">
        <v>240</v>
      </c>
      <c r="D263" s="22" t="n">
        <v>125</v>
      </c>
      <c r="E263" s="22" t="s">
        <v>50</v>
      </c>
      <c r="F263" s="22" t="n">
        <v>54</v>
      </c>
      <c r="G263" s="22" t="s">
        <v>51</v>
      </c>
      <c r="H263" s="22" t="n">
        <v>1.36</v>
      </c>
      <c r="I263" s="22" t="n">
        <v>13.6</v>
      </c>
      <c r="J263" s="22" t="n">
        <v>0.085</v>
      </c>
      <c r="K263" s="22" t="n">
        <v>2.15</v>
      </c>
      <c r="L263" s="22" t="n">
        <v>0.285</v>
      </c>
      <c r="M263" s="22" t="n">
        <v>7.24</v>
      </c>
      <c r="N263" s="22" t="n">
        <v>0.125</v>
      </c>
      <c r="O263" s="22" t="n">
        <v>3.18</v>
      </c>
      <c r="P263" s="22" t="n">
        <v>0.0476</v>
      </c>
      <c r="Q263" s="22" t="n">
        <v>4.76</v>
      </c>
      <c r="R263" s="22" t="n">
        <v>0.0649</v>
      </c>
      <c r="S263" s="22" t="n">
        <v>64.9</v>
      </c>
      <c r="T263" s="22" t="n">
        <v>0.0363</v>
      </c>
      <c r="U263" s="22" t="n">
        <f aca="false">C263*1</f>
        <v>240</v>
      </c>
      <c r="V263" s="22" t="n">
        <f aca="false">VLOOKUP(U263,'Powder Core Toroid OD'!$A$2:$B$36,2,0)</f>
        <v>6.6</v>
      </c>
    </row>
    <row r="264" customFormat="false" ht="14.4" hidden="true" customHeight="false" outlineLevel="0" collapsed="false">
      <c r="A264" s="45" t="n">
        <v>55241</v>
      </c>
      <c r="B264" s="22" t="s">
        <v>332</v>
      </c>
      <c r="C264" s="23" t="n">
        <v>240</v>
      </c>
      <c r="D264" s="22" t="n">
        <v>60</v>
      </c>
      <c r="E264" s="22" t="s">
        <v>50</v>
      </c>
      <c r="F264" s="22" t="n">
        <v>26</v>
      </c>
      <c r="G264" s="22" t="s">
        <v>51</v>
      </c>
      <c r="H264" s="22" t="n">
        <v>1.36</v>
      </c>
      <c r="I264" s="22" t="n">
        <v>13.6</v>
      </c>
      <c r="J264" s="22" t="n">
        <v>0.085</v>
      </c>
      <c r="K264" s="22" t="n">
        <v>2.15</v>
      </c>
      <c r="L264" s="22" t="n">
        <v>0.285</v>
      </c>
      <c r="M264" s="22" t="n">
        <v>7.24</v>
      </c>
      <c r="N264" s="22" t="n">
        <v>0.125</v>
      </c>
      <c r="O264" s="22" t="n">
        <v>3.18</v>
      </c>
      <c r="P264" s="22" t="n">
        <v>0.0476</v>
      </c>
      <c r="Q264" s="22" t="n">
        <v>4.76</v>
      </c>
      <c r="R264" s="22" t="n">
        <v>0.0649</v>
      </c>
      <c r="S264" s="22" t="n">
        <v>64.9</v>
      </c>
      <c r="T264" s="22" t="n">
        <v>0.0363</v>
      </c>
      <c r="U264" s="22" t="n">
        <f aca="false">C264*1</f>
        <v>240</v>
      </c>
      <c r="V264" s="22" t="n">
        <f aca="false">VLOOKUP(U264,'Powder Core Toroid OD'!$A$2:$B$36,2,0)</f>
        <v>6.6</v>
      </c>
    </row>
    <row r="265" customFormat="false" ht="14.4" hidden="true" customHeight="false" outlineLevel="0" collapsed="false">
      <c r="A265" s="45" t="n">
        <v>55242</v>
      </c>
      <c r="B265" s="22" t="s">
        <v>333</v>
      </c>
      <c r="C265" s="23" t="n">
        <v>240</v>
      </c>
      <c r="D265" s="22" t="n">
        <v>26</v>
      </c>
      <c r="E265" s="22" t="s">
        <v>50</v>
      </c>
      <c r="F265" s="22" t="n">
        <v>11</v>
      </c>
      <c r="G265" s="22" t="s">
        <v>51</v>
      </c>
      <c r="H265" s="22" t="n">
        <v>1.36</v>
      </c>
      <c r="I265" s="22" t="n">
        <v>13.6</v>
      </c>
      <c r="J265" s="22" t="n">
        <v>0.085</v>
      </c>
      <c r="K265" s="22" t="n">
        <v>2.15</v>
      </c>
      <c r="L265" s="22" t="n">
        <v>0.285</v>
      </c>
      <c r="M265" s="22" t="n">
        <v>7.24</v>
      </c>
      <c r="N265" s="22" t="n">
        <v>0.125</v>
      </c>
      <c r="O265" s="22" t="n">
        <v>3.18</v>
      </c>
      <c r="P265" s="22" t="n">
        <v>0.0476</v>
      </c>
      <c r="Q265" s="22" t="n">
        <v>4.76</v>
      </c>
      <c r="R265" s="22" t="n">
        <v>0.0649</v>
      </c>
      <c r="S265" s="22" t="n">
        <v>64.9</v>
      </c>
      <c r="T265" s="22" t="n">
        <v>0.0363</v>
      </c>
      <c r="U265" s="22" t="n">
        <f aca="false">C265*1</f>
        <v>240</v>
      </c>
      <c r="V265" s="22" t="n">
        <f aca="false">VLOOKUP(U265,'Powder Core Toroid OD'!$A$2:$B$36,2,0)</f>
        <v>6.6</v>
      </c>
    </row>
    <row r="266" customFormat="false" ht="14.4" hidden="true" customHeight="false" outlineLevel="0" collapsed="false">
      <c r="A266" s="45" t="n">
        <v>55243</v>
      </c>
      <c r="B266" s="22" t="s">
        <v>334</v>
      </c>
      <c r="C266" s="23" t="n">
        <v>240</v>
      </c>
      <c r="D266" s="22" t="n">
        <v>14</v>
      </c>
      <c r="E266" s="22" t="s">
        <v>50</v>
      </c>
      <c r="F266" s="22" t="n">
        <v>6</v>
      </c>
      <c r="G266" s="22" t="s">
        <v>51</v>
      </c>
      <c r="H266" s="22" t="n">
        <v>1.36</v>
      </c>
      <c r="I266" s="22" t="n">
        <v>13.6</v>
      </c>
      <c r="J266" s="22" t="n">
        <v>0.085</v>
      </c>
      <c r="K266" s="22" t="n">
        <v>2.15</v>
      </c>
      <c r="L266" s="22" t="n">
        <v>0.285</v>
      </c>
      <c r="M266" s="22" t="n">
        <v>7.24</v>
      </c>
      <c r="N266" s="22" t="n">
        <v>0.125</v>
      </c>
      <c r="O266" s="22" t="n">
        <v>3.18</v>
      </c>
      <c r="P266" s="22" t="n">
        <v>0.0476</v>
      </c>
      <c r="Q266" s="22" t="n">
        <v>4.76</v>
      </c>
      <c r="R266" s="22" t="n">
        <v>0.0649</v>
      </c>
      <c r="S266" s="22" t="n">
        <v>64.9</v>
      </c>
      <c r="T266" s="22" t="n">
        <v>0.0363</v>
      </c>
      <c r="U266" s="22" t="n">
        <f aca="false">C266*1</f>
        <v>240</v>
      </c>
      <c r="V266" s="22" t="n">
        <f aca="false">VLOOKUP(U266,'Powder Core Toroid OD'!$A$2:$B$36,2,0)</f>
        <v>6.6</v>
      </c>
    </row>
    <row r="267" customFormat="false" ht="14.4" hidden="true" customHeight="false" outlineLevel="0" collapsed="false">
      <c r="A267" s="45" t="n">
        <v>55248</v>
      </c>
      <c r="B267" s="22" t="s">
        <v>335</v>
      </c>
      <c r="C267" s="23" t="n">
        <v>254</v>
      </c>
      <c r="D267" s="22" t="n">
        <v>173</v>
      </c>
      <c r="E267" s="22" t="s">
        <v>50</v>
      </c>
      <c r="F267" s="22" t="n">
        <v>233</v>
      </c>
      <c r="G267" s="22" t="s">
        <v>51</v>
      </c>
      <c r="H267" s="22" t="n">
        <v>9.84</v>
      </c>
      <c r="I267" s="22" t="n">
        <v>98.4</v>
      </c>
      <c r="J267" s="22" t="n">
        <v>0.918</v>
      </c>
      <c r="K267" s="22" t="n">
        <v>23.3</v>
      </c>
      <c r="L267" s="22" t="n">
        <v>1.605</v>
      </c>
      <c r="M267" s="22" t="n">
        <v>40.77</v>
      </c>
      <c r="N267" s="22" t="n">
        <v>0.605</v>
      </c>
      <c r="O267" s="22" t="n">
        <v>15.4</v>
      </c>
      <c r="P267" s="22" t="n">
        <v>1.07</v>
      </c>
      <c r="Q267" s="22" t="n">
        <v>107</v>
      </c>
      <c r="R267" s="36" t="n">
        <v>10.6</v>
      </c>
      <c r="S267" s="22" t="n">
        <v>10600</v>
      </c>
      <c r="T267" s="22" t="n">
        <v>4.27</v>
      </c>
      <c r="U267" s="22" t="n">
        <f aca="false">C267*1</f>
        <v>254</v>
      </c>
      <c r="V267" s="22" t="n">
        <f aca="false">VLOOKUP(U267,'Powder Core Toroid OD'!$A$2:$B$36,2,0)</f>
        <v>39.9</v>
      </c>
    </row>
    <row r="268" customFormat="false" ht="14.4" hidden="true" customHeight="false" outlineLevel="0" collapsed="false">
      <c r="A268" s="45" t="n">
        <v>55249</v>
      </c>
      <c r="B268" s="22" t="s">
        <v>336</v>
      </c>
      <c r="C268" s="23" t="n">
        <v>254</v>
      </c>
      <c r="D268" s="22" t="n">
        <v>300</v>
      </c>
      <c r="E268" s="22" t="s">
        <v>50</v>
      </c>
      <c r="F268" s="22" t="n">
        <v>403</v>
      </c>
      <c r="G268" s="22" t="s">
        <v>51</v>
      </c>
      <c r="H268" s="22" t="n">
        <v>9.84</v>
      </c>
      <c r="I268" s="22" t="n">
        <v>98.4</v>
      </c>
      <c r="J268" s="22" t="n">
        <v>0.918</v>
      </c>
      <c r="K268" s="22" t="n">
        <v>23.3</v>
      </c>
      <c r="L268" s="22" t="n">
        <v>1.605</v>
      </c>
      <c r="M268" s="22" t="n">
        <v>40.77</v>
      </c>
      <c r="N268" s="22" t="n">
        <v>0.605</v>
      </c>
      <c r="O268" s="22" t="n">
        <v>15.4</v>
      </c>
      <c r="P268" s="22" t="n">
        <v>1.07</v>
      </c>
      <c r="Q268" s="22" t="n">
        <v>107</v>
      </c>
      <c r="R268" s="36" t="n">
        <v>10.6</v>
      </c>
      <c r="S268" s="22" t="n">
        <v>10600</v>
      </c>
      <c r="T268" s="22" t="n">
        <v>4.27</v>
      </c>
      <c r="U268" s="22" t="n">
        <f aca="false">C268*1</f>
        <v>254</v>
      </c>
      <c r="V268" s="22" t="n">
        <f aca="false">VLOOKUP(U268,'Powder Core Toroid OD'!$A$2:$B$36,2,0)</f>
        <v>39.9</v>
      </c>
    </row>
    <row r="269" customFormat="false" ht="14.4" hidden="true" customHeight="false" outlineLevel="0" collapsed="false">
      <c r="A269" s="45" t="n">
        <v>55250</v>
      </c>
      <c r="B269" s="22" t="s">
        <v>337</v>
      </c>
      <c r="C269" s="23" t="n">
        <v>254</v>
      </c>
      <c r="D269" s="22" t="n">
        <v>550</v>
      </c>
      <c r="E269" s="22" t="s">
        <v>50</v>
      </c>
      <c r="F269" s="22" t="n">
        <v>740</v>
      </c>
      <c r="G269" s="22" t="s">
        <v>51</v>
      </c>
      <c r="H269" s="22" t="n">
        <v>9.84</v>
      </c>
      <c r="I269" s="22" t="n">
        <v>98.4</v>
      </c>
      <c r="J269" s="22" t="n">
        <v>0.918</v>
      </c>
      <c r="K269" s="22" t="n">
        <v>23.3</v>
      </c>
      <c r="L269" s="22" t="n">
        <v>1.605</v>
      </c>
      <c r="M269" s="22" t="n">
        <v>40.77</v>
      </c>
      <c r="N269" s="22" t="n">
        <v>0.605</v>
      </c>
      <c r="O269" s="22" t="n">
        <v>15.4</v>
      </c>
      <c r="P269" s="22" t="n">
        <v>1.07</v>
      </c>
      <c r="Q269" s="22" t="n">
        <v>107</v>
      </c>
      <c r="R269" s="36" t="n">
        <v>10.6</v>
      </c>
      <c r="S269" s="22" t="n">
        <v>10600</v>
      </c>
      <c r="T269" s="22" t="n">
        <v>4.27</v>
      </c>
      <c r="U269" s="22" t="n">
        <f aca="false">C269*1</f>
        <v>254</v>
      </c>
      <c r="V269" s="22" t="n">
        <f aca="false">VLOOKUP(U269,'Powder Core Toroid OD'!$A$2:$B$36,2,0)</f>
        <v>39.9</v>
      </c>
    </row>
    <row r="270" customFormat="false" ht="14.4" hidden="true" customHeight="false" outlineLevel="0" collapsed="false">
      <c r="A270" s="45" t="n">
        <v>55251</v>
      </c>
      <c r="B270" s="22" t="s">
        <v>338</v>
      </c>
      <c r="C270" s="23" t="n">
        <v>254</v>
      </c>
      <c r="D270" s="22" t="n">
        <v>200</v>
      </c>
      <c r="E270" s="22" t="s">
        <v>50</v>
      </c>
      <c r="F270" s="22" t="n">
        <v>269</v>
      </c>
      <c r="G270" s="22" t="s">
        <v>51</v>
      </c>
      <c r="H270" s="22" t="n">
        <v>9.84</v>
      </c>
      <c r="I270" s="22" t="n">
        <v>98.4</v>
      </c>
      <c r="J270" s="22" t="n">
        <v>0.918</v>
      </c>
      <c r="K270" s="22" t="n">
        <v>23.3</v>
      </c>
      <c r="L270" s="22" t="n">
        <v>1.605</v>
      </c>
      <c r="M270" s="22" t="n">
        <v>40.77</v>
      </c>
      <c r="N270" s="22" t="n">
        <v>0.605</v>
      </c>
      <c r="O270" s="22" t="n">
        <v>15.4</v>
      </c>
      <c r="P270" s="22" t="n">
        <v>1.07</v>
      </c>
      <c r="Q270" s="22" t="n">
        <v>107</v>
      </c>
      <c r="R270" s="36" t="n">
        <v>10.6</v>
      </c>
      <c r="S270" s="22" t="n">
        <v>10600</v>
      </c>
      <c r="T270" s="22" t="n">
        <v>4.27</v>
      </c>
      <c r="U270" s="22" t="n">
        <f aca="false">C270*1</f>
        <v>254</v>
      </c>
      <c r="V270" s="22" t="n">
        <f aca="false">VLOOKUP(U270,'Powder Core Toroid OD'!$A$2:$B$36,2,0)</f>
        <v>39.9</v>
      </c>
    </row>
    <row r="271" customFormat="false" ht="14.4" hidden="true" customHeight="false" outlineLevel="0" collapsed="false">
      <c r="A271" s="45" t="n">
        <v>55252</v>
      </c>
      <c r="B271" s="22" t="s">
        <v>339</v>
      </c>
      <c r="C271" s="23" t="n">
        <v>254</v>
      </c>
      <c r="D271" s="22" t="n">
        <v>160</v>
      </c>
      <c r="E271" s="22" t="s">
        <v>50</v>
      </c>
      <c r="F271" s="22" t="n">
        <v>215</v>
      </c>
      <c r="G271" s="22" t="s">
        <v>51</v>
      </c>
      <c r="H271" s="22" t="n">
        <v>9.84</v>
      </c>
      <c r="I271" s="22" t="n">
        <v>98.4</v>
      </c>
      <c r="J271" s="22" t="n">
        <v>0.918</v>
      </c>
      <c r="K271" s="22" t="n">
        <v>23.3</v>
      </c>
      <c r="L271" s="22" t="n">
        <v>1.605</v>
      </c>
      <c r="M271" s="22" t="n">
        <v>40.77</v>
      </c>
      <c r="N271" s="22" t="n">
        <v>0.605</v>
      </c>
      <c r="O271" s="22" t="n">
        <v>15.4</v>
      </c>
      <c r="P271" s="22" t="n">
        <v>1.07</v>
      </c>
      <c r="Q271" s="22" t="n">
        <v>107</v>
      </c>
      <c r="R271" s="36" t="n">
        <v>10.6</v>
      </c>
      <c r="S271" s="22" t="n">
        <v>10600</v>
      </c>
      <c r="T271" s="22" t="n">
        <v>4.27</v>
      </c>
      <c r="U271" s="22" t="n">
        <f aca="false">C271*1</f>
        <v>254</v>
      </c>
      <c r="V271" s="22" t="n">
        <f aca="false">VLOOKUP(U271,'Powder Core Toroid OD'!$A$2:$B$36,2,0)</f>
        <v>39.9</v>
      </c>
    </row>
    <row r="272" customFormat="false" ht="14.4" hidden="true" customHeight="false" outlineLevel="0" collapsed="false">
      <c r="A272" s="45" t="n">
        <v>55253</v>
      </c>
      <c r="B272" s="22" t="s">
        <v>340</v>
      </c>
      <c r="C272" s="23" t="n">
        <v>254</v>
      </c>
      <c r="D272" s="22" t="n">
        <v>147</v>
      </c>
      <c r="E272" s="22" t="s">
        <v>50</v>
      </c>
      <c r="F272" s="22" t="n">
        <v>198</v>
      </c>
      <c r="G272" s="22" t="s">
        <v>51</v>
      </c>
      <c r="H272" s="22" t="n">
        <v>9.84</v>
      </c>
      <c r="I272" s="22" t="n">
        <v>98.4</v>
      </c>
      <c r="J272" s="22" t="n">
        <v>0.918</v>
      </c>
      <c r="K272" s="22" t="n">
        <v>23.3</v>
      </c>
      <c r="L272" s="22" t="n">
        <v>1.605</v>
      </c>
      <c r="M272" s="22" t="n">
        <v>40.77</v>
      </c>
      <c r="N272" s="22" t="n">
        <v>0.605</v>
      </c>
      <c r="O272" s="22" t="n">
        <v>15.4</v>
      </c>
      <c r="P272" s="22" t="n">
        <v>1.07</v>
      </c>
      <c r="Q272" s="22" t="n">
        <v>107</v>
      </c>
      <c r="R272" s="36" t="n">
        <v>10.6</v>
      </c>
      <c r="S272" s="22" t="n">
        <v>10600</v>
      </c>
      <c r="T272" s="22" t="n">
        <v>4.27</v>
      </c>
      <c r="U272" s="22" t="n">
        <f aca="false">C272*1</f>
        <v>254</v>
      </c>
      <c r="V272" s="22" t="n">
        <f aca="false">VLOOKUP(U272,'Powder Core Toroid OD'!$A$2:$B$36,2,0)</f>
        <v>39.9</v>
      </c>
    </row>
    <row r="273" customFormat="false" ht="14.4" hidden="true" customHeight="false" outlineLevel="0" collapsed="false">
      <c r="A273" s="45" t="n">
        <v>55254</v>
      </c>
      <c r="B273" s="22" t="s">
        <v>341</v>
      </c>
      <c r="C273" s="23" t="n">
        <v>254</v>
      </c>
      <c r="D273" s="22" t="n">
        <v>125</v>
      </c>
      <c r="E273" s="22" t="s">
        <v>50</v>
      </c>
      <c r="F273" s="22" t="n">
        <v>168</v>
      </c>
      <c r="G273" s="22" t="s">
        <v>51</v>
      </c>
      <c r="H273" s="22" t="n">
        <v>9.84</v>
      </c>
      <c r="I273" s="22" t="n">
        <v>98.4</v>
      </c>
      <c r="J273" s="22" t="n">
        <v>0.918</v>
      </c>
      <c r="K273" s="22" t="n">
        <v>23.3</v>
      </c>
      <c r="L273" s="22" t="n">
        <v>1.605</v>
      </c>
      <c r="M273" s="22" t="n">
        <v>40.77</v>
      </c>
      <c r="N273" s="22" t="n">
        <v>0.605</v>
      </c>
      <c r="O273" s="22" t="n">
        <v>15.4</v>
      </c>
      <c r="P273" s="22" t="n">
        <v>1.07</v>
      </c>
      <c r="Q273" s="22" t="n">
        <v>107</v>
      </c>
      <c r="R273" s="36" t="n">
        <v>10.6</v>
      </c>
      <c r="S273" s="22" t="n">
        <v>10600</v>
      </c>
      <c r="T273" s="22" t="n">
        <v>4.27</v>
      </c>
      <c r="U273" s="22" t="n">
        <f aca="false">C273*1</f>
        <v>254</v>
      </c>
      <c r="V273" s="22" t="n">
        <f aca="false">VLOOKUP(U273,'Powder Core Toroid OD'!$A$2:$B$36,2,0)</f>
        <v>39.9</v>
      </c>
    </row>
    <row r="274" customFormat="false" ht="14.4" hidden="true" customHeight="false" outlineLevel="0" collapsed="false">
      <c r="A274" s="45" t="n">
        <v>55256</v>
      </c>
      <c r="B274" s="22" t="s">
        <v>342</v>
      </c>
      <c r="C274" s="23" t="n">
        <v>254</v>
      </c>
      <c r="D274" s="22" t="n">
        <v>26</v>
      </c>
      <c r="E274" s="22" t="s">
        <v>50</v>
      </c>
      <c r="F274" s="22" t="n">
        <v>35</v>
      </c>
      <c r="G274" s="22" t="s">
        <v>51</v>
      </c>
      <c r="H274" s="22" t="n">
        <v>9.84</v>
      </c>
      <c r="I274" s="22" t="n">
        <v>98.4</v>
      </c>
      <c r="J274" s="22" t="n">
        <v>0.918</v>
      </c>
      <c r="K274" s="22" t="n">
        <v>23.3</v>
      </c>
      <c r="L274" s="22" t="n">
        <v>1.605</v>
      </c>
      <c r="M274" s="22" t="n">
        <v>40.77</v>
      </c>
      <c r="N274" s="22" t="n">
        <v>0.605</v>
      </c>
      <c r="O274" s="22" t="n">
        <v>15.4</v>
      </c>
      <c r="P274" s="22" t="n">
        <v>1.07</v>
      </c>
      <c r="Q274" s="22" t="n">
        <v>107</v>
      </c>
      <c r="R274" s="36" t="n">
        <v>10.6</v>
      </c>
      <c r="S274" s="22" t="n">
        <v>10600</v>
      </c>
      <c r="T274" s="22" t="n">
        <v>4.27</v>
      </c>
      <c r="U274" s="22" t="n">
        <f aca="false">C274*1</f>
        <v>254</v>
      </c>
      <c r="V274" s="22" t="n">
        <f aca="false">VLOOKUP(U274,'Powder Core Toroid OD'!$A$2:$B$36,2,0)</f>
        <v>39.9</v>
      </c>
    </row>
    <row r="275" customFormat="false" ht="14.4" hidden="true" customHeight="false" outlineLevel="0" collapsed="false">
      <c r="A275" s="45" t="n">
        <v>55257</v>
      </c>
      <c r="B275" s="22" t="s">
        <v>343</v>
      </c>
      <c r="C275" s="23" t="n">
        <v>254</v>
      </c>
      <c r="D275" s="22" t="n">
        <v>14</v>
      </c>
      <c r="E275" s="22" t="s">
        <v>50</v>
      </c>
      <c r="F275" s="22" t="n">
        <v>19</v>
      </c>
      <c r="G275" s="22" t="s">
        <v>51</v>
      </c>
      <c r="H275" s="22" t="n">
        <v>9.84</v>
      </c>
      <c r="I275" s="22" t="n">
        <v>98.4</v>
      </c>
      <c r="J275" s="22" t="n">
        <v>0.918</v>
      </c>
      <c r="K275" s="22" t="n">
        <v>23.3</v>
      </c>
      <c r="L275" s="22" t="n">
        <v>1.605</v>
      </c>
      <c r="M275" s="22" t="n">
        <v>40.77</v>
      </c>
      <c r="N275" s="22" t="n">
        <v>0.605</v>
      </c>
      <c r="O275" s="22" t="n">
        <v>15.4</v>
      </c>
      <c r="P275" s="22" t="n">
        <v>1.07</v>
      </c>
      <c r="Q275" s="22" t="n">
        <v>107</v>
      </c>
      <c r="R275" s="36" t="n">
        <v>10.6</v>
      </c>
      <c r="S275" s="22" t="n">
        <v>10600</v>
      </c>
      <c r="T275" s="22" t="n">
        <v>4.27</v>
      </c>
      <c r="U275" s="22" t="n">
        <f aca="false">C275*1</f>
        <v>254</v>
      </c>
      <c r="V275" s="22" t="n">
        <f aca="false">VLOOKUP(U275,'Powder Core Toroid OD'!$A$2:$B$36,2,0)</f>
        <v>39.9</v>
      </c>
    </row>
    <row r="276" customFormat="false" ht="14.4" hidden="true" customHeight="false" outlineLevel="0" collapsed="false">
      <c r="A276" s="45" t="n">
        <v>55264</v>
      </c>
      <c r="B276" s="22" t="s">
        <v>344</v>
      </c>
      <c r="C276" s="23" t="n">
        <v>270</v>
      </c>
      <c r="D276" s="22" t="n">
        <v>173</v>
      </c>
      <c r="E276" s="22" t="s">
        <v>50</v>
      </c>
      <c r="F276" s="22" t="n">
        <v>144</v>
      </c>
      <c r="G276" s="22" t="s">
        <v>51</v>
      </c>
      <c r="H276" s="22" t="n">
        <v>1.36</v>
      </c>
      <c r="I276" s="22" t="n">
        <v>13.6</v>
      </c>
      <c r="J276" s="22" t="n">
        <v>0.085</v>
      </c>
      <c r="K276" s="22" t="n">
        <v>2.15</v>
      </c>
      <c r="L276" s="22" t="n">
        <v>0.285</v>
      </c>
      <c r="M276" s="22" t="n">
        <v>7.24</v>
      </c>
      <c r="N276" s="22" t="n">
        <v>0.213</v>
      </c>
      <c r="O276" s="22" t="n">
        <v>5.42</v>
      </c>
      <c r="P276" s="22" t="n">
        <v>0.092</v>
      </c>
      <c r="Q276" s="22" t="n">
        <v>9.2</v>
      </c>
      <c r="R276" s="22" t="n">
        <v>0.125</v>
      </c>
      <c r="S276" s="22" t="n">
        <v>125</v>
      </c>
      <c r="T276" s="22" t="n">
        <v>0.0363</v>
      </c>
      <c r="U276" s="22" t="n">
        <f aca="false">C276*1</f>
        <v>270</v>
      </c>
      <c r="V276" s="22" t="n">
        <f aca="false">VLOOKUP(U276,'Powder Core Toroid OD'!$A$2:$B$36,2,0)</f>
        <v>6.6</v>
      </c>
    </row>
    <row r="277" customFormat="false" ht="14.4" hidden="true" customHeight="false" outlineLevel="0" collapsed="false">
      <c r="A277" s="45" t="n">
        <v>55265</v>
      </c>
      <c r="B277" s="22" t="s">
        <v>345</v>
      </c>
      <c r="C277" s="23" t="n">
        <v>270</v>
      </c>
      <c r="D277" s="22" t="n">
        <v>300</v>
      </c>
      <c r="E277" s="22" t="s">
        <v>50</v>
      </c>
      <c r="F277" s="22" t="n">
        <v>247</v>
      </c>
      <c r="G277" s="22" t="s">
        <v>51</v>
      </c>
      <c r="H277" s="22" t="n">
        <v>1.36</v>
      </c>
      <c r="I277" s="22" t="n">
        <v>13.6</v>
      </c>
      <c r="J277" s="22" t="n">
        <v>0.085</v>
      </c>
      <c r="K277" s="22" t="n">
        <v>2.15</v>
      </c>
      <c r="L277" s="22" t="n">
        <v>0.285</v>
      </c>
      <c r="M277" s="22" t="n">
        <v>7.24</v>
      </c>
      <c r="N277" s="22" t="n">
        <v>0.213</v>
      </c>
      <c r="O277" s="22" t="n">
        <v>5.42</v>
      </c>
      <c r="P277" s="22" t="n">
        <v>0.092</v>
      </c>
      <c r="Q277" s="22" t="n">
        <v>9.2</v>
      </c>
      <c r="R277" s="22" t="n">
        <v>0.125</v>
      </c>
      <c r="S277" s="22" t="n">
        <v>125</v>
      </c>
      <c r="T277" s="22" t="n">
        <v>0.0363</v>
      </c>
      <c r="U277" s="22" t="n">
        <f aca="false">C277*1</f>
        <v>270</v>
      </c>
      <c r="V277" s="22" t="n">
        <f aca="false">VLOOKUP(U277,'Powder Core Toroid OD'!$A$2:$B$36,2,0)</f>
        <v>6.6</v>
      </c>
    </row>
    <row r="278" customFormat="false" ht="14.4" hidden="true" customHeight="false" outlineLevel="0" collapsed="false">
      <c r="A278" s="45" t="n">
        <v>55266</v>
      </c>
      <c r="B278" s="22" t="s">
        <v>346</v>
      </c>
      <c r="C278" s="23" t="n">
        <v>270</v>
      </c>
      <c r="D278" s="22" t="n">
        <v>550</v>
      </c>
      <c r="E278" s="22" t="s">
        <v>50</v>
      </c>
      <c r="F278" s="22" t="n">
        <v>466</v>
      </c>
      <c r="G278" s="22" t="s">
        <v>51</v>
      </c>
      <c r="H278" s="22" t="n">
        <v>1.36</v>
      </c>
      <c r="I278" s="22" t="n">
        <v>13.6</v>
      </c>
      <c r="J278" s="22" t="n">
        <v>0.085</v>
      </c>
      <c r="K278" s="22" t="n">
        <v>2.15</v>
      </c>
      <c r="L278" s="22" t="n">
        <v>0.285</v>
      </c>
      <c r="M278" s="22" t="n">
        <v>7.24</v>
      </c>
      <c r="N278" s="22" t="n">
        <v>0.213</v>
      </c>
      <c r="O278" s="22" t="n">
        <v>5.42</v>
      </c>
      <c r="P278" s="22" t="n">
        <v>0.092</v>
      </c>
      <c r="Q278" s="22" t="n">
        <v>9.2</v>
      </c>
      <c r="R278" s="22" t="n">
        <v>0.125</v>
      </c>
      <c r="S278" s="22" t="n">
        <v>125</v>
      </c>
      <c r="T278" s="22" t="n">
        <v>0.0363</v>
      </c>
      <c r="U278" s="22" t="n">
        <f aca="false">C278*1</f>
        <v>270</v>
      </c>
      <c r="V278" s="22" t="n">
        <f aca="false">VLOOKUP(U278,'Powder Core Toroid OD'!$A$2:$B$36,2,0)</f>
        <v>6.6</v>
      </c>
    </row>
    <row r="279" customFormat="false" ht="14.4" hidden="true" customHeight="false" outlineLevel="0" collapsed="false">
      <c r="A279" s="45" t="n">
        <v>55267</v>
      </c>
      <c r="B279" s="22" t="s">
        <v>347</v>
      </c>
      <c r="C279" s="23" t="n">
        <v>270</v>
      </c>
      <c r="D279" s="22" t="n">
        <v>200</v>
      </c>
      <c r="E279" s="22" t="s">
        <v>50</v>
      </c>
      <c r="F279" s="22" t="n">
        <v>165</v>
      </c>
      <c r="G279" s="22" t="s">
        <v>51</v>
      </c>
      <c r="H279" s="22" t="n">
        <v>1.36</v>
      </c>
      <c r="I279" s="22" t="n">
        <v>13.6</v>
      </c>
      <c r="J279" s="22" t="n">
        <v>0.085</v>
      </c>
      <c r="K279" s="22" t="n">
        <v>2.15</v>
      </c>
      <c r="L279" s="22" t="n">
        <v>0.285</v>
      </c>
      <c r="M279" s="22" t="n">
        <v>7.24</v>
      </c>
      <c r="N279" s="22" t="n">
        <v>0.213</v>
      </c>
      <c r="O279" s="22" t="n">
        <v>5.42</v>
      </c>
      <c r="P279" s="22" t="n">
        <v>0.092</v>
      </c>
      <c r="Q279" s="22" t="n">
        <v>9.2</v>
      </c>
      <c r="R279" s="22" t="n">
        <v>0.125</v>
      </c>
      <c r="S279" s="22" t="n">
        <v>125</v>
      </c>
      <c r="T279" s="22" t="n">
        <v>0.0363</v>
      </c>
      <c r="U279" s="22" t="n">
        <f aca="false">C279*1</f>
        <v>270</v>
      </c>
      <c r="V279" s="22" t="n">
        <f aca="false">VLOOKUP(U279,'Powder Core Toroid OD'!$A$2:$B$36,2,0)</f>
        <v>6.6</v>
      </c>
    </row>
    <row r="280" customFormat="false" ht="14.4" hidden="true" customHeight="false" outlineLevel="0" collapsed="false">
      <c r="A280" s="45" t="n">
        <v>55268</v>
      </c>
      <c r="B280" s="22" t="s">
        <v>348</v>
      </c>
      <c r="C280" s="23" t="n">
        <v>270</v>
      </c>
      <c r="D280" s="22" t="n">
        <v>160</v>
      </c>
      <c r="E280" s="22" t="s">
        <v>50</v>
      </c>
      <c r="F280" s="22" t="n">
        <v>132</v>
      </c>
      <c r="G280" s="22" t="s">
        <v>51</v>
      </c>
      <c r="H280" s="22" t="n">
        <v>1.36</v>
      </c>
      <c r="I280" s="22" t="n">
        <v>13.6</v>
      </c>
      <c r="J280" s="22" t="n">
        <v>0.085</v>
      </c>
      <c r="K280" s="22" t="n">
        <v>2.15</v>
      </c>
      <c r="L280" s="22" t="n">
        <v>0.285</v>
      </c>
      <c r="M280" s="22" t="n">
        <v>7.24</v>
      </c>
      <c r="N280" s="22" t="n">
        <v>0.213</v>
      </c>
      <c r="O280" s="22" t="n">
        <v>5.42</v>
      </c>
      <c r="P280" s="22" t="n">
        <v>0.092</v>
      </c>
      <c r="Q280" s="22" t="n">
        <v>9.2</v>
      </c>
      <c r="R280" s="22" t="n">
        <v>0.125</v>
      </c>
      <c r="S280" s="22" t="n">
        <v>125</v>
      </c>
      <c r="T280" s="22" t="n">
        <v>0.0363</v>
      </c>
      <c r="U280" s="22" t="n">
        <f aca="false">C280*1</f>
        <v>270</v>
      </c>
      <c r="V280" s="22" t="n">
        <f aca="false">VLOOKUP(U280,'Powder Core Toroid OD'!$A$2:$B$36,2,0)</f>
        <v>6.6</v>
      </c>
    </row>
    <row r="281" customFormat="false" ht="14.4" hidden="true" customHeight="false" outlineLevel="0" collapsed="false">
      <c r="A281" s="45" t="n">
        <v>55269</v>
      </c>
      <c r="B281" s="22" t="s">
        <v>349</v>
      </c>
      <c r="C281" s="23" t="n">
        <v>270</v>
      </c>
      <c r="D281" s="22" t="n">
        <v>147</v>
      </c>
      <c r="E281" s="22" t="s">
        <v>50</v>
      </c>
      <c r="F281" s="22" t="n">
        <v>122</v>
      </c>
      <c r="G281" s="22" t="s">
        <v>51</v>
      </c>
      <c r="H281" s="22" t="n">
        <v>1.36</v>
      </c>
      <c r="I281" s="22" t="n">
        <v>13.6</v>
      </c>
      <c r="J281" s="22" t="n">
        <v>0.085</v>
      </c>
      <c r="K281" s="22" t="n">
        <v>2.15</v>
      </c>
      <c r="L281" s="22" t="n">
        <v>0.285</v>
      </c>
      <c r="M281" s="22" t="n">
        <v>7.24</v>
      </c>
      <c r="N281" s="22" t="n">
        <v>0.213</v>
      </c>
      <c r="O281" s="22" t="n">
        <v>5.42</v>
      </c>
      <c r="P281" s="22" t="n">
        <v>0.092</v>
      </c>
      <c r="Q281" s="22" t="n">
        <v>9.2</v>
      </c>
      <c r="R281" s="22" t="n">
        <v>0.125</v>
      </c>
      <c r="S281" s="22" t="n">
        <v>125</v>
      </c>
      <c r="T281" s="22" t="n">
        <v>0.0363</v>
      </c>
      <c r="U281" s="22" t="n">
        <f aca="false">C281*1</f>
        <v>270</v>
      </c>
      <c r="V281" s="22" t="n">
        <f aca="false">VLOOKUP(U281,'Powder Core Toroid OD'!$A$2:$B$36,2,0)</f>
        <v>6.6</v>
      </c>
    </row>
    <row r="282" customFormat="false" ht="14.4" hidden="true" customHeight="false" outlineLevel="0" collapsed="false">
      <c r="A282" s="44" t="n">
        <v>5527</v>
      </c>
      <c r="B282" s="22" t="s">
        <v>350</v>
      </c>
      <c r="C282" s="31" t="s">
        <v>351</v>
      </c>
      <c r="D282" s="31" t="n">
        <v>26</v>
      </c>
      <c r="E282" s="31" t="s">
        <v>33</v>
      </c>
      <c r="F282" s="31" t="n">
        <v>67</v>
      </c>
      <c r="G282" s="31" t="s">
        <v>167</v>
      </c>
      <c r="H282" s="31" t="n">
        <v>16.8</v>
      </c>
      <c r="I282" s="31" t="n">
        <v>168</v>
      </c>
      <c r="J282" s="31" t="n">
        <v>1.101</v>
      </c>
      <c r="K282" s="31" t="n">
        <v>27.97</v>
      </c>
      <c r="L282" s="31" t="n">
        <v>2.185</v>
      </c>
      <c r="M282" s="32" t="n">
        <v>55.5</v>
      </c>
      <c r="N282" s="31" t="n">
        <v>0.658</v>
      </c>
      <c r="O282" s="31" t="n">
        <v>16.7</v>
      </c>
      <c r="P282" s="31" t="n">
        <v>1.72</v>
      </c>
      <c r="Q282" s="31" t="n">
        <v>172</v>
      </c>
      <c r="R282" s="31" t="n">
        <v>28.9</v>
      </c>
      <c r="S282" s="31" t="n">
        <v>28900</v>
      </c>
      <c r="T282" s="31"/>
    </row>
    <row r="283" customFormat="false" ht="14.4" hidden="true" customHeight="false" outlineLevel="0" collapsed="false">
      <c r="A283" s="45" t="n">
        <v>55270</v>
      </c>
      <c r="B283" s="22" t="s">
        <v>352</v>
      </c>
      <c r="C283" s="23" t="n">
        <v>270</v>
      </c>
      <c r="D283" s="22" t="n">
        <v>125</v>
      </c>
      <c r="E283" s="22" t="s">
        <v>50</v>
      </c>
      <c r="F283" s="22" t="n">
        <v>103</v>
      </c>
      <c r="G283" s="22" t="s">
        <v>51</v>
      </c>
      <c r="H283" s="22" t="n">
        <v>1.36</v>
      </c>
      <c r="I283" s="22" t="n">
        <v>13.6</v>
      </c>
      <c r="J283" s="22" t="n">
        <v>0.085</v>
      </c>
      <c r="K283" s="22" t="n">
        <v>2.15</v>
      </c>
      <c r="L283" s="22" t="n">
        <v>0.285</v>
      </c>
      <c r="M283" s="22" t="n">
        <v>7.24</v>
      </c>
      <c r="N283" s="22" t="n">
        <v>0.213</v>
      </c>
      <c r="O283" s="22" t="n">
        <v>5.42</v>
      </c>
      <c r="P283" s="22" t="n">
        <v>0.092</v>
      </c>
      <c r="Q283" s="22" t="n">
        <v>9.2</v>
      </c>
      <c r="R283" s="22" t="n">
        <v>0.125</v>
      </c>
      <c r="S283" s="22" t="n">
        <v>125</v>
      </c>
      <c r="T283" s="22" t="n">
        <v>0.0363</v>
      </c>
      <c r="U283" s="22" t="n">
        <f aca="false">C283*1</f>
        <v>270</v>
      </c>
      <c r="V283" s="22" t="n">
        <f aca="false">VLOOKUP(U283,'Powder Core Toroid OD'!$A$2:$B$36,2,0)</f>
        <v>6.6</v>
      </c>
    </row>
    <row r="284" customFormat="false" ht="14.4" hidden="true" customHeight="false" outlineLevel="0" collapsed="false">
      <c r="A284" s="45" t="n">
        <v>55271</v>
      </c>
      <c r="B284" s="22" t="s">
        <v>353</v>
      </c>
      <c r="C284" s="23" t="n">
        <v>270</v>
      </c>
      <c r="D284" s="22" t="n">
        <v>60</v>
      </c>
      <c r="E284" s="22" t="s">
        <v>50</v>
      </c>
      <c r="F284" s="22" t="n">
        <v>50</v>
      </c>
      <c r="G284" s="22" t="s">
        <v>51</v>
      </c>
      <c r="H284" s="22" t="n">
        <v>1.36</v>
      </c>
      <c r="I284" s="22" t="n">
        <v>13.6</v>
      </c>
      <c r="J284" s="22" t="n">
        <v>0.085</v>
      </c>
      <c r="K284" s="22" t="n">
        <v>2.15</v>
      </c>
      <c r="L284" s="22" t="n">
        <v>0.285</v>
      </c>
      <c r="M284" s="22" t="n">
        <v>7.24</v>
      </c>
      <c r="N284" s="22" t="n">
        <v>0.213</v>
      </c>
      <c r="O284" s="22" t="n">
        <v>5.42</v>
      </c>
      <c r="P284" s="22" t="n">
        <v>0.092</v>
      </c>
      <c r="Q284" s="22" t="n">
        <v>9.2</v>
      </c>
      <c r="R284" s="22" t="n">
        <v>0.125</v>
      </c>
      <c r="S284" s="22" t="n">
        <v>125</v>
      </c>
      <c r="T284" s="22" t="n">
        <v>0.0363</v>
      </c>
      <c r="U284" s="22" t="n">
        <f aca="false">C284*1</f>
        <v>270</v>
      </c>
      <c r="V284" s="22" t="n">
        <f aca="false">VLOOKUP(U284,'Powder Core Toroid OD'!$A$2:$B$36,2,0)</f>
        <v>6.6</v>
      </c>
    </row>
    <row r="285" customFormat="false" ht="14.4" hidden="true" customHeight="false" outlineLevel="0" collapsed="false">
      <c r="A285" s="45" t="n">
        <v>55272</v>
      </c>
      <c r="B285" s="22" t="s">
        <v>354</v>
      </c>
      <c r="C285" s="23" t="n">
        <v>270</v>
      </c>
      <c r="D285" s="22" t="n">
        <v>26</v>
      </c>
      <c r="E285" s="22" t="s">
        <v>50</v>
      </c>
      <c r="F285" s="22" t="n">
        <v>21</v>
      </c>
      <c r="G285" s="22" t="s">
        <v>51</v>
      </c>
      <c r="H285" s="22" t="n">
        <v>1.36</v>
      </c>
      <c r="I285" s="22" t="n">
        <v>13.6</v>
      </c>
      <c r="J285" s="22" t="n">
        <v>0.085</v>
      </c>
      <c r="K285" s="22" t="n">
        <v>2.15</v>
      </c>
      <c r="L285" s="22" t="n">
        <v>0.285</v>
      </c>
      <c r="M285" s="22" t="n">
        <v>7.24</v>
      </c>
      <c r="N285" s="22" t="n">
        <v>0.213</v>
      </c>
      <c r="O285" s="22" t="n">
        <v>5.42</v>
      </c>
      <c r="P285" s="22" t="n">
        <v>0.092</v>
      </c>
      <c r="Q285" s="22" t="n">
        <v>9.2</v>
      </c>
      <c r="R285" s="22" t="n">
        <v>0.125</v>
      </c>
      <c r="S285" s="22" t="n">
        <v>125</v>
      </c>
      <c r="T285" s="22" t="n">
        <v>0.0363</v>
      </c>
      <c r="U285" s="22" t="n">
        <f aca="false">C285*1</f>
        <v>270</v>
      </c>
      <c r="V285" s="22" t="n">
        <f aca="false">VLOOKUP(U285,'Powder Core Toroid OD'!$A$2:$B$36,2,0)</f>
        <v>6.6</v>
      </c>
    </row>
    <row r="286" customFormat="false" ht="14.4" hidden="true" customHeight="false" outlineLevel="0" collapsed="false">
      <c r="A286" s="45" t="n">
        <v>55274</v>
      </c>
      <c r="B286" s="22" t="s">
        <v>355</v>
      </c>
      <c r="C286" s="23" t="n">
        <v>280</v>
      </c>
      <c r="D286" s="22" t="n">
        <v>173</v>
      </c>
      <c r="E286" s="22" t="s">
        <v>50</v>
      </c>
      <c r="F286" s="22" t="n">
        <v>74</v>
      </c>
      <c r="G286" s="22" t="s">
        <v>51</v>
      </c>
      <c r="H286" s="22" t="n">
        <v>2.18</v>
      </c>
      <c r="I286" s="22" t="n">
        <v>21.8</v>
      </c>
      <c r="J286" s="22" t="n">
        <v>0.168</v>
      </c>
      <c r="K286" s="22" t="n">
        <v>4.26</v>
      </c>
      <c r="L286" s="22" t="n">
        <v>0.405</v>
      </c>
      <c r="M286" s="22" t="n">
        <v>10.3</v>
      </c>
      <c r="N286" s="43" t="n">
        <v>0.15</v>
      </c>
      <c r="O286" s="22" t="n">
        <v>3.81</v>
      </c>
      <c r="P286" s="22" t="n">
        <v>0.0752</v>
      </c>
      <c r="Q286" s="22" t="n">
        <v>7.52</v>
      </c>
      <c r="R286" s="22" t="n">
        <v>0.164</v>
      </c>
      <c r="S286" s="22" t="n">
        <v>164</v>
      </c>
      <c r="T286" s="22" t="n">
        <v>0.143</v>
      </c>
      <c r="U286" s="22" t="n">
        <f aca="false">C286*1</f>
        <v>280</v>
      </c>
      <c r="V286" s="22" t="n">
        <f aca="false">VLOOKUP(U286,'Powder Core Toroid OD'!$A$2:$B$36,2,0)</f>
        <v>9.65</v>
      </c>
    </row>
    <row r="287" customFormat="false" ht="14.4" hidden="true" customHeight="false" outlineLevel="0" collapsed="false">
      <c r="A287" s="45" t="n">
        <v>55275</v>
      </c>
      <c r="B287" s="22" t="s">
        <v>356</v>
      </c>
      <c r="C287" s="23" t="n">
        <v>280</v>
      </c>
      <c r="D287" s="22" t="n">
        <v>300</v>
      </c>
      <c r="E287" s="22" t="s">
        <v>50</v>
      </c>
      <c r="F287" s="22" t="n">
        <v>128</v>
      </c>
      <c r="G287" s="22" t="s">
        <v>51</v>
      </c>
      <c r="H287" s="22" t="n">
        <v>2.18</v>
      </c>
      <c r="I287" s="22" t="n">
        <v>21.8</v>
      </c>
      <c r="J287" s="22" t="n">
        <v>0.168</v>
      </c>
      <c r="K287" s="22" t="n">
        <v>4.26</v>
      </c>
      <c r="L287" s="22" t="n">
        <v>0.405</v>
      </c>
      <c r="M287" s="22" t="n">
        <v>10.3</v>
      </c>
      <c r="N287" s="43" t="n">
        <v>0.15</v>
      </c>
      <c r="O287" s="22" t="n">
        <v>3.81</v>
      </c>
      <c r="P287" s="22" t="n">
        <v>0.0752</v>
      </c>
      <c r="Q287" s="22" t="n">
        <v>7.52</v>
      </c>
      <c r="R287" s="22" t="n">
        <v>0.164</v>
      </c>
      <c r="S287" s="22" t="n">
        <v>164</v>
      </c>
      <c r="T287" s="22" t="n">
        <v>0.143</v>
      </c>
      <c r="U287" s="22" t="n">
        <f aca="false">C287*1</f>
        <v>280</v>
      </c>
      <c r="V287" s="22" t="n">
        <f aca="false">VLOOKUP(U287,'Powder Core Toroid OD'!$A$2:$B$36,2,0)</f>
        <v>9.65</v>
      </c>
    </row>
    <row r="288" customFormat="false" ht="14.4" hidden="true" customHeight="false" outlineLevel="0" collapsed="false">
      <c r="A288" s="45" t="n">
        <v>55276</v>
      </c>
      <c r="B288" s="22" t="s">
        <v>357</v>
      </c>
      <c r="C288" s="23" t="n">
        <v>280</v>
      </c>
      <c r="D288" s="22" t="n">
        <v>550</v>
      </c>
      <c r="E288" s="22" t="s">
        <v>50</v>
      </c>
      <c r="F288" s="22" t="n">
        <v>232</v>
      </c>
      <c r="G288" s="22" t="s">
        <v>51</v>
      </c>
      <c r="H288" s="22" t="n">
        <v>2.18</v>
      </c>
      <c r="I288" s="22" t="n">
        <v>21.8</v>
      </c>
      <c r="J288" s="22" t="n">
        <v>0.168</v>
      </c>
      <c r="K288" s="22" t="n">
        <v>4.26</v>
      </c>
      <c r="L288" s="22" t="n">
        <v>0.405</v>
      </c>
      <c r="M288" s="22" t="n">
        <v>10.3</v>
      </c>
      <c r="N288" s="43" t="n">
        <v>0.15</v>
      </c>
      <c r="O288" s="22" t="n">
        <v>3.81</v>
      </c>
      <c r="P288" s="22" t="n">
        <v>0.0752</v>
      </c>
      <c r="Q288" s="22" t="n">
        <v>7.52</v>
      </c>
      <c r="R288" s="22" t="n">
        <v>0.164</v>
      </c>
      <c r="S288" s="22" t="n">
        <v>164</v>
      </c>
      <c r="T288" s="22" t="n">
        <v>0.143</v>
      </c>
      <c r="U288" s="22" t="n">
        <f aca="false">C288*1</f>
        <v>280</v>
      </c>
      <c r="V288" s="22" t="n">
        <f aca="false">VLOOKUP(U288,'Powder Core Toroid OD'!$A$2:$B$36,2,0)</f>
        <v>9.65</v>
      </c>
    </row>
    <row r="289" customFormat="false" ht="14.4" hidden="true" customHeight="false" outlineLevel="0" collapsed="false">
      <c r="A289" s="45" t="n">
        <v>55277</v>
      </c>
      <c r="B289" s="22" t="s">
        <v>358</v>
      </c>
      <c r="C289" s="23" t="n">
        <v>280</v>
      </c>
      <c r="D289" s="22" t="n">
        <v>200</v>
      </c>
      <c r="E289" s="22" t="s">
        <v>50</v>
      </c>
      <c r="F289" s="22" t="n">
        <v>84</v>
      </c>
      <c r="G289" s="22" t="s">
        <v>51</v>
      </c>
      <c r="H289" s="22" t="n">
        <v>2.18</v>
      </c>
      <c r="I289" s="22" t="n">
        <v>21.8</v>
      </c>
      <c r="J289" s="22" t="n">
        <v>0.168</v>
      </c>
      <c r="K289" s="22" t="n">
        <v>4.26</v>
      </c>
      <c r="L289" s="22" t="n">
        <v>0.405</v>
      </c>
      <c r="M289" s="22" t="n">
        <v>10.3</v>
      </c>
      <c r="N289" s="43" t="n">
        <v>0.15</v>
      </c>
      <c r="O289" s="22" t="n">
        <v>3.81</v>
      </c>
      <c r="P289" s="22" t="n">
        <v>0.0752</v>
      </c>
      <c r="Q289" s="22" t="n">
        <v>7.52</v>
      </c>
      <c r="R289" s="22" t="n">
        <v>0.164</v>
      </c>
      <c r="S289" s="22" t="n">
        <v>164</v>
      </c>
      <c r="T289" s="22" t="n">
        <v>0.143</v>
      </c>
      <c r="U289" s="22" t="n">
        <f aca="false">C289*1</f>
        <v>280</v>
      </c>
      <c r="V289" s="22" t="n">
        <f aca="false">VLOOKUP(U289,'Powder Core Toroid OD'!$A$2:$B$36,2,0)</f>
        <v>9.65</v>
      </c>
    </row>
    <row r="290" customFormat="false" ht="14.4" hidden="true" customHeight="false" outlineLevel="0" collapsed="false">
      <c r="A290" s="45" t="n">
        <v>55278</v>
      </c>
      <c r="B290" s="22" t="s">
        <v>359</v>
      </c>
      <c r="C290" s="23" t="n">
        <v>280</v>
      </c>
      <c r="D290" s="22" t="n">
        <v>160</v>
      </c>
      <c r="E290" s="22" t="s">
        <v>50</v>
      </c>
      <c r="F290" s="22" t="n">
        <v>68</v>
      </c>
      <c r="G290" s="22" t="s">
        <v>51</v>
      </c>
      <c r="H290" s="22" t="n">
        <v>2.18</v>
      </c>
      <c r="I290" s="22" t="n">
        <v>21.8</v>
      </c>
      <c r="J290" s="22" t="n">
        <v>0.168</v>
      </c>
      <c r="K290" s="22" t="n">
        <v>4.26</v>
      </c>
      <c r="L290" s="22" t="n">
        <v>0.405</v>
      </c>
      <c r="M290" s="22" t="n">
        <v>10.3</v>
      </c>
      <c r="N290" s="43" t="n">
        <v>0.15</v>
      </c>
      <c r="O290" s="22" t="n">
        <v>3.81</v>
      </c>
      <c r="P290" s="22" t="n">
        <v>0.0752</v>
      </c>
      <c r="Q290" s="22" t="n">
        <v>7.52</v>
      </c>
      <c r="R290" s="22" t="n">
        <v>0.164</v>
      </c>
      <c r="S290" s="22" t="n">
        <v>164</v>
      </c>
      <c r="T290" s="22" t="n">
        <v>0.143</v>
      </c>
      <c r="U290" s="22" t="n">
        <f aca="false">C290*1</f>
        <v>280</v>
      </c>
      <c r="V290" s="22" t="n">
        <f aca="false">VLOOKUP(U290,'Powder Core Toroid OD'!$A$2:$B$36,2,0)</f>
        <v>9.65</v>
      </c>
    </row>
    <row r="291" customFormat="false" ht="14.4" hidden="true" customHeight="false" outlineLevel="0" collapsed="false">
      <c r="A291" s="45" t="n">
        <v>55279</v>
      </c>
      <c r="B291" s="22" t="s">
        <v>360</v>
      </c>
      <c r="C291" s="23" t="n">
        <v>280</v>
      </c>
      <c r="D291" s="22" t="n">
        <v>147</v>
      </c>
      <c r="E291" s="22" t="s">
        <v>50</v>
      </c>
      <c r="F291" s="22" t="n">
        <v>63</v>
      </c>
      <c r="G291" s="22" t="s">
        <v>51</v>
      </c>
      <c r="H291" s="22" t="n">
        <v>2.18</v>
      </c>
      <c r="I291" s="22" t="n">
        <v>21.8</v>
      </c>
      <c r="J291" s="22" t="n">
        <v>0.168</v>
      </c>
      <c r="K291" s="22" t="n">
        <v>4.26</v>
      </c>
      <c r="L291" s="22" t="n">
        <v>0.405</v>
      </c>
      <c r="M291" s="22" t="n">
        <v>10.3</v>
      </c>
      <c r="N291" s="43" t="n">
        <v>0.15</v>
      </c>
      <c r="O291" s="22" t="n">
        <v>3.81</v>
      </c>
      <c r="P291" s="22" t="n">
        <v>0.0752</v>
      </c>
      <c r="Q291" s="22" t="n">
        <v>7.52</v>
      </c>
      <c r="R291" s="22" t="n">
        <v>0.164</v>
      </c>
      <c r="S291" s="22" t="n">
        <v>164</v>
      </c>
      <c r="T291" s="22" t="n">
        <v>0.143</v>
      </c>
      <c r="U291" s="22" t="n">
        <f aca="false">C291*1</f>
        <v>280</v>
      </c>
      <c r="V291" s="22" t="n">
        <f aca="false">VLOOKUP(U291,'Powder Core Toroid OD'!$A$2:$B$36,2,0)</f>
        <v>9.65</v>
      </c>
    </row>
    <row r="292" customFormat="false" ht="14.4" hidden="true" customHeight="false" outlineLevel="0" collapsed="false">
      <c r="A292" s="44" t="n">
        <v>5528</v>
      </c>
      <c r="B292" s="22" t="s">
        <v>361</v>
      </c>
      <c r="C292" s="31" t="s">
        <v>362</v>
      </c>
      <c r="D292" s="31" t="n">
        <v>26</v>
      </c>
      <c r="E292" s="31" t="s">
        <v>33</v>
      </c>
      <c r="F292" s="31" t="n">
        <v>116</v>
      </c>
      <c r="G292" s="31" t="s">
        <v>44</v>
      </c>
      <c r="H292" s="31" t="n">
        <v>12.3</v>
      </c>
      <c r="I292" s="31" t="n">
        <v>123</v>
      </c>
      <c r="J292" s="31" t="n">
        <v>1.101</v>
      </c>
      <c r="K292" s="31" t="n">
        <v>27.97</v>
      </c>
      <c r="L292" s="31" t="n">
        <v>2.192</v>
      </c>
      <c r="M292" s="31" t="n">
        <v>55.68</v>
      </c>
      <c r="N292" s="31" t="n">
        <v>0.827</v>
      </c>
      <c r="O292" s="33" t="n">
        <v>21</v>
      </c>
      <c r="P292" s="32" t="n">
        <v>3.5</v>
      </c>
      <c r="Q292" s="31" t="n">
        <v>350</v>
      </c>
      <c r="R292" s="31" t="n">
        <v>43.1</v>
      </c>
      <c r="S292" s="31" t="n">
        <v>43100</v>
      </c>
      <c r="T292" s="31"/>
    </row>
    <row r="293" customFormat="false" ht="14.4" hidden="true" customHeight="false" outlineLevel="0" collapsed="false">
      <c r="A293" s="44" t="n">
        <v>5528</v>
      </c>
      <c r="B293" s="22" t="s">
        <v>363</v>
      </c>
      <c r="C293" s="31" t="s">
        <v>362</v>
      </c>
      <c r="D293" s="31" t="n">
        <v>40</v>
      </c>
      <c r="E293" s="31" t="s">
        <v>33</v>
      </c>
      <c r="F293" s="31" t="n">
        <v>157</v>
      </c>
      <c r="G293" s="31" t="s">
        <v>44</v>
      </c>
      <c r="H293" s="31" t="n">
        <v>12.3</v>
      </c>
      <c r="I293" s="31" t="n">
        <v>123</v>
      </c>
      <c r="J293" s="31" t="n">
        <v>1.101</v>
      </c>
      <c r="K293" s="31" t="n">
        <v>27.97</v>
      </c>
      <c r="L293" s="31" t="n">
        <v>2.192</v>
      </c>
      <c r="M293" s="31" t="n">
        <v>55.68</v>
      </c>
      <c r="N293" s="31" t="n">
        <v>0.827</v>
      </c>
      <c r="O293" s="33" t="n">
        <v>21</v>
      </c>
      <c r="P293" s="32" t="n">
        <v>3.5</v>
      </c>
      <c r="Q293" s="31" t="n">
        <v>350</v>
      </c>
      <c r="R293" s="31" t="n">
        <v>43.1</v>
      </c>
      <c r="S293" s="31" t="n">
        <v>43100</v>
      </c>
      <c r="T293" s="31"/>
    </row>
    <row r="294" customFormat="false" ht="14.4" hidden="true" customHeight="false" outlineLevel="0" collapsed="false">
      <c r="A294" s="44" t="n">
        <v>5528</v>
      </c>
      <c r="B294" s="22" t="s">
        <v>364</v>
      </c>
      <c r="C294" s="31" t="s">
        <v>362</v>
      </c>
      <c r="D294" s="31" t="n">
        <v>60</v>
      </c>
      <c r="E294" s="31" t="s">
        <v>33</v>
      </c>
      <c r="F294" s="31" t="n">
        <v>219</v>
      </c>
      <c r="G294" s="31" t="s">
        <v>44</v>
      </c>
      <c r="H294" s="31" t="n">
        <v>12.3</v>
      </c>
      <c r="I294" s="31" t="n">
        <v>123</v>
      </c>
      <c r="J294" s="31" t="n">
        <v>1.101</v>
      </c>
      <c r="K294" s="31" t="n">
        <v>27.97</v>
      </c>
      <c r="L294" s="31" t="n">
        <v>2.192</v>
      </c>
      <c r="M294" s="31" t="n">
        <v>55.68</v>
      </c>
      <c r="N294" s="31" t="n">
        <v>0.827</v>
      </c>
      <c r="O294" s="33" t="n">
        <v>21</v>
      </c>
      <c r="P294" s="32" t="n">
        <v>3.5</v>
      </c>
      <c r="Q294" s="31" t="n">
        <v>350</v>
      </c>
      <c r="R294" s="31" t="n">
        <v>43.1</v>
      </c>
      <c r="S294" s="31" t="n">
        <v>43100</v>
      </c>
      <c r="T294" s="31"/>
    </row>
    <row r="295" customFormat="false" ht="14.4" hidden="true" customHeight="false" outlineLevel="0" collapsed="false">
      <c r="A295" s="44" t="n">
        <v>5528</v>
      </c>
      <c r="B295" s="22" t="s">
        <v>365</v>
      </c>
      <c r="C295" s="31" t="s">
        <v>362</v>
      </c>
      <c r="D295" s="31" t="n">
        <v>90</v>
      </c>
      <c r="E295" s="31" t="s">
        <v>33</v>
      </c>
      <c r="F295" s="31" t="n">
        <v>322</v>
      </c>
      <c r="G295" s="31" t="s">
        <v>44</v>
      </c>
      <c r="H295" s="31" t="n">
        <v>12.3</v>
      </c>
      <c r="I295" s="31" t="n">
        <v>123</v>
      </c>
      <c r="J295" s="31" t="n">
        <v>1.101</v>
      </c>
      <c r="K295" s="31" t="n">
        <v>27.97</v>
      </c>
      <c r="L295" s="31" t="n">
        <v>2.192</v>
      </c>
      <c r="M295" s="31" t="n">
        <v>55.68</v>
      </c>
      <c r="N295" s="31" t="n">
        <v>0.827</v>
      </c>
      <c r="O295" s="33" t="n">
        <v>21</v>
      </c>
      <c r="P295" s="32" t="n">
        <v>3.5</v>
      </c>
      <c r="Q295" s="31" t="n">
        <v>350</v>
      </c>
      <c r="R295" s="31" t="n">
        <v>43.1</v>
      </c>
      <c r="S295" s="31" t="n">
        <v>43100</v>
      </c>
      <c r="T295" s="31"/>
    </row>
    <row r="296" customFormat="false" ht="14.4" hidden="true" customHeight="false" outlineLevel="0" collapsed="false">
      <c r="A296" s="45" t="n">
        <v>55280</v>
      </c>
      <c r="B296" s="22" t="s">
        <v>366</v>
      </c>
      <c r="C296" s="23" t="n">
        <v>280</v>
      </c>
      <c r="D296" s="22" t="n">
        <v>125</v>
      </c>
      <c r="E296" s="22" t="s">
        <v>50</v>
      </c>
      <c r="F296" s="22" t="n">
        <v>53</v>
      </c>
      <c r="G296" s="22" t="s">
        <v>51</v>
      </c>
      <c r="H296" s="22" t="n">
        <v>2.18</v>
      </c>
      <c r="I296" s="22" t="n">
        <v>21.8</v>
      </c>
      <c r="J296" s="22" t="n">
        <v>0.168</v>
      </c>
      <c r="K296" s="22" t="n">
        <v>4.26</v>
      </c>
      <c r="L296" s="22" t="n">
        <v>0.405</v>
      </c>
      <c r="M296" s="22" t="n">
        <v>10.3</v>
      </c>
      <c r="N296" s="43" t="n">
        <v>0.15</v>
      </c>
      <c r="O296" s="22" t="n">
        <v>3.81</v>
      </c>
      <c r="P296" s="22" t="n">
        <v>0.0752</v>
      </c>
      <c r="Q296" s="22" t="n">
        <v>7.52</v>
      </c>
      <c r="R296" s="22" t="n">
        <v>0.164</v>
      </c>
      <c r="S296" s="22" t="n">
        <v>164</v>
      </c>
      <c r="T296" s="22" t="n">
        <v>0.143</v>
      </c>
      <c r="U296" s="22" t="n">
        <f aca="false">C296*1</f>
        <v>280</v>
      </c>
      <c r="V296" s="22" t="n">
        <f aca="false">VLOOKUP(U296,'Powder Core Toroid OD'!$A$2:$B$36,2,0)</f>
        <v>9.65</v>
      </c>
    </row>
    <row r="297" customFormat="false" ht="14.4" hidden="true" customHeight="false" outlineLevel="0" collapsed="false">
      <c r="A297" s="45" t="n">
        <v>55281</v>
      </c>
      <c r="B297" s="22" t="s">
        <v>367</v>
      </c>
      <c r="C297" s="23" t="n">
        <v>280</v>
      </c>
      <c r="D297" s="22" t="n">
        <v>60</v>
      </c>
      <c r="E297" s="22" t="s">
        <v>50</v>
      </c>
      <c r="F297" s="22" t="n">
        <v>25</v>
      </c>
      <c r="G297" s="22" t="s">
        <v>51</v>
      </c>
      <c r="H297" s="22" t="n">
        <v>2.18</v>
      </c>
      <c r="I297" s="22" t="n">
        <v>21.8</v>
      </c>
      <c r="J297" s="22" t="n">
        <v>0.168</v>
      </c>
      <c r="K297" s="22" t="n">
        <v>4.26</v>
      </c>
      <c r="L297" s="22" t="n">
        <v>0.405</v>
      </c>
      <c r="M297" s="22" t="n">
        <v>10.3</v>
      </c>
      <c r="N297" s="43" t="n">
        <v>0.15</v>
      </c>
      <c r="O297" s="22" t="n">
        <v>3.81</v>
      </c>
      <c r="P297" s="22" t="n">
        <v>0.0752</v>
      </c>
      <c r="Q297" s="22" t="n">
        <v>7.52</v>
      </c>
      <c r="R297" s="22" t="n">
        <v>0.164</v>
      </c>
      <c r="S297" s="22" t="n">
        <v>164</v>
      </c>
      <c r="T297" s="22" t="n">
        <v>0.143</v>
      </c>
      <c r="U297" s="22" t="n">
        <f aca="false">C297*1</f>
        <v>280</v>
      </c>
      <c r="V297" s="22" t="n">
        <f aca="false">VLOOKUP(U297,'Powder Core Toroid OD'!$A$2:$B$36,2,0)</f>
        <v>9.65</v>
      </c>
    </row>
    <row r="298" customFormat="false" ht="14.4" hidden="true" customHeight="false" outlineLevel="0" collapsed="false">
      <c r="A298" s="45" t="n">
        <v>55282</v>
      </c>
      <c r="B298" s="22" t="s">
        <v>368</v>
      </c>
      <c r="C298" s="23" t="n">
        <v>280</v>
      </c>
      <c r="D298" s="22" t="n">
        <v>26</v>
      </c>
      <c r="E298" s="22" t="s">
        <v>50</v>
      </c>
      <c r="F298" s="22" t="n">
        <v>11</v>
      </c>
      <c r="G298" s="22" t="s">
        <v>51</v>
      </c>
      <c r="H298" s="22" t="n">
        <v>2.18</v>
      </c>
      <c r="I298" s="22" t="n">
        <v>21.8</v>
      </c>
      <c r="J298" s="22" t="n">
        <v>0.168</v>
      </c>
      <c r="K298" s="22" t="n">
        <v>4.26</v>
      </c>
      <c r="L298" s="22" t="n">
        <v>0.405</v>
      </c>
      <c r="M298" s="22" t="n">
        <v>10.3</v>
      </c>
      <c r="N298" s="43" t="n">
        <v>0.15</v>
      </c>
      <c r="O298" s="22" t="n">
        <v>3.81</v>
      </c>
      <c r="P298" s="22" t="n">
        <v>0.0752</v>
      </c>
      <c r="Q298" s="22" t="n">
        <v>7.52</v>
      </c>
      <c r="R298" s="22" t="n">
        <v>0.164</v>
      </c>
      <c r="S298" s="22" t="n">
        <v>164</v>
      </c>
      <c r="T298" s="22" t="n">
        <v>0.143</v>
      </c>
      <c r="U298" s="22" t="n">
        <f aca="false">C298*1</f>
        <v>280</v>
      </c>
      <c r="V298" s="22" t="n">
        <f aca="false">VLOOKUP(U298,'Powder Core Toroid OD'!$A$2:$B$36,2,0)</f>
        <v>9.65</v>
      </c>
    </row>
    <row r="299" customFormat="false" ht="14.4" hidden="true" customHeight="false" outlineLevel="0" collapsed="false">
      <c r="A299" s="45" t="n">
        <v>55283</v>
      </c>
      <c r="B299" s="22" t="s">
        <v>369</v>
      </c>
      <c r="C299" s="23" t="n">
        <v>280</v>
      </c>
      <c r="D299" s="22" t="n">
        <v>14</v>
      </c>
      <c r="E299" s="22" t="s">
        <v>50</v>
      </c>
      <c r="F299" s="22" t="n">
        <v>6</v>
      </c>
      <c r="G299" s="22" t="s">
        <v>51</v>
      </c>
      <c r="H299" s="22" t="n">
        <v>2.18</v>
      </c>
      <c r="I299" s="22" t="n">
        <v>21.8</v>
      </c>
      <c r="J299" s="22" t="n">
        <v>0.168</v>
      </c>
      <c r="K299" s="22" t="n">
        <v>4.26</v>
      </c>
      <c r="L299" s="22" t="n">
        <v>0.405</v>
      </c>
      <c r="M299" s="22" t="n">
        <v>10.3</v>
      </c>
      <c r="N299" s="43" t="n">
        <v>0.15</v>
      </c>
      <c r="O299" s="22" t="n">
        <v>3.81</v>
      </c>
      <c r="P299" s="22" t="n">
        <v>0.0752</v>
      </c>
      <c r="Q299" s="22" t="n">
        <v>7.52</v>
      </c>
      <c r="R299" s="22" t="n">
        <v>0.164</v>
      </c>
      <c r="S299" s="22" t="n">
        <v>164</v>
      </c>
      <c r="T299" s="22" t="n">
        <v>0.143</v>
      </c>
      <c r="U299" s="22" t="n">
        <f aca="false">C299*1</f>
        <v>280</v>
      </c>
      <c r="V299" s="22" t="n">
        <f aca="false">VLOOKUP(U299,'Powder Core Toroid OD'!$A$2:$B$36,2,0)</f>
        <v>9.65</v>
      </c>
    </row>
    <row r="300" customFormat="false" ht="14.4" hidden="true" customHeight="false" outlineLevel="0" collapsed="false">
      <c r="A300" s="45" t="n">
        <v>55284</v>
      </c>
      <c r="B300" s="22" t="s">
        <v>370</v>
      </c>
      <c r="C300" s="23" t="n">
        <v>290</v>
      </c>
      <c r="D300" s="22" t="n">
        <v>173</v>
      </c>
      <c r="E300" s="22" t="s">
        <v>50</v>
      </c>
      <c r="F300" s="22" t="n">
        <v>92</v>
      </c>
      <c r="G300" s="22" t="s">
        <v>51</v>
      </c>
      <c r="H300" s="22" t="n">
        <v>2.18</v>
      </c>
      <c r="I300" s="22" t="n">
        <v>21.8</v>
      </c>
      <c r="J300" s="22" t="n">
        <v>0.168</v>
      </c>
      <c r="K300" s="22" t="n">
        <v>4.26</v>
      </c>
      <c r="L300" s="22" t="n">
        <v>0.405</v>
      </c>
      <c r="M300" s="22" t="n">
        <v>10.3</v>
      </c>
      <c r="N300" s="22" t="n">
        <v>0.181</v>
      </c>
      <c r="O300" s="42" t="n">
        <v>4.6</v>
      </c>
      <c r="P300" s="22" t="n">
        <v>0.0945</v>
      </c>
      <c r="Q300" s="22" t="n">
        <v>9.45</v>
      </c>
      <c r="R300" s="22" t="n">
        <v>0.206</v>
      </c>
      <c r="S300" s="22" t="n">
        <v>206</v>
      </c>
      <c r="T300" s="22" t="n">
        <v>0.143</v>
      </c>
      <c r="U300" s="22" t="n">
        <f aca="false">C300*1</f>
        <v>290</v>
      </c>
      <c r="V300" s="22" t="n">
        <f aca="false">VLOOKUP(U300,'Powder Core Toroid OD'!$A$2:$B$36,2,0)</f>
        <v>9.65</v>
      </c>
    </row>
    <row r="301" customFormat="false" ht="14.4" hidden="true" customHeight="false" outlineLevel="0" collapsed="false">
      <c r="A301" s="45" t="n">
        <v>55285</v>
      </c>
      <c r="B301" s="22" t="s">
        <v>371</v>
      </c>
      <c r="C301" s="23" t="n">
        <v>290</v>
      </c>
      <c r="D301" s="22" t="n">
        <v>300</v>
      </c>
      <c r="E301" s="22" t="s">
        <v>50</v>
      </c>
      <c r="F301" s="22" t="n">
        <v>159</v>
      </c>
      <c r="G301" s="22" t="s">
        <v>51</v>
      </c>
      <c r="H301" s="22" t="n">
        <v>2.18</v>
      </c>
      <c r="I301" s="22" t="n">
        <v>21.8</v>
      </c>
      <c r="J301" s="22" t="n">
        <v>0.168</v>
      </c>
      <c r="K301" s="22" t="n">
        <v>4.26</v>
      </c>
      <c r="L301" s="22" t="n">
        <v>0.405</v>
      </c>
      <c r="M301" s="22" t="n">
        <v>10.3</v>
      </c>
      <c r="N301" s="22" t="n">
        <v>0.181</v>
      </c>
      <c r="O301" s="42" t="n">
        <v>4.6</v>
      </c>
      <c r="P301" s="22" t="n">
        <v>0.0945</v>
      </c>
      <c r="Q301" s="22" t="n">
        <v>9.45</v>
      </c>
      <c r="R301" s="22" t="n">
        <v>0.206</v>
      </c>
      <c r="S301" s="22" t="n">
        <v>206</v>
      </c>
      <c r="T301" s="22" t="n">
        <v>0.143</v>
      </c>
      <c r="U301" s="22" t="n">
        <f aca="false">C301*1</f>
        <v>290</v>
      </c>
      <c r="V301" s="22" t="n">
        <f aca="false">VLOOKUP(U301,'Powder Core Toroid OD'!$A$2:$B$36,2,0)</f>
        <v>9.65</v>
      </c>
    </row>
    <row r="302" customFormat="false" ht="14.4" hidden="true" customHeight="false" outlineLevel="0" collapsed="false">
      <c r="A302" s="45" t="n">
        <v>55286</v>
      </c>
      <c r="B302" s="22" t="s">
        <v>372</v>
      </c>
      <c r="C302" s="23" t="n">
        <v>290</v>
      </c>
      <c r="D302" s="22" t="n">
        <v>550</v>
      </c>
      <c r="E302" s="22" t="s">
        <v>50</v>
      </c>
      <c r="F302" s="22" t="n">
        <v>290</v>
      </c>
      <c r="G302" s="22" t="s">
        <v>51</v>
      </c>
      <c r="H302" s="22" t="n">
        <v>2.18</v>
      </c>
      <c r="I302" s="22" t="n">
        <v>21.8</v>
      </c>
      <c r="J302" s="22" t="n">
        <v>0.168</v>
      </c>
      <c r="K302" s="22" t="n">
        <v>4.26</v>
      </c>
      <c r="L302" s="22" t="n">
        <v>0.405</v>
      </c>
      <c r="M302" s="22" t="n">
        <v>10.3</v>
      </c>
      <c r="N302" s="22" t="n">
        <v>0.181</v>
      </c>
      <c r="O302" s="42" t="n">
        <v>4.6</v>
      </c>
      <c r="P302" s="22" t="n">
        <v>0.0945</v>
      </c>
      <c r="Q302" s="22" t="n">
        <v>9.45</v>
      </c>
      <c r="R302" s="22" t="n">
        <v>0.206</v>
      </c>
      <c r="S302" s="22" t="n">
        <v>206</v>
      </c>
      <c r="T302" s="22" t="n">
        <v>0.143</v>
      </c>
      <c r="U302" s="22" t="n">
        <f aca="false">C302*1</f>
        <v>290</v>
      </c>
      <c r="V302" s="22" t="n">
        <f aca="false">VLOOKUP(U302,'Powder Core Toroid OD'!$A$2:$B$36,2,0)</f>
        <v>9.65</v>
      </c>
    </row>
    <row r="303" customFormat="false" ht="14.4" hidden="true" customHeight="false" outlineLevel="0" collapsed="false">
      <c r="A303" s="45" t="n">
        <v>55287</v>
      </c>
      <c r="B303" s="22" t="s">
        <v>373</v>
      </c>
      <c r="C303" s="23" t="n">
        <v>290</v>
      </c>
      <c r="D303" s="22" t="n">
        <v>200</v>
      </c>
      <c r="E303" s="22" t="s">
        <v>50</v>
      </c>
      <c r="F303" s="22" t="n">
        <v>105</v>
      </c>
      <c r="G303" s="22" t="s">
        <v>51</v>
      </c>
      <c r="H303" s="22" t="n">
        <v>2.18</v>
      </c>
      <c r="I303" s="22" t="n">
        <v>21.8</v>
      </c>
      <c r="J303" s="22" t="n">
        <v>0.168</v>
      </c>
      <c r="K303" s="22" t="n">
        <v>4.26</v>
      </c>
      <c r="L303" s="22" t="n">
        <v>0.405</v>
      </c>
      <c r="M303" s="22" t="n">
        <v>10.3</v>
      </c>
      <c r="N303" s="22" t="n">
        <v>0.181</v>
      </c>
      <c r="O303" s="42" t="n">
        <v>4.6</v>
      </c>
      <c r="P303" s="22" t="n">
        <v>0.0945</v>
      </c>
      <c r="Q303" s="22" t="n">
        <v>9.45</v>
      </c>
      <c r="R303" s="22" t="n">
        <v>0.206</v>
      </c>
      <c r="S303" s="22" t="n">
        <v>206</v>
      </c>
      <c r="T303" s="22" t="n">
        <v>0.143</v>
      </c>
      <c r="U303" s="22" t="n">
        <f aca="false">C303*1</f>
        <v>290</v>
      </c>
      <c r="V303" s="22" t="n">
        <f aca="false">VLOOKUP(U303,'Powder Core Toroid OD'!$A$2:$B$36,2,0)</f>
        <v>9.65</v>
      </c>
    </row>
    <row r="304" customFormat="false" ht="14.4" hidden="true" customHeight="false" outlineLevel="0" collapsed="false">
      <c r="A304" s="45" t="n">
        <v>55288</v>
      </c>
      <c r="B304" s="22" t="s">
        <v>374</v>
      </c>
      <c r="C304" s="23" t="n">
        <v>290</v>
      </c>
      <c r="D304" s="22" t="n">
        <v>160</v>
      </c>
      <c r="E304" s="22" t="s">
        <v>50</v>
      </c>
      <c r="F304" s="22" t="n">
        <v>84</v>
      </c>
      <c r="G304" s="22" t="s">
        <v>51</v>
      </c>
      <c r="H304" s="22" t="n">
        <v>2.18</v>
      </c>
      <c r="I304" s="22" t="n">
        <v>21.8</v>
      </c>
      <c r="J304" s="22" t="n">
        <v>0.168</v>
      </c>
      <c r="K304" s="22" t="n">
        <v>4.26</v>
      </c>
      <c r="L304" s="22" t="n">
        <v>0.405</v>
      </c>
      <c r="M304" s="22" t="n">
        <v>10.3</v>
      </c>
      <c r="N304" s="22" t="n">
        <v>0.181</v>
      </c>
      <c r="O304" s="42" t="n">
        <v>4.6</v>
      </c>
      <c r="P304" s="22" t="n">
        <v>0.0945</v>
      </c>
      <c r="Q304" s="22" t="n">
        <v>9.45</v>
      </c>
      <c r="R304" s="22" t="n">
        <v>0.206</v>
      </c>
      <c r="S304" s="22" t="n">
        <v>206</v>
      </c>
      <c r="T304" s="22" t="n">
        <v>0.143</v>
      </c>
      <c r="U304" s="22" t="n">
        <f aca="false">C304*1</f>
        <v>290</v>
      </c>
      <c r="V304" s="22" t="n">
        <f aca="false">VLOOKUP(U304,'Powder Core Toroid OD'!$A$2:$B$36,2,0)</f>
        <v>9.65</v>
      </c>
    </row>
    <row r="305" customFormat="false" ht="14.4" hidden="true" customHeight="false" outlineLevel="0" collapsed="false">
      <c r="A305" s="45" t="n">
        <v>55289</v>
      </c>
      <c r="B305" s="22" t="s">
        <v>375</v>
      </c>
      <c r="C305" s="23" t="n">
        <v>290</v>
      </c>
      <c r="D305" s="22" t="n">
        <v>147</v>
      </c>
      <c r="E305" s="22" t="s">
        <v>50</v>
      </c>
      <c r="F305" s="22" t="n">
        <v>78</v>
      </c>
      <c r="G305" s="22" t="s">
        <v>51</v>
      </c>
      <c r="H305" s="22" t="n">
        <v>2.18</v>
      </c>
      <c r="I305" s="22" t="n">
        <v>21.8</v>
      </c>
      <c r="J305" s="22" t="n">
        <v>0.168</v>
      </c>
      <c r="K305" s="22" t="n">
        <v>4.26</v>
      </c>
      <c r="L305" s="22" t="n">
        <v>0.405</v>
      </c>
      <c r="M305" s="22" t="n">
        <v>10.3</v>
      </c>
      <c r="N305" s="22" t="n">
        <v>0.181</v>
      </c>
      <c r="O305" s="42" t="n">
        <v>4.6</v>
      </c>
      <c r="P305" s="22" t="n">
        <v>0.0945</v>
      </c>
      <c r="Q305" s="22" t="n">
        <v>9.45</v>
      </c>
      <c r="R305" s="22" t="n">
        <v>0.206</v>
      </c>
      <c r="S305" s="22" t="n">
        <v>206</v>
      </c>
      <c r="T305" s="22" t="n">
        <v>0.143</v>
      </c>
      <c r="U305" s="22" t="n">
        <f aca="false">C305*1</f>
        <v>290</v>
      </c>
      <c r="V305" s="22" t="n">
        <f aca="false">VLOOKUP(U305,'Powder Core Toroid OD'!$A$2:$B$36,2,0)</f>
        <v>9.65</v>
      </c>
    </row>
    <row r="306" customFormat="false" ht="14.4" hidden="true" customHeight="false" outlineLevel="0" collapsed="false">
      <c r="A306" s="44" t="n">
        <v>5529</v>
      </c>
      <c r="B306" s="22" t="s">
        <v>376</v>
      </c>
      <c r="C306" s="31" t="s">
        <v>377</v>
      </c>
      <c r="D306" s="31" t="n">
        <v>26</v>
      </c>
      <c r="E306" s="31" t="s">
        <v>33</v>
      </c>
      <c r="F306" s="31" t="n">
        <v>85</v>
      </c>
      <c r="G306" s="31" t="s">
        <v>167</v>
      </c>
      <c r="H306" s="31" t="n">
        <v>16.8</v>
      </c>
      <c r="I306" s="31" t="n">
        <v>168</v>
      </c>
      <c r="J306" s="31" t="n">
        <v>1.105</v>
      </c>
      <c r="K306" s="31" t="n">
        <v>28.07</v>
      </c>
      <c r="L306" s="31" t="n">
        <v>2.185</v>
      </c>
      <c r="M306" s="32" t="n">
        <v>55.5</v>
      </c>
      <c r="N306" s="31" t="n">
        <v>0.927</v>
      </c>
      <c r="O306" s="31" t="n">
        <v>23.5</v>
      </c>
      <c r="P306" s="31" t="n">
        <v>2.44</v>
      </c>
      <c r="Q306" s="31" t="n">
        <v>244</v>
      </c>
      <c r="R306" s="33" t="n">
        <v>41</v>
      </c>
      <c r="S306" s="31" t="n">
        <v>41000</v>
      </c>
      <c r="T306" s="31"/>
    </row>
    <row r="307" customFormat="false" ht="14.4" hidden="true" customHeight="false" outlineLevel="0" collapsed="false">
      <c r="A307" s="45" t="n">
        <v>55290</v>
      </c>
      <c r="B307" s="22" t="s">
        <v>378</v>
      </c>
      <c r="C307" s="23" t="n">
        <v>290</v>
      </c>
      <c r="D307" s="22" t="n">
        <v>125</v>
      </c>
      <c r="E307" s="22" t="s">
        <v>50</v>
      </c>
      <c r="F307" s="22" t="n">
        <v>66</v>
      </c>
      <c r="G307" s="22" t="s">
        <v>51</v>
      </c>
      <c r="H307" s="22" t="n">
        <v>2.18</v>
      </c>
      <c r="I307" s="22" t="n">
        <v>21.8</v>
      </c>
      <c r="J307" s="22" t="n">
        <v>0.168</v>
      </c>
      <c r="K307" s="22" t="n">
        <v>4.26</v>
      </c>
      <c r="L307" s="22" t="n">
        <v>0.405</v>
      </c>
      <c r="M307" s="22" t="n">
        <v>10.3</v>
      </c>
      <c r="N307" s="22" t="n">
        <v>0.181</v>
      </c>
      <c r="O307" s="42" t="n">
        <v>4.6</v>
      </c>
      <c r="P307" s="22" t="n">
        <v>0.0945</v>
      </c>
      <c r="Q307" s="22" t="n">
        <v>9.45</v>
      </c>
      <c r="R307" s="22" t="n">
        <v>0.206</v>
      </c>
      <c r="S307" s="22" t="n">
        <v>206</v>
      </c>
      <c r="T307" s="22" t="n">
        <v>0.143</v>
      </c>
      <c r="U307" s="22" t="n">
        <f aca="false">C307*1</f>
        <v>290</v>
      </c>
      <c r="V307" s="22" t="n">
        <f aca="false">VLOOKUP(U307,'Powder Core Toroid OD'!$A$2:$B$36,2,0)</f>
        <v>9.65</v>
      </c>
    </row>
    <row r="308" customFormat="false" ht="14.4" hidden="true" customHeight="false" outlineLevel="0" collapsed="false">
      <c r="A308" s="45" t="n">
        <v>55291</v>
      </c>
      <c r="B308" s="22" t="s">
        <v>379</v>
      </c>
      <c r="C308" s="23" t="n">
        <v>290</v>
      </c>
      <c r="D308" s="22" t="n">
        <v>60</v>
      </c>
      <c r="E308" s="22" t="s">
        <v>50</v>
      </c>
      <c r="F308" s="22" t="n">
        <v>32</v>
      </c>
      <c r="G308" s="22" t="s">
        <v>51</v>
      </c>
      <c r="H308" s="22" t="n">
        <v>2.18</v>
      </c>
      <c r="I308" s="22" t="n">
        <v>21.8</v>
      </c>
      <c r="J308" s="22" t="n">
        <v>0.168</v>
      </c>
      <c r="K308" s="22" t="n">
        <v>4.26</v>
      </c>
      <c r="L308" s="22" t="n">
        <v>0.405</v>
      </c>
      <c r="M308" s="22" t="n">
        <v>10.3</v>
      </c>
      <c r="N308" s="22" t="n">
        <v>0.181</v>
      </c>
      <c r="O308" s="42" t="n">
        <v>4.6</v>
      </c>
      <c r="P308" s="22" t="n">
        <v>0.0945</v>
      </c>
      <c r="Q308" s="22" t="n">
        <v>9.45</v>
      </c>
      <c r="R308" s="22" t="n">
        <v>0.206</v>
      </c>
      <c r="S308" s="22" t="n">
        <v>206</v>
      </c>
      <c r="T308" s="22" t="n">
        <v>0.143</v>
      </c>
      <c r="U308" s="22" t="n">
        <f aca="false">C308*1</f>
        <v>290</v>
      </c>
      <c r="V308" s="22" t="n">
        <f aca="false">VLOOKUP(U308,'Powder Core Toroid OD'!$A$2:$B$36,2,0)</f>
        <v>9.65</v>
      </c>
    </row>
    <row r="309" customFormat="false" ht="14.4" hidden="true" customHeight="false" outlineLevel="0" collapsed="false">
      <c r="A309" s="45" t="n">
        <v>55292</v>
      </c>
      <c r="B309" s="22" t="s">
        <v>380</v>
      </c>
      <c r="C309" s="23" t="n">
        <v>290</v>
      </c>
      <c r="D309" s="22" t="n">
        <v>26</v>
      </c>
      <c r="E309" s="22" t="s">
        <v>50</v>
      </c>
      <c r="F309" s="22" t="n">
        <v>14</v>
      </c>
      <c r="G309" s="22" t="s">
        <v>51</v>
      </c>
      <c r="H309" s="22" t="n">
        <v>2.18</v>
      </c>
      <c r="I309" s="22" t="n">
        <v>21.8</v>
      </c>
      <c r="J309" s="22" t="n">
        <v>0.168</v>
      </c>
      <c r="K309" s="22" t="n">
        <v>4.26</v>
      </c>
      <c r="L309" s="22" t="n">
        <v>0.405</v>
      </c>
      <c r="M309" s="22" t="n">
        <v>10.3</v>
      </c>
      <c r="N309" s="22" t="n">
        <v>0.181</v>
      </c>
      <c r="O309" s="42" t="n">
        <v>4.6</v>
      </c>
      <c r="P309" s="22" t="n">
        <v>0.0945</v>
      </c>
      <c r="Q309" s="22" t="n">
        <v>9.45</v>
      </c>
      <c r="R309" s="22" t="n">
        <v>0.206</v>
      </c>
      <c r="S309" s="22" t="n">
        <v>206</v>
      </c>
      <c r="T309" s="22" t="n">
        <v>0.143</v>
      </c>
      <c r="U309" s="22" t="n">
        <f aca="false">C309*1</f>
        <v>290</v>
      </c>
      <c r="V309" s="22" t="n">
        <f aca="false">VLOOKUP(U309,'Powder Core Toroid OD'!$A$2:$B$36,2,0)</f>
        <v>9.65</v>
      </c>
    </row>
    <row r="310" customFormat="false" ht="14.4" hidden="true" customHeight="false" outlineLevel="0" collapsed="false">
      <c r="A310" s="45" t="n">
        <v>55293</v>
      </c>
      <c r="B310" s="22" t="s">
        <v>381</v>
      </c>
      <c r="C310" s="23" t="n">
        <v>290</v>
      </c>
      <c r="D310" s="22" t="n">
        <v>14</v>
      </c>
      <c r="E310" s="22" t="s">
        <v>50</v>
      </c>
      <c r="F310" s="22" t="n">
        <v>7</v>
      </c>
      <c r="G310" s="22" t="s">
        <v>51</v>
      </c>
      <c r="H310" s="22" t="n">
        <v>2.18</v>
      </c>
      <c r="I310" s="22" t="n">
        <v>21.8</v>
      </c>
      <c r="J310" s="22" t="n">
        <v>0.168</v>
      </c>
      <c r="K310" s="22" t="n">
        <v>4.26</v>
      </c>
      <c r="L310" s="22" t="n">
        <v>0.405</v>
      </c>
      <c r="M310" s="22" t="n">
        <v>10.3</v>
      </c>
      <c r="N310" s="22" t="n">
        <v>0.181</v>
      </c>
      <c r="O310" s="42" t="n">
        <v>4.6</v>
      </c>
      <c r="P310" s="22" t="n">
        <v>0.0945</v>
      </c>
      <c r="Q310" s="22" t="n">
        <v>9.45</v>
      </c>
      <c r="R310" s="22" t="n">
        <v>0.206</v>
      </c>
      <c r="S310" s="22" t="n">
        <v>206</v>
      </c>
      <c r="T310" s="22" t="n">
        <v>0.143</v>
      </c>
      <c r="U310" s="22" t="n">
        <f aca="false">C310*1</f>
        <v>290</v>
      </c>
      <c r="V310" s="22" t="n">
        <f aca="false">VLOOKUP(U310,'Powder Core Toroid OD'!$A$2:$B$36,2,0)</f>
        <v>9.65</v>
      </c>
    </row>
    <row r="311" customFormat="false" ht="14.4" hidden="true" customHeight="false" outlineLevel="0" collapsed="false">
      <c r="A311" s="44" t="n">
        <v>5530</v>
      </c>
      <c r="B311" s="22" t="s">
        <v>382</v>
      </c>
      <c r="C311" s="31" t="s">
        <v>383</v>
      </c>
      <c r="D311" s="31" t="n">
        <v>26</v>
      </c>
      <c r="E311" s="31" t="s">
        <v>33</v>
      </c>
      <c r="F311" s="31" t="n">
        <v>138</v>
      </c>
      <c r="G311" s="31" t="s">
        <v>44</v>
      </c>
      <c r="H311" s="31" t="n">
        <v>12.3</v>
      </c>
      <c r="I311" s="31" t="n">
        <v>123</v>
      </c>
      <c r="J311" s="31" t="n">
        <v>1.101</v>
      </c>
      <c r="K311" s="31" t="n">
        <v>27.97</v>
      </c>
      <c r="L311" s="31" t="n">
        <v>2.192</v>
      </c>
      <c r="M311" s="31" t="n">
        <v>55.68</v>
      </c>
      <c r="N311" s="31" t="n">
        <v>0.984</v>
      </c>
      <c r="O311" s="33" t="n">
        <v>25</v>
      </c>
      <c r="P311" s="31" t="n">
        <v>4.17</v>
      </c>
      <c r="Q311" s="31" t="n">
        <v>417</v>
      </c>
      <c r="R311" s="31" t="n">
        <v>51.3</v>
      </c>
      <c r="S311" s="31" t="n">
        <v>51300</v>
      </c>
      <c r="T311" s="31"/>
    </row>
    <row r="312" customFormat="false" ht="14.4" hidden="true" customHeight="false" outlineLevel="0" collapsed="false">
      <c r="A312" s="44" t="n">
        <v>5530</v>
      </c>
      <c r="B312" s="22" t="s">
        <v>384</v>
      </c>
      <c r="C312" s="31" t="s">
        <v>383</v>
      </c>
      <c r="D312" s="31" t="n">
        <v>40</v>
      </c>
      <c r="E312" s="31" t="s">
        <v>33</v>
      </c>
      <c r="F312" s="31" t="n">
        <v>187</v>
      </c>
      <c r="G312" s="31" t="s">
        <v>44</v>
      </c>
      <c r="H312" s="31" t="n">
        <v>12.3</v>
      </c>
      <c r="I312" s="31" t="n">
        <v>123</v>
      </c>
      <c r="J312" s="31" t="n">
        <v>1.101</v>
      </c>
      <c r="K312" s="31" t="n">
        <v>27.97</v>
      </c>
      <c r="L312" s="31" t="n">
        <v>2.192</v>
      </c>
      <c r="M312" s="31" t="n">
        <v>55.68</v>
      </c>
      <c r="N312" s="31" t="n">
        <v>0.984</v>
      </c>
      <c r="O312" s="33" t="n">
        <v>25</v>
      </c>
      <c r="P312" s="31" t="n">
        <v>4.17</v>
      </c>
      <c r="Q312" s="31" t="n">
        <v>417</v>
      </c>
      <c r="R312" s="31" t="n">
        <v>51.3</v>
      </c>
      <c r="S312" s="31" t="n">
        <v>51300</v>
      </c>
      <c r="T312" s="31"/>
    </row>
    <row r="313" customFormat="false" ht="14.4" hidden="true" customHeight="false" outlineLevel="0" collapsed="false">
      <c r="A313" s="44" t="n">
        <v>5530</v>
      </c>
      <c r="B313" s="22" t="s">
        <v>385</v>
      </c>
      <c r="C313" s="31" t="s">
        <v>383</v>
      </c>
      <c r="D313" s="31" t="n">
        <v>60</v>
      </c>
      <c r="E313" s="31" t="s">
        <v>33</v>
      </c>
      <c r="F313" s="31" t="n">
        <v>261</v>
      </c>
      <c r="G313" s="31" t="s">
        <v>44</v>
      </c>
      <c r="H313" s="31" t="n">
        <v>12.3</v>
      </c>
      <c r="I313" s="31" t="n">
        <v>123</v>
      </c>
      <c r="J313" s="31" t="n">
        <v>1.101</v>
      </c>
      <c r="K313" s="31" t="n">
        <v>27.97</v>
      </c>
      <c r="L313" s="31" t="n">
        <v>2.192</v>
      </c>
      <c r="M313" s="31" t="n">
        <v>55.68</v>
      </c>
      <c r="N313" s="31" t="n">
        <v>0.984</v>
      </c>
      <c r="O313" s="33" t="n">
        <v>25</v>
      </c>
      <c r="P313" s="31" t="n">
        <v>4.17</v>
      </c>
      <c r="Q313" s="31" t="n">
        <v>417</v>
      </c>
      <c r="R313" s="31" t="n">
        <v>51.3</v>
      </c>
      <c r="S313" s="31" t="n">
        <v>51300</v>
      </c>
      <c r="T313" s="31"/>
    </row>
    <row r="314" customFormat="false" ht="14.4" hidden="true" customHeight="false" outlineLevel="0" collapsed="false">
      <c r="A314" s="44" t="n">
        <v>5530</v>
      </c>
      <c r="B314" s="22" t="s">
        <v>386</v>
      </c>
      <c r="C314" s="31" t="s">
        <v>383</v>
      </c>
      <c r="D314" s="31" t="n">
        <v>90</v>
      </c>
      <c r="E314" s="31" t="s">
        <v>33</v>
      </c>
      <c r="F314" s="31" t="n">
        <v>338</v>
      </c>
      <c r="G314" s="31" t="s">
        <v>44</v>
      </c>
      <c r="H314" s="31" t="n">
        <v>12.3</v>
      </c>
      <c r="I314" s="31" t="n">
        <v>123</v>
      </c>
      <c r="J314" s="31" t="n">
        <v>1.101</v>
      </c>
      <c r="K314" s="31" t="n">
        <v>27.97</v>
      </c>
      <c r="L314" s="31" t="n">
        <v>2.192</v>
      </c>
      <c r="M314" s="31" t="n">
        <v>55.68</v>
      </c>
      <c r="N314" s="31" t="n">
        <v>0.984</v>
      </c>
      <c r="O314" s="33" t="n">
        <v>25</v>
      </c>
      <c r="P314" s="31" t="n">
        <v>4.17</v>
      </c>
      <c r="Q314" s="31" t="n">
        <v>417</v>
      </c>
      <c r="R314" s="31" t="n">
        <v>51.3</v>
      </c>
      <c r="S314" s="31" t="n">
        <v>51300</v>
      </c>
      <c r="T314" s="31"/>
    </row>
    <row r="315" customFormat="false" ht="14.4" hidden="true" customHeight="false" outlineLevel="0" collapsed="false">
      <c r="A315" s="45" t="n">
        <v>55304</v>
      </c>
      <c r="B315" s="22" t="s">
        <v>387</v>
      </c>
      <c r="C315" s="23" t="n">
        <v>310</v>
      </c>
      <c r="D315" s="22" t="n">
        <v>173</v>
      </c>
      <c r="E315" s="22" t="s">
        <v>50</v>
      </c>
      <c r="F315" s="22" t="n">
        <v>124</v>
      </c>
      <c r="G315" s="22" t="s">
        <v>51</v>
      </c>
      <c r="H315" s="22" t="n">
        <v>5.67</v>
      </c>
      <c r="I315" s="22" t="n">
        <v>56.7</v>
      </c>
      <c r="J315" s="22" t="n">
        <v>0.525</v>
      </c>
      <c r="K315" s="22" t="n">
        <v>13.3</v>
      </c>
      <c r="L315" s="43" t="n">
        <v>0.93</v>
      </c>
      <c r="M315" s="22" t="n">
        <v>23.7</v>
      </c>
      <c r="N315" s="43" t="n">
        <v>0.33</v>
      </c>
      <c r="O315" s="22" t="n">
        <v>8.39</v>
      </c>
      <c r="P315" s="22" t="n">
        <v>0.317</v>
      </c>
      <c r="Q315" s="22" t="n">
        <v>31.7</v>
      </c>
      <c r="R315" s="42" t="n">
        <v>1.8</v>
      </c>
      <c r="S315" s="22" t="n">
        <v>1800</v>
      </c>
      <c r="T315" s="22" t="n">
        <v>1.39</v>
      </c>
      <c r="U315" s="22" t="n">
        <f aca="false">C315*1</f>
        <v>310</v>
      </c>
      <c r="V315" s="22" t="n">
        <f aca="false">VLOOKUP(U315,'Powder Core Toroid OD'!$A$2:$B$36,2,0)</f>
        <v>22.9</v>
      </c>
    </row>
    <row r="316" customFormat="false" ht="14.4" hidden="true" customHeight="false" outlineLevel="0" collapsed="false">
      <c r="A316" s="45" t="n">
        <v>55305</v>
      </c>
      <c r="B316" s="22" t="s">
        <v>388</v>
      </c>
      <c r="C316" s="23" t="n">
        <v>310</v>
      </c>
      <c r="D316" s="22" t="n">
        <v>300</v>
      </c>
      <c r="E316" s="22" t="s">
        <v>50</v>
      </c>
      <c r="F316" s="22" t="n">
        <v>216</v>
      </c>
      <c r="G316" s="22" t="s">
        <v>51</v>
      </c>
      <c r="H316" s="22" t="n">
        <v>5.67</v>
      </c>
      <c r="I316" s="22" t="n">
        <v>56.7</v>
      </c>
      <c r="J316" s="22" t="n">
        <v>0.525</v>
      </c>
      <c r="K316" s="22" t="n">
        <v>13.3</v>
      </c>
      <c r="L316" s="43" t="n">
        <v>0.93</v>
      </c>
      <c r="M316" s="22" t="n">
        <v>23.7</v>
      </c>
      <c r="N316" s="43" t="n">
        <v>0.33</v>
      </c>
      <c r="O316" s="22" t="n">
        <v>8.39</v>
      </c>
      <c r="P316" s="22" t="n">
        <v>0.317</v>
      </c>
      <c r="Q316" s="22" t="n">
        <v>31.7</v>
      </c>
      <c r="R316" s="42" t="n">
        <v>1.8</v>
      </c>
      <c r="S316" s="22" t="n">
        <v>1800</v>
      </c>
      <c r="T316" s="22" t="n">
        <v>1.39</v>
      </c>
      <c r="U316" s="22" t="n">
        <f aca="false">C316*1</f>
        <v>310</v>
      </c>
      <c r="V316" s="22" t="n">
        <f aca="false">VLOOKUP(U316,'Powder Core Toroid OD'!$A$2:$B$36,2,0)</f>
        <v>22.9</v>
      </c>
    </row>
    <row r="317" customFormat="false" ht="14.4" hidden="true" customHeight="false" outlineLevel="0" collapsed="false">
      <c r="A317" s="45" t="n">
        <v>55306</v>
      </c>
      <c r="B317" s="22" t="s">
        <v>389</v>
      </c>
      <c r="C317" s="23" t="n">
        <v>310</v>
      </c>
      <c r="D317" s="22" t="n">
        <v>550</v>
      </c>
      <c r="E317" s="22" t="s">
        <v>50</v>
      </c>
      <c r="F317" s="22" t="n">
        <v>396</v>
      </c>
      <c r="G317" s="22" t="s">
        <v>51</v>
      </c>
      <c r="H317" s="22" t="n">
        <v>5.67</v>
      </c>
      <c r="I317" s="22" t="n">
        <v>56.7</v>
      </c>
      <c r="J317" s="22" t="n">
        <v>0.525</v>
      </c>
      <c r="K317" s="22" t="n">
        <v>13.3</v>
      </c>
      <c r="L317" s="43" t="n">
        <v>0.93</v>
      </c>
      <c r="M317" s="22" t="n">
        <v>23.7</v>
      </c>
      <c r="N317" s="43" t="n">
        <v>0.33</v>
      </c>
      <c r="O317" s="22" t="n">
        <v>8.39</v>
      </c>
      <c r="P317" s="22" t="n">
        <v>0.317</v>
      </c>
      <c r="Q317" s="22" t="n">
        <v>31.7</v>
      </c>
      <c r="R317" s="42" t="n">
        <v>1.8</v>
      </c>
      <c r="S317" s="22" t="n">
        <v>1800</v>
      </c>
      <c r="T317" s="22" t="n">
        <v>1.39</v>
      </c>
      <c r="U317" s="22" t="n">
        <f aca="false">C317*1</f>
        <v>310</v>
      </c>
      <c r="V317" s="22" t="n">
        <f aca="false">VLOOKUP(U317,'Powder Core Toroid OD'!$A$2:$B$36,2,0)</f>
        <v>22.9</v>
      </c>
    </row>
    <row r="318" customFormat="false" ht="14.4" hidden="true" customHeight="false" outlineLevel="0" collapsed="false">
      <c r="A318" s="45" t="n">
        <v>55307</v>
      </c>
      <c r="B318" s="22" t="s">
        <v>390</v>
      </c>
      <c r="C318" s="23" t="n">
        <v>310</v>
      </c>
      <c r="D318" s="22" t="n">
        <v>200</v>
      </c>
      <c r="E318" s="22" t="s">
        <v>50</v>
      </c>
      <c r="F318" s="22" t="n">
        <v>144</v>
      </c>
      <c r="G318" s="22" t="s">
        <v>51</v>
      </c>
      <c r="H318" s="22" t="n">
        <v>5.67</v>
      </c>
      <c r="I318" s="22" t="n">
        <v>56.7</v>
      </c>
      <c r="J318" s="22" t="n">
        <v>0.525</v>
      </c>
      <c r="K318" s="22" t="n">
        <v>13.3</v>
      </c>
      <c r="L318" s="43" t="n">
        <v>0.93</v>
      </c>
      <c r="M318" s="22" t="n">
        <v>23.7</v>
      </c>
      <c r="N318" s="43" t="n">
        <v>0.33</v>
      </c>
      <c r="O318" s="22" t="n">
        <v>8.39</v>
      </c>
      <c r="P318" s="22" t="n">
        <v>0.317</v>
      </c>
      <c r="Q318" s="22" t="n">
        <v>31.7</v>
      </c>
      <c r="R318" s="42" t="n">
        <v>1.8</v>
      </c>
      <c r="S318" s="22" t="n">
        <v>1800</v>
      </c>
      <c r="T318" s="22" t="n">
        <v>1.39</v>
      </c>
      <c r="U318" s="22" t="n">
        <f aca="false">C318*1</f>
        <v>310</v>
      </c>
      <c r="V318" s="22" t="n">
        <f aca="false">VLOOKUP(U318,'Powder Core Toroid OD'!$A$2:$B$36,2,0)</f>
        <v>22.9</v>
      </c>
    </row>
    <row r="319" customFormat="false" ht="14.4" hidden="true" customHeight="false" outlineLevel="0" collapsed="false">
      <c r="A319" s="45" t="n">
        <v>55308</v>
      </c>
      <c r="B319" s="22" t="s">
        <v>391</v>
      </c>
      <c r="C319" s="23" t="n">
        <v>310</v>
      </c>
      <c r="D319" s="22" t="n">
        <v>160</v>
      </c>
      <c r="E319" s="22" t="s">
        <v>50</v>
      </c>
      <c r="F319" s="22" t="n">
        <v>115</v>
      </c>
      <c r="G319" s="22" t="s">
        <v>51</v>
      </c>
      <c r="H319" s="22" t="n">
        <v>5.67</v>
      </c>
      <c r="I319" s="22" t="n">
        <v>56.7</v>
      </c>
      <c r="J319" s="22" t="n">
        <v>0.525</v>
      </c>
      <c r="K319" s="22" t="n">
        <v>13.3</v>
      </c>
      <c r="L319" s="43" t="n">
        <v>0.93</v>
      </c>
      <c r="M319" s="22" t="n">
        <v>23.7</v>
      </c>
      <c r="N319" s="43" t="n">
        <v>0.33</v>
      </c>
      <c r="O319" s="22" t="n">
        <v>8.39</v>
      </c>
      <c r="P319" s="22" t="n">
        <v>0.317</v>
      </c>
      <c r="Q319" s="22" t="n">
        <v>31.7</v>
      </c>
      <c r="R319" s="42" t="n">
        <v>1.8</v>
      </c>
      <c r="S319" s="22" t="n">
        <v>1800</v>
      </c>
      <c r="T319" s="22" t="n">
        <v>1.39</v>
      </c>
      <c r="U319" s="22" t="n">
        <f aca="false">C319*1</f>
        <v>310</v>
      </c>
      <c r="V319" s="22" t="n">
        <f aca="false">VLOOKUP(U319,'Powder Core Toroid OD'!$A$2:$B$36,2,0)</f>
        <v>22.9</v>
      </c>
    </row>
    <row r="320" customFormat="false" ht="14.4" hidden="true" customHeight="false" outlineLevel="0" collapsed="false">
      <c r="A320" s="45" t="n">
        <v>55309</v>
      </c>
      <c r="B320" s="22" t="s">
        <v>392</v>
      </c>
      <c r="C320" s="23" t="n">
        <v>310</v>
      </c>
      <c r="D320" s="22" t="n">
        <v>147</v>
      </c>
      <c r="E320" s="22" t="s">
        <v>50</v>
      </c>
      <c r="F320" s="22" t="n">
        <v>106</v>
      </c>
      <c r="G320" s="22" t="s">
        <v>51</v>
      </c>
      <c r="H320" s="22" t="n">
        <v>5.67</v>
      </c>
      <c r="I320" s="22" t="n">
        <v>56.7</v>
      </c>
      <c r="J320" s="22" t="n">
        <v>0.525</v>
      </c>
      <c r="K320" s="22" t="n">
        <v>13.3</v>
      </c>
      <c r="L320" s="43" t="n">
        <v>0.93</v>
      </c>
      <c r="M320" s="22" t="n">
        <v>23.7</v>
      </c>
      <c r="N320" s="43" t="n">
        <v>0.33</v>
      </c>
      <c r="O320" s="22" t="n">
        <v>8.39</v>
      </c>
      <c r="P320" s="22" t="n">
        <v>0.317</v>
      </c>
      <c r="Q320" s="22" t="n">
        <v>31.7</v>
      </c>
      <c r="R320" s="42" t="n">
        <v>1.8</v>
      </c>
      <c r="S320" s="22" t="n">
        <v>1800</v>
      </c>
      <c r="T320" s="22" t="n">
        <v>1.39</v>
      </c>
      <c r="U320" s="22" t="n">
        <f aca="false">C320*1</f>
        <v>310</v>
      </c>
      <c r="V320" s="22" t="n">
        <f aca="false">VLOOKUP(U320,'Powder Core Toroid OD'!$A$2:$B$36,2,0)</f>
        <v>22.9</v>
      </c>
    </row>
    <row r="321" customFormat="false" ht="14.4" hidden="true" customHeight="false" outlineLevel="0" collapsed="false">
      <c r="A321" s="45" t="n">
        <v>55310</v>
      </c>
      <c r="B321" s="22" t="s">
        <v>393</v>
      </c>
      <c r="C321" s="23" t="n">
        <v>310</v>
      </c>
      <c r="D321" s="22" t="n">
        <v>125</v>
      </c>
      <c r="E321" s="22" t="s">
        <v>50</v>
      </c>
      <c r="F321" s="22" t="n">
        <v>90</v>
      </c>
      <c r="G321" s="22" t="s">
        <v>51</v>
      </c>
      <c r="H321" s="22" t="n">
        <v>5.67</v>
      </c>
      <c r="I321" s="22" t="n">
        <v>56.7</v>
      </c>
      <c r="J321" s="22" t="n">
        <v>0.525</v>
      </c>
      <c r="K321" s="22" t="n">
        <v>13.3</v>
      </c>
      <c r="L321" s="43" t="n">
        <v>0.93</v>
      </c>
      <c r="M321" s="22" t="n">
        <v>23.7</v>
      </c>
      <c r="N321" s="43" t="n">
        <v>0.33</v>
      </c>
      <c r="O321" s="22" t="n">
        <v>8.39</v>
      </c>
      <c r="P321" s="22" t="n">
        <v>0.317</v>
      </c>
      <c r="Q321" s="22" t="n">
        <v>31.7</v>
      </c>
      <c r="R321" s="42" t="n">
        <v>1.8</v>
      </c>
      <c r="S321" s="22" t="n">
        <v>1800</v>
      </c>
      <c r="T321" s="22" t="n">
        <v>1.39</v>
      </c>
      <c r="U321" s="22" t="n">
        <f aca="false">C321*1</f>
        <v>310</v>
      </c>
      <c r="V321" s="22" t="n">
        <f aca="false">VLOOKUP(U321,'Powder Core Toroid OD'!$A$2:$B$36,2,0)</f>
        <v>22.9</v>
      </c>
    </row>
    <row r="322" customFormat="false" ht="14.4" hidden="true" customHeight="false" outlineLevel="0" collapsed="false">
      <c r="A322" s="45" t="n">
        <v>55312</v>
      </c>
      <c r="B322" s="22" t="s">
        <v>394</v>
      </c>
      <c r="C322" s="23" t="n">
        <v>310</v>
      </c>
      <c r="D322" s="22" t="n">
        <v>26</v>
      </c>
      <c r="E322" s="22" t="s">
        <v>50</v>
      </c>
      <c r="F322" s="22" t="n">
        <v>19</v>
      </c>
      <c r="G322" s="22" t="s">
        <v>51</v>
      </c>
      <c r="H322" s="22" t="n">
        <v>5.67</v>
      </c>
      <c r="I322" s="22" t="n">
        <v>56.7</v>
      </c>
      <c r="J322" s="22" t="n">
        <v>0.525</v>
      </c>
      <c r="K322" s="22" t="n">
        <v>13.3</v>
      </c>
      <c r="L322" s="43" t="n">
        <v>0.93</v>
      </c>
      <c r="M322" s="22" t="n">
        <v>23.7</v>
      </c>
      <c r="N322" s="43" t="n">
        <v>0.33</v>
      </c>
      <c r="O322" s="22" t="n">
        <v>8.39</v>
      </c>
      <c r="P322" s="22" t="n">
        <v>0.317</v>
      </c>
      <c r="Q322" s="22" t="n">
        <v>31.7</v>
      </c>
      <c r="R322" s="42" t="n">
        <v>1.8</v>
      </c>
      <c r="S322" s="22" t="n">
        <v>1800</v>
      </c>
      <c r="T322" s="22" t="n">
        <v>1.39</v>
      </c>
      <c r="U322" s="22" t="n">
        <f aca="false">C322*1</f>
        <v>310</v>
      </c>
      <c r="V322" s="22" t="n">
        <f aca="false">VLOOKUP(U322,'Powder Core Toroid OD'!$A$2:$B$36,2,0)</f>
        <v>22.9</v>
      </c>
    </row>
    <row r="323" customFormat="false" ht="14.4" hidden="true" customHeight="false" outlineLevel="0" collapsed="false">
      <c r="A323" s="45" t="n">
        <v>55313</v>
      </c>
      <c r="B323" s="22" t="s">
        <v>395</v>
      </c>
      <c r="C323" s="23" t="n">
        <v>310</v>
      </c>
      <c r="D323" s="22" t="n">
        <v>14</v>
      </c>
      <c r="E323" s="22" t="s">
        <v>50</v>
      </c>
      <c r="F323" s="22" t="n">
        <v>9.9</v>
      </c>
      <c r="G323" s="22" t="s">
        <v>51</v>
      </c>
      <c r="H323" s="22" t="n">
        <v>5.67</v>
      </c>
      <c r="I323" s="22" t="n">
        <v>56.7</v>
      </c>
      <c r="J323" s="22" t="n">
        <v>0.525</v>
      </c>
      <c r="K323" s="22" t="n">
        <v>13.3</v>
      </c>
      <c r="L323" s="43" t="n">
        <v>0.93</v>
      </c>
      <c r="M323" s="22" t="n">
        <v>23.7</v>
      </c>
      <c r="N323" s="43" t="n">
        <v>0.33</v>
      </c>
      <c r="O323" s="22" t="n">
        <v>8.39</v>
      </c>
      <c r="P323" s="22" t="n">
        <v>0.317</v>
      </c>
      <c r="Q323" s="22" t="n">
        <v>31.7</v>
      </c>
      <c r="R323" s="42" t="n">
        <v>1.8</v>
      </c>
      <c r="S323" s="22" t="n">
        <v>1800</v>
      </c>
      <c r="T323" s="22" t="n">
        <v>1.39</v>
      </c>
      <c r="U323" s="22" t="n">
        <f aca="false">C323*1</f>
        <v>310</v>
      </c>
      <c r="V323" s="22" t="n">
        <f aca="false">VLOOKUP(U323,'Powder Core Toroid OD'!$A$2:$B$36,2,0)</f>
        <v>22.9</v>
      </c>
    </row>
    <row r="324" customFormat="false" ht="14.4" hidden="true" customHeight="false" outlineLevel="0" collapsed="false">
      <c r="A324" s="45" t="n">
        <v>55318</v>
      </c>
      <c r="B324" s="22" t="s">
        <v>396</v>
      </c>
      <c r="C324" s="23" t="n">
        <v>324</v>
      </c>
      <c r="D324" s="22" t="n">
        <v>173</v>
      </c>
      <c r="E324" s="22" t="s">
        <v>50</v>
      </c>
      <c r="F324" s="22" t="n">
        <v>162</v>
      </c>
      <c r="G324" s="22" t="s">
        <v>51</v>
      </c>
      <c r="H324" s="22" t="n">
        <v>8.98</v>
      </c>
      <c r="I324" s="22" t="n">
        <v>89.8</v>
      </c>
      <c r="J324" s="22" t="n">
        <v>0.848</v>
      </c>
      <c r="K324" s="22" t="n">
        <v>21.5</v>
      </c>
      <c r="L324" s="22" t="n">
        <v>1.445</v>
      </c>
      <c r="M324" s="22" t="n">
        <v>36.71</v>
      </c>
      <c r="N324" s="22" t="n">
        <v>0.447</v>
      </c>
      <c r="O324" s="22" t="n">
        <v>11.4</v>
      </c>
      <c r="P324" s="22" t="n">
        <v>0.678</v>
      </c>
      <c r="Q324" s="22" t="n">
        <v>67.8</v>
      </c>
      <c r="R324" s="42" t="n">
        <v>6.09</v>
      </c>
      <c r="S324" s="22" t="n">
        <v>6090</v>
      </c>
      <c r="T324" s="22" t="n">
        <v>3.64</v>
      </c>
      <c r="U324" s="22" t="n">
        <f aca="false">C324*1</f>
        <v>324</v>
      </c>
      <c r="V324" s="22" t="n">
        <f aca="false">VLOOKUP(U324,'Powder Core Toroid OD'!$A$2:$B$36,2,0)</f>
        <v>35.8</v>
      </c>
    </row>
    <row r="325" customFormat="false" ht="14.4" hidden="true" customHeight="false" outlineLevel="0" collapsed="false">
      <c r="A325" s="45" t="n">
        <v>55319</v>
      </c>
      <c r="B325" s="22" t="s">
        <v>397</v>
      </c>
      <c r="C325" s="23" t="n">
        <v>324</v>
      </c>
      <c r="D325" s="22" t="n">
        <v>300</v>
      </c>
      <c r="E325" s="22" t="s">
        <v>50</v>
      </c>
      <c r="F325" s="22" t="n">
        <v>281</v>
      </c>
      <c r="G325" s="22" t="s">
        <v>51</v>
      </c>
      <c r="H325" s="22" t="n">
        <v>8.98</v>
      </c>
      <c r="I325" s="22" t="n">
        <v>89.8</v>
      </c>
      <c r="J325" s="22" t="n">
        <v>0.848</v>
      </c>
      <c r="K325" s="22" t="n">
        <v>21.5</v>
      </c>
      <c r="L325" s="22" t="n">
        <v>1.445</v>
      </c>
      <c r="M325" s="22" t="n">
        <v>36.71</v>
      </c>
      <c r="N325" s="22" t="n">
        <v>0.447</v>
      </c>
      <c r="O325" s="22" t="n">
        <v>11.4</v>
      </c>
      <c r="P325" s="22" t="n">
        <v>0.678</v>
      </c>
      <c r="Q325" s="22" t="n">
        <v>67.8</v>
      </c>
      <c r="R325" s="42" t="n">
        <v>6.09</v>
      </c>
      <c r="S325" s="22" t="n">
        <v>6090</v>
      </c>
      <c r="T325" s="22" t="n">
        <v>3.64</v>
      </c>
      <c r="U325" s="22" t="n">
        <f aca="false">C325*1</f>
        <v>324</v>
      </c>
      <c r="V325" s="22" t="n">
        <f aca="false">VLOOKUP(U325,'Powder Core Toroid OD'!$A$2:$B$36,2,0)</f>
        <v>35.8</v>
      </c>
    </row>
    <row r="326" customFormat="false" ht="14.4" hidden="true" customHeight="false" outlineLevel="0" collapsed="false">
      <c r="A326" s="45" t="n">
        <v>55320</v>
      </c>
      <c r="B326" s="22" t="s">
        <v>398</v>
      </c>
      <c r="C326" s="23" t="n">
        <v>324</v>
      </c>
      <c r="D326" s="22" t="n">
        <v>550</v>
      </c>
      <c r="E326" s="22" t="s">
        <v>50</v>
      </c>
      <c r="F326" s="22" t="n">
        <v>515</v>
      </c>
      <c r="G326" s="22" t="s">
        <v>51</v>
      </c>
      <c r="H326" s="22" t="n">
        <v>8.98</v>
      </c>
      <c r="I326" s="22" t="n">
        <v>89.8</v>
      </c>
      <c r="J326" s="22" t="n">
        <v>0.848</v>
      </c>
      <c r="K326" s="22" t="n">
        <v>21.5</v>
      </c>
      <c r="L326" s="22" t="n">
        <v>1.445</v>
      </c>
      <c r="M326" s="22" t="n">
        <v>36.71</v>
      </c>
      <c r="N326" s="22" t="n">
        <v>0.447</v>
      </c>
      <c r="O326" s="22" t="n">
        <v>11.4</v>
      </c>
      <c r="P326" s="22" t="n">
        <v>0.678</v>
      </c>
      <c r="Q326" s="22" t="n">
        <v>67.8</v>
      </c>
      <c r="R326" s="42" t="n">
        <v>6.09</v>
      </c>
      <c r="S326" s="22" t="n">
        <v>6090</v>
      </c>
      <c r="T326" s="22" t="n">
        <v>3.64</v>
      </c>
      <c r="U326" s="22" t="n">
        <f aca="false">C326*1</f>
        <v>324</v>
      </c>
      <c r="V326" s="22" t="n">
        <f aca="false">VLOOKUP(U326,'Powder Core Toroid OD'!$A$2:$B$36,2,0)</f>
        <v>35.8</v>
      </c>
    </row>
    <row r="327" customFormat="false" ht="14.4" hidden="true" customHeight="false" outlineLevel="0" collapsed="false">
      <c r="A327" s="45" t="n">
        <v>55321</v>
      </c>
      <c r="B327" s="22" t="s">
        <v>399</v>
      </c>
      <c r="C327" s="23" t="n">
        <v>324</v>
      </c>
      <c r="D327" s="22" t="n">
        <v>200</v>
      </c>
      <c r="E327" s="22" t="s">
        <v>50</v>
      </c>
      <c r="F327" s="22" t="n">
        <v>187</v>
      </c>
      <c r="G327" s="22" t="s">
        <v>51</v>
      </c>
      <c r="H327" s="22" t="n">
        <v>8.98</v>
      </c>
      <c r="I327" s="22" t="n">
        <v>89.8</v>
      </c>
      <c r="J327" s="22" t="n">
        <v>0.848</v>
      </c>
      <c r="K327" s="22" t="n">
        <v>21.5</v>
      </c>
      <c r="L327" s="22" t="n">
        <v>1.445</v>
      </c>
      <c r="M327" s="22" t="n">
        <v>36.71</v>
      </c>
      <c r="N327" s="22" t="n">
        <v>0.447</v>
      </c>
      <c r="O327" s="22" t="n">
        <v>11.4</v>
      </c>
      <c r="P327" s="22" t="n">
        <v>0.678</v>
      </c>
      <c r="Q327" s="22" t="n">
        <v>67.8</v>
      </c>
      <c r="R327" s="42" t="n">
        <v>6.09</v>
      </c>
      <c r="S327" s="22" t="n">
        <v>6090</v>
      </c>
      <c r="T327" s="22" t="n">
        <v>3.64</v>
      </c>
      <c r="U327" s="22" t="n">
        <f aca="false">C327*1</f>
        <v>324</v>
      </c>
      <c r="V327" s="22" t="n">
        <f aca="false">VLOOKUP(U327,'Powder Core Toroid OD'!$A$2:$B$36,2,0)</f>
        <v>35.8</v>
      </c>
    </row>
    <row r="328" customFormat="false" ht="14.4" hidden="true" customHeight="false" outlineLevel="0" collapsed="false">
      <c r="A328" s="45" t="n">
        <v>55322</v>
      </c>
      <c r="B328" s="22" t="s">
        <v>400</v>
      </c>
      <c r="C328" s="23" t="n">
        <v>324</v>
      </c>
      <c r="D328" s="22" t="n">
        <v>160</v>
      </c>
      <c r="E328" s="22" t="s">
        <v>50</v>
      </c>
      <c r="F328" s="22" t="n">
        <v>150</v>
      </c>
      <c r="G328" s="22" t="s">
        <v>51</v>
      </c>
      <c r="H328" s="22" t="n">
        <v>8.98</v>
      </c>
      <c r="I328" s="22" t="n">
        <v>89.8</v>
      </c>
      <c r="J328" s="22" t="n">
        <v>0.848</v>
      </c>
      <c r="K328" s="22" t="n">
        <v>21.5</v>
      </c>
      <c r="L328" s="22" t="n">
        <v>1.445</v>
      </c>
      <c r="M328" s="22" t="n">
        <v>36.71</v>
      </c>
      <c r="N328" s="22" t="n">
        <v>0.447</v>
      </c>
      <c r="O328" s="22" t="n">
        <v>11.4</v>
      </c>
      <c r="P328" s="22" t="n">
        <v>0.678</v>
      </c>
      <c r="Q328" s="22" t="n">
        <v>67.8</v>
      </c>
      <c r="R328" s="42" t="n">
        <v>6.09</v>
      </c>
      <c r="S328" s="22" t="n">
        <v>6090</v>
      </c>
      <c r="T328" s="22" t="n">
        <v>3.64</v>
      </c>
      <c r="U328" s="22" t="n">
        <f aca="false">C328*1</f>
        <v>324</v>
      </c>
      <c r="V328" s="22" t="n">
        <f aca="false">VLOOKUP(U328,'Powder Core Toroid OD'!$A$2:$B$36,2,0)</f>
        <v>35.8</v>
      </c>
    </row>
    <row r="329" customFormat="false" ht="14.4" hidden="true" customHeight="false" outlineLevel="0" collapsed="false">
      <c r="A329" s="45" t="n">
        <v>55323</v>
      </c>
      <c r="B329" s="22" t="s">
        <v>401</v>
      </c>
      <c r="C329" s="23" t="n">
        <v>324</v>
      </c>
      <c r="D329" s="22" t="n">
        <v>147</v>
      </c>
      <c r="E329" s="22" t="s">
        <v>50</v>
      </c>
      <c r="F329" s="22" t="n">
        <v>138</v>
      </c>
      <c r="G329" s="22" t="s">
        <v>51</v>
      </c>
      <c r="H329" s="22" t="n">
        <v>8.98</v>
      </c>
      <c r="I329" s="22" t="n">
        <v>89.8</v>
      </c>
      <c r="J329" s="22" t="n">
        <v>0.848</v>
      </c>
      <c r="K329" s="22" t="n">
        <v>21.5</v>
      </c>
      <c r="L329" s="22" t="n">
        <v>1.445</v>
      </c>
      <c r="M329" s="22" t="n">
        <v>36.71</v>
      </c>
      <c r="N329" s="22" t="n">
        <v>0.447</v>
      </c>
      <c r="O329" s="22" t="n">
        <v>11.4</v>
      </c>
      <c r="P329" s="22" t="n">
        <v>0.678</v>
      </c>
      <c r="Q329" s="22" t="n">
        <v>67.8</v>
      </c>
      <c r="R329" s="42" t="n">
        <v>6.09</v>
      </c>
      <c r="S329" s="22" t="n">
        <v>6090</v>
      </c>
      <c r="T329" s="22" t="n">
        <v>3.64</v>
      </c>
      <c r="U329" s="22" t="n">
        <f aca="false">C329*1</f>
        <v>324</v>
      </c>
      <c r="V329" s="22" t="n">
        <f aca="false">VLOOKUP(U329,'Powder Core Toroid OD'!$A$2:$B$36,2,0)</f>
        <v>35.8</v>
      </c>
    </row>
    <row r="330" customFormat="false" ht="14.4" hidden="true" customHeight="false" outlineLevel="0" collapsed="false">
      <c r="A330" s="45" t="n">
        <v>55324</v>
      </c>
      <c r="B330" s="22" t="s">
        <v>402</v>
      </c>
      <c r="C330" s="23" t="n">
        <v>324</v>
      </c>
      <c r="D330" s="22" t="n">
        <v>125</v>
      </c>
      <c r="E330" s="22" t="s">
        <v>50</v>
      </c>
      <c r="F330" s="22" t="n">
        <v>117</v>
      </c>
      <c r="G330" s="22" t="s">
        <v>51</v>
      </c>
      <c r="H330" s="22" t="n">
        <v>8.98</v>
      </c>
      <c r="I330" s="22" t="n">
        <v>89.8</v>
      </c>
      <c r="J330" s="22" t="n">
        <v>0.848</v>
      </c>
      <c r="K330" s="22" t="n">
        <v>21.5</v>
      </c>
      <c r="L330" s="22" t="n">
        <v>1.445</v>
      </c>
      <c r="M330" s="22" t="n">
        <v>36.71</v>
      </c>
      <c r="N330" s="22" t="n">
        <v>0.447</v>
      </c>
      <c r="O330" s="22" t="n">
        <v>11.4</v>
      </c>
      <c r="P330" s="22" t="n">
        <v>0.678</v>
      </c>
      <c r="Q330" s="22" t="n">
        <v>67.8</v>
      </c>
      <c r="R330" s="42" t="n">
        <v>6.09</v>
      </c>
      <c r="S330" s="22" t="n">
        <v>6090</v>
      </c>
      <c r="T330" s="22" t="n">
        <v>3.64</v>
      </c>
      <c r="U330" s="22" t="n">
        <f aca="false">C330*1</f>
        <v>324</v>
      </c>
      <c r="V330" s="22" t="n">
        <f aca="false">VLOOKUP(U330,'Powder Core Toroid OD'!$A$2:$B$36,2,0)</f>
        <v>35.8</v>
      </c>
    </row>
    <row r="331" customFormat="false" ht="14.4" hidden="true" customHeight="false" outlineLevel="0" collapsed="false">
      <c r="A331" s="45" t="n">
        <v>55326</v>
      </c>
      <c r="B331" s="22" t="s">
        <v>403</v>
      </c>
      <c r="C331" s="23" t="n">
        <v>324</v>
      </c>
      <c r="D331" s="22" t="n">
        <v>26</v>
      </c>
      <c r="E331" s="22" t="s">
        <v>50</v>
      </c>
      <c r="F331" s="22" t="n">
        <v>24</v>
      </c>
      <c r="G331" s="22" t="s">
        <v>51</v>
      </c>
      <c r="H331" s="22" t="n">
        <v>8.98</v>
      </c>
      <c r="I331" s="22" t="n">
        <v>89.8</v>
      </c>
      <c r="J331" s="22" t="n">
        <v>0.848</v>
      </c>
      <c r="K331" s="22" t="n">
        <v>21.5</v>
      </c>
      <c r="L331" s="22" t="n">
        <v>1.445</v>
      </c>
      <c r="M331" s="22" t="n">
        <v>36.71</v>
      </c>
      <c r="N331" s="22" t="n">
        <v>0.447</v>
      </c>
      <c r="O331" s="22" t="n">
        <v>11.4</v>
      </c>
      <c r="P331" s="22" t="n">
        <v>0.678</v>
      </c>
      <c r="Q331" s="22" t="n">
        <v>67.8</v>
      </c>
      <c r="R331" s="42" t="n">
        <v>6.09</v>
      </c>
      <c r="S331" s="22" t="n">
        <v>6090</v>
      </c>
      <c r="T331" s="22" t="n">
        <v>3.64</v>
      </c>
      <c r="U331" s="22" t="n">
        <f aca="false">C331*1</f>
        <v>324</v>
      </c>
      <c r="V331" s="22" t="n">
        <f aca="false">VLOOKUP(U331,'Powder Core Toroid OD'!$A$2:$B$36,2,0)</f>
        <v>35.8</v>
      </c>
    </row>
    <row r="332" customFormat="false" ht="14.4" hidden="true" customHeight="false" outlineLevel="0" collapsed="false">
      <c r="A332" s="45" t="n">
        <v>55327</v>
      </c>
      <c r="B332" s="22" t="s">
        <v>404</v>
      </c>
      <c r="C332" s="23" t="n">
        <v>324</v>
      </c>
      <c r="D332" s="22" t="n">
        <v>14</v>
      </c>
      <c r="E332" s="22" t="s">
        <v>50</v>
      </c>
      <c r="F332" s="22" t="n">
        <v>13</v>
      </c>
      <c r="G332" s="22" t="s">
        <v>51</v>
      </c>
      <c r="H332" s="22" t="n">
        <v>8.98</v>
      </c>
      <c r="I332" s="22" t="n">
        <v>89.8</v>
      </c>
      <c r="J332" s="22" t="n">
        <v>0.848</v>
      </c>
      <c r="K332" s="22" t="n">
        <v>21.5</v>
      </c>
      <c r="L332" s="22" t="n">
        <v>1.445</v>
      </c>
      <c r="M332" s="22" t="n">
        <v>36.71</v>
      </c>
      <c r="N332" s="22" t="n">
        <v>0.447</v>
      </c>
      <c r="O332" s="22" t="n">
        <v>11.4</v>
      </c>
      <c r="P332" s="22" t="n">
        <v>0.678</v>
      </c>
      <c r="Q332" s="22" t="n">
        <v>67.8</v>
      </c>
      <c r="R332" s="42" t="n">
        <v>6.09</v>
      </c>
      <c r="S332" s="22" t="n">
        <v>6090</v>
      </c>
      <c r="T332" s="22" t="n">
        <v>3.64</v>
      </c>
      <c r="U332" s="22" t="n">
        <f aca="false">C332*1</f>
        <v>324</v>
      </c>
      <c r="V332" s="22" t="n">
        <f aca="false">VLOOKUP(U332,'Powder Core Toroid OD'!$A$2:$B$36,2,0)</f>
        <v>35.8</v>
      </c>
    </row>
    <row r="333" customFormat="false" ht="14.4" hidden="true" customHeight="false" outlineLevel="0" collapsed="false">
      <c r="A333" s="45" t="n">
        <v>55344</v>
      </c>
      <c r="B333" s="22" t="s">
        <v>405</v>
      </c>
      <c r="C333" s="23" t="n">
        <v>350</v>
      </c>
      <c r="D333" s="22" t="n">
        <v>173</v>
      </c>
      <c r="E333" s="22" t="s">
        <v>50</v>
      </c>
      <c r="F333" s="22" t="n">
        <v>146</v>
      </c>
      <c r="G333" s="22" t="s">
        <v>51</v>
      </c>
      <c r="H333" s="22" t="n">
        <v>5.88</v>
      </c>
      <c r="I333" s="22" t="n">
        <v>58.8</v>
      </c>
      <c r="J333" s="22" t="n">
        <v>0.542</v>
      </c>
      <c r="K333" s="22" t="n">
        <v>13.7</v>
      </c>
      <c r="L333" s="22" t="n">
        <v>0.958</v>
      </c>
      <c r="M333" s="22" t="n">
        <v>24.4</v>
      </c>
      <c r="N333" s="43" t="n">
        <v>0.38</v>
      </c>
      <c r="O333" s="22" t="n">
        <v>9.66</v>
      </c>
      <c r="P333" s="22" t="n">
        <v>0.388</v>
      </c>
      <c r="Q333" s="22" t="n">
        <v>38.8</v>
      </c>
      <c r="R333" s="42" t="n">
        <v>2.28</v>
      </c>
      <c r="S333" s="22" t="n">
        <v>2280</v>
      </c>
      <c r="T333" s="22" t="n">
        <v>1.49</v>
      </c>
      <c r="U333" s="22" t="n">
        <f aca="false">C333*1</f>
        <v>350</v>
      </c>
      <c r="V333" s="22" t="n">
        <f aca="false">VLOOKUP(U333,'Powder Core Toroid OD'!$A$2:$B$36,2,0)</f>
        <v>23.6</v>
      </c>
    </row>
    <row r="334" customFormat="false" ht="14.4" hidden="true" customHeight="false" outlineLevel="0" collapsed="false">
      <c r="A334" s="45" t="n">
        <v>55345</v>
      </c>
      <c r="B334" s="22" t="s">
        <v>406</v>
      </c>
      <c r="C334" s="23" t="n">
        <v>350</v>
      </c>
      <c r="D334" s="22" t="n">
        <v>300</v>
      </c>
      <c r="E334" s="22" t="s">
        <v>50</v>
      </c>
      <c r="F334" s="22" t="n">
        <v>253</v>
      </c>
      <c r="G334" s="22" t="s">
        <v>51</v>
      </c>
      <c r="H334" s="22" t="n">
        <v>5.88</v>
      </c>
      <c r="I334" s="22" t="n">
        <v>58.8</v>
      </c>
      <c r="J334" s="22" t="n">
        <v>0.542</v>
      </c>
      <c r="K334" s="22" t="n">
        <v>13.7</v>
      </c>
      <c r="L334" s="22" t="n">
        <v>0.958</v>
      </c>
      <c r="M334" s="22" t="n">
        <v>24.4</v>
      </c>
      <c r="N334" s="43" t="n">
        <v>0.38</v>
      </c>
      <c r="O334" s="22" t="n">
        <v>9.66</v>
      </c>
      <c r="P334" s="22" t="n">
        <v>0.388</v>
      </c>
      <c r="Q334" s="22" t="n">
        <v>38.8</v>
      </c>
      <c r="R334" s="42" t="n">
        <v>2.28</v>
      </c>
      <c r="S334" s="22" t="n">
        <v>2280</v>
      </c>
      <c r="T334" s="22" t="n">
        <v>1.49</v>
      </c>
      <c r="U334" s="22" t="n">
        <f aca="false">C334*1</f>
        <v>350</v>
      </c>
      <c r="V334" s="22" t="n">
        <f aca="false">VLOOKUP(U334,'Powder Core Toroid OD'!$A$2:$B$36,2,0)</f>
        <v>23.6</v>
      </c>
    </row>
    <row r="335" customFormat="false" ht="14.4" hidden="true" customHeight="false" outlineLevel="0" collapsed="false">
      <c r="A335" s="45" t="n">
        <v>55347</v>
      </c>
      <c r="B335" s="22" t="s">
        <v>407</v>
      </c>
      <c r="C335" s="23" t="n">
        <v>350</v>
      </c>
      <c r="D335" s="22" t="n">
        <v>200</v>
      </c>
      <c r="E335" s="22" t="s">
        <v>50</v>
      </c>
      <c r="F335" s="22" t="n">
        <v>169</v>
      </c>
      <c r="G335" s="22" t="s">
        <v>51</v>
      </c>
      <c r="H335" s="22" t="n">
        <v>5.88</v>
      </c>
      <c r="I335" s="22" t="n">
        <v>58.8</v>
      </c>
      <c r="J335" s="22" t="n">
        <v>0.542</v>
      </c>
      <c r="K335" s="22" t="n">
        <v>13.7</v>
      </c>
      <c r="L335" s="22" t="n">
        <v>0.958</v>
      </c>
      <c r="M335" s="22" t="n">
        <v>24.4</v>
      </c>
      <c r="N335" s="43" t="n">
        <v>0.38</v>
      </c>
      <c r="O335" s="22" t="n">
        <v>9.66</v>
      </c>
      <c r="P335" s="22" t="n">
        <v>0.388</v>
      </c>
      <c r="Q335" s="22" t="n">
        <v>38.8</v>
      </c>
      <c r="R335" s="42" t="n">
        <v>2.28</v>
      </c>
      <c r="S335" s="22" t="n">
        <v>2280</v>
      </c>
      <c r="T335" s="22" t="n">
        <v>1.49</v>
      </c>
      <c r="U335" s="22" t="n">
        <f aca="false">C335*1</f>
        <v>350</v>
      </c>
      <c r="V335" s="22" t="n">
        <f aca="false">VLOOKUP(U335,'Powder Core Toroid OD'!$A$2:$B$36,2,0)</f>
        <v>23.6</v>
      </c>
    </row>
    <row r="336" customFormat="false" ht="14.4" hidden="true" customHeight="false" outlineLevel="0" collapsed="false">
      <c r="A336" s="45" t="n">
        <v>55348</v>
      </c>
      <c r="B336" s="22" t="s">
        <v>408</v>
      </c>
      <c r="C336" s="23" t="n">
        <v>350</v>
      </c>
      <c r="D336" s="22" t="n">
        <v>160</v>
      </c>
      <c r="E336" s="22" t="s">
        <v>50</v>
      </c>
      <c r="F336" s="22" t="n">
        <v>135</v>
      </c>
      <c r="G336" s="22" t="s">
        <v>51</v>
      </c>
      <c r="H336" s="22" t="n">
        <v>5.88</v>
      </c>
      <c r="I336" s="22" t="n">
        <v>58.8</v>
      </c>
      <c r="J336" s="22" t="n">
        <v>0.542</v>
      </c>
      <c r="K336" s="22" t="n">
        <v>13.7</v>
      </c>
      <c r="L336" s="22" t="n">
        <v>0.958</v>
      </c>
      <c r="M336" s="22" t="n">
        <v>24.4</v>
      </c>
      <c r="N336" s="43" t="n">
        <v>0.38</v>
      </c>
      <c r="O336" s="22" t="n">
        <v>9.66</v>
      </c>
      <c r="P336" s="22" t="n">
        <v>0.388</v>
      </c>
      <c r="Q336" s="22" t="n">
        <v>38.8</v>
      </c>
      <c r="R336" s="42" t="n">
        <v>2.28</v>
      </c>
      <c r="S336" s="22" t="n">
        <v>2280</v>
      </c>
      <c r="T336" s="22" t="n">
        <v>1.49</v>
      </c>
      <c r="U336" s="22" t="n">
        <f aca="false">C336*1</f>
        <v>350</v>
      </c>
      <c r="V336" s="22" t="n">
        <f aca="false">VLOOKUP(U336,'Powder Core Toroid OD'!$A$2:$B$36,2,0)</f>
        <v>23.6</v>
      </c>
    </row>
    <row r="337" customFormat="false" ht="14.4" hidden="true" customHeight="false" outlineLevel="0" collapsed="false">
      <c r="A337" s="45" t="n">
        <v>55349</v>
      </c>
      <c r="B337" s="22" t="s">
        <v>409</v>
      </c>
      <c r="C337" s="23" t="n">
        <v>350</v>
      </c>
      <c r="D337" s="22" t="n">
        <v>147</v>
      </c>
      <c r="E337" s="22" t="s">
        <v>50</v>
      </c>
      <c r="F337" s="22" t="n">
        <v>124</v>
      </c>
      <c r="G337" s="22" t="s">
        <v>51</v>
      </c>
      <c r="H337" s="22" t="n">
        <v>5.88</v>
      </c>
      <c r="I337" s="22" t="n">
        <v>58.8</v>
      </c>
      <c r="J337" s="22" t="n">
        <v>0.542</v>
      </c>
      <c r="K337" s="22" t="n">
        <v>13.7</v>
      </c>
      <c r="L337" s="22" t="n">
        <v>0.958</v>
      </c>
      <c r="M337" s="22" t="n">
        <v>24.4</v>
      </c>
      <c r="N337" s="43" t="n">
        <v>0.38</v>
      </c>
      <c r="O337" s="22" t="n">
        <v>9.66</v>
      </c>
      <c r="P337" s="22" t="n">
        <v>0.388</v>
      </c>
      <c r="Q337" s="22" t="n">
        <v>38.8</v>
      </c>
      <c r="R337" s="42" t="n">
        <v>2.28</v>
      </c>
      <c r="S337" s="22" t="n">
        <v>2280</v>
      </c>
      <c r="T337" s="22" t="n">
        <v>1.49</v>
      </c>
      <c r="U337" s="22" t="n">
        <f aca="false">C337*1</f>
        <v>350</v>
      </c>
      <c r="V337" s="22" t="n">
        <f aca="false">VLOOKUP(U337,'Powder Core Toroid OD'!$A$2:$B$36,2,0)</f>
        <v>23.6</v>
      </c>
    </row>
    <row r="338" customFormat="false" ht="14.4" hidden="true" customHeight="false" outlineLevel="0" collapsed="false">
      <c r="A338" s="45" t="n">
        <v>55350</v>
      </c>
      <c r="B338" s="22" t="s">
        <v>410</v>
      </c>
      <c r="C338" s="23" t="n">
        <v>350</v>
      </c>
      <c r="D338" s="22" t="n">
        <v>125</v>
      </c>
      <c r="E338" s="22" t="s">
        <v>50</v>
      </c>
      <c r="F338" s="22" t="n">
        <v>105</v>
      </c>
      <c r="G338" s="22" t="s">
        <v>51</v>
      </c>
      <c r="H338" s="22" t="n">
        <v>5.88</v>
      </c>
      <c r="I338" s="22" t="n">
        <v>58.8</v>
      </c>
      <c r="J338" s="22" t="n">
        <v>0.542</v>
      </c>
      <c r="K338" s="22" t="n">
        <v>13.7</v>
      </c>
      <c r="L338" s="22" t="n">
        <v>0.958</v>
      </c>
      <c r="M338" s="22" t="n">
        <v>24.4</v>
      </c>
      <c r="N338" s="43" t="n">
        <v>0.38</v>
      </c>
      <c r="O338" s="22" t="n">
        <v>9.66</v>
      </c>
      <c r="P338" s="22" t="n">
        <v>0.388</v>
      </c>
      <c r="Q338" s="22" t="n">
        <v>38.8</v>
      </c>
      <c r="R338" s="42" t="n">
        <v>2.28</v>
      </c>
      <c r="S338" s="22" t="n">
        <v>2280</v>
      </c>
      <c r="T338" s="22" t="n">
        <v>1.49</v>
      </c>
      <c r="U338" s="22" t="n">
        <f aca="false">C338*1</f>
        <v>350</v>
      </c>
      <c r="V338" s="22" t="n">
        <f aca="false">VLOOKUP(U338,'Powder Core Toroid OD'!$A$2:$B$36,2,0)</f>
        <v>23.6</v>
      </c>
    </row>
    <row r="339" customFormat="false" ht="14.4" hidden="true" customHeight="false" outlineLevel="0" collapsed="false">
      <c r="A339" s="45" t="n">
        <v>55351</v>
      </c>
      <c r="B339" s="22" t="s">
        <v>411</v>
      </c>
      <c r="C339" s="23" t="n">
        <v>350</v>
      </c>
      <c r="D339" s="22" t="n">
        <v>60</v>
      </c>
      <c r="E339" s="22" t="s">
        <v>50</v>
      </c>
      <c r="F339" s="22" t="n">
        <v>51</v>
      </c>
      <c r="G339" s="22" t="s">
        <v>51</v>
      </c>
      <c r="H339" s="22" t="n">
        <v>5.88</v>
      </c>
      <c r="I339" s="22" t="n">
        <v>58.8</v>
      </c>
      <c r="J339" s="22" t="n">
        <v>0.542</v>
      </c>
      <c r="K339" s="22" t="n">
        <v>13.7</v>
      </c>
      <c r="L339" s="22" t="n">
        <v>0.958</v>
      </c>
      <c r="M339" s="22" t="n">
        <v>24.4</v>
      </c>
      <c r="N339" s="43" t="n">
        <v>0.38</v>
      </c>
      <c r="O339" s="22" t="n">
        <v>9.66</v>
      </c>
      <c r="P339" s="22" t="n">
        <v>0.388</v>
      </c>
      <c r="Q339" s="22" t="n">
        <v>38.8</v>
      </c>
      <c r="R339" s="42" t="n">
        <v>2.28</v>
      </c>
      <c r="S339" s="22" t="n">
        <v>2280</v>
      </c>
      <c r="T339" s="22" t="n">
        <v>1.49</v>
      </c>
      <c r="U339" s="22" t="n">
        <f aca="false">C339*1</f>
        <v>350</v>
      </c>
      <c r="V339" s="22" t="n">
        <f aca="false">VLOOKUP(U339,'Powder Core Toroid OD'!$A$2:$B$36,2,0)</f>
        <v>23.6</v>
      </c>
    </row>
    <row r="340" customFormat="false" ht="14.4" hidden="true" customHeight="false" outlineLevel="0" collapsed="false">
      <c r="A340" s="45" t="n">
        <v>55352</v>
      </c>
      <c r="B340" s="22" t="s">
        <v>412</v>
      </c>
      <c r="C340" s="23" t="n">
        <v>350</v>
      </c>
      <c r="D340" s="22" t="n">
        <v>26</v>
      </c>
      <c r="E340" s="22" t="s">
        <v>50</v>
      </c>
      <c r="F340" s="22" t="n">
        <v>22</v>
      </c>
      <c r="G340" s="22" t="s">
        <v>51</v>
      </c>
      <c r="H340" s="22" t="n">
        <v>5.88</v>
      </c>
      <c r="I340" s="22" t="n">
        <v>58.8</v>
      </c>
      <c r="J340" s="22" t="n">
        <v>0.542</v>
      </c>
      <c r="K340" s="22" t="n">
        <v>13.7</v>
      </c>
      <c r="L340" s="22" t="n">
        <v>0.958</v>
      </c>
      <c r="M340" s="22" t="n">
        <v>24.4</v>
      </c>
      <c r="N340" s="43" t="n">
        <v>0.38</v>
      </c>
      <c r="O340" s="22" t="n">
        <v>9.66</v>
      </c>
      <c r="P340" s="22" t="n">
        <v>0.388</v>
      </c>
      <c r="Q340" s="22" t="n">
        <v>38.8</v>
      </c>
      <c r="R340" s="42" t="n">
        <v>2.28</v>
      </c>
      <c r="S340" s="22" t="n">
        <v>2280</v>
      </c>
      <c r="T340" s="22" t="n">
        <v>1.49</v>
      </c>
      <c r="U340" s="22" t="n">
        <f aca="false">C340*1</f>
        <v>350</v>
      </c>
      <c r="V340" s="22" t="n">
        <f aca="false">VLOOKUP(U340,'Powder Core Toroid OD'!$A$2:$B$36,2,0)</f>
        <v>23.6</v>
      </c>
    </row>
    <row r="341" customFormat="false" ht="14.4" hidden="true" customHeight="false" outlineLevel="0" collapsed="false">
      <c r="A341" s="45" t="n">
        <v>55353</v>
      </c>
      <c r="B341" s="22" t="s">
        <v>413</v>
      </c>
      <c r="C341" s="23" t="n">
        <v>350</v>
      </c>
      <c r="D341" s="22" t="n">
        <v>14</v>
      </c>
      <c r="E341" s="22" t="s">
        <v>50</v>
      </c>
      <c r="F341" s="22" t="n">
        <v>12</v>
      </c>
      <c r="G341" s="22" t="s">
        <v>51</v>
      </c>
      <c r="H341" s="22" t="n">
        <v>5.88</v>
      </c>
      <c r="I341" s="22" t="n">
        <v>58.8</v>
      </c>
      <c r="J341" s="22" t="n">
        <v>0.542</v>
      </c>
      <c r="K341" s="22" t="n">
        <v>13.7</v>
      </c>
      <c r="L341" s="22" t="n">
        <v>0.958</v>
      </c>
      <c r="M341" s="22" t="n">
        <v>24.4</v>
      </c>
      <c r="N341" s="43" t="n">
        <v>0.38</v>
      </c>
      <c r="O341" s="22" t="n">
        <v>9.66</v>
      </c>
      <c r="P341" s="22" t="n">
        <v>0.388</v>
      </c>
      <c r="Q341" s="22" t="n">
        <v>38.8</v>
      </c>
      <c r="R341" s="42" t="n">
        <v>2.28</v>
      </c>
      <c r="S341" s="22" t="n">
        <v>2280</v>
      </c>
      <c r="T341" s="22" t="n">
        <v>1.49</v>
      </c>
      <c r="U341" s="22" t="n">
        <f aca="false">C341*1</f>
        <v>350</v>
      </c>
      <c r="V341" s="22" t="n">
        <f aca="false">VLOOKUP(U341,'Powder Core Toroid OD'!$A$2:$B$36,2,0)</f>
        <v>23.6</v>
      </c>
    </row>
    <row r="342" customFormat="false" ht="14.4" hidden="true" customHeight="false" outlineLevel="0" collapsed="false">
      <c r="A342" s="45" t="n">
        <v>55374</v>
      </c>
      <c r="B342" s="22" t="s">
        <v>414</v>
      </c>
      <c r="C342" s="23" t="n">
        <v>380</v>
      </c>
      <c r="D342" s="22" t="n">
        <v>173</v>
      </c>
      <c r="E342" s="22" t="s">
        <v>50</v>
      </c>
      <c r="F342" s="22" t="n">
        <v>123</v>
      </c>
      <c r="G342" s="22" t="s">
        <v>51</v>
      </c>
      <c r="H342" s="22" t="n">
        <v>4.14</v>
      </c>
      <c r="I342" s="22" t="n">
        <v>41.4</v>
      </c>
      <c r="J342" s="22" t="n">
        <v>0.355</v>
      </c>
      <c r="K342" s="22" t="n">
        <v>9.01</v>
      </c>
      <c r="L342" s="43" t="n">
        <v>0.71</v>
      </c>
      <c r="M342" s="22" t="n">
        <v>18.1</v>
      </c>
      <c r="N342" s="43" t="n">
        <v>0.28</v>
      </c>
      <c r="O342" s="22" t="n">
        <v>7.12</v>
      </c>
      <c r="P342" s="22" t="n">
        <v>0.232</v>
      </c>
      <c r="Q342" s="22" t="n">
        <v>23.2</v>
      </c>
      <c r="R342" s="43" t="n">
        <v>0.96048</v>
      </c>
      <c r="S342" s="22" t="n">
        <v>960</v>
      </c>
      <c r="T342" s="22" t="n">
        <v>0.638</v>
      </c>
      <c r="U342" s="22" t="n">
        <f aca="false">C342*1</f>
        <v>380</v>
      </c>
      <c r="V342" s="22" t="n">
        <f aca="false">VLOOKUP(U342,'Powder Core Toroid OD'!$A$2:$B$36,2,0)</f>
        <v>17.3</v>
      </c>
    </row>
    <row r="343" customFormat="false" ht="14.4" hidden="true" customHeight="false" outlineLevel="0" collapsed="false">
      <c r="A343" s="45" t="n">
        <v>55375</v>
      </c>
      <c r="B343" s="22" t="s">
        <v>415</v>
      </c>
      <c r="C343" s="23" t="n">
        <v>380</v>
      </c>
      <c r="D343" s="22" t="n">
        <v>300</v>
      </c>
      <c r="E343" s="22" t="s">
        <v>50</v>
      </c>
      <c r="F343" s="22" t="n">
        <v>214</v>
      </c>
      <c r="G343" s="22" t="s">
        <v>51</v>
      </c>
      <c r="H343" s="22" t="n">
        <v>4.14</v>
      </c>
      <c r="I343" s="22" t="n">
        <v>41.4</v>
      </c>
      <c r="J343" s="22" t="n">
        <v>0.355</v>
      </c>
      <c r="K343" s="22" t="n">
        <v>9.01</v>
      </c>
      <c r="L343" s="43" t="n">
        <v>0.71</v>
      </c>
      <c r="M343" s="22" t="n">
        <v>18.1</v>
      </c>
      <c r="N343" s="43" t="n">
        <v>0.28</v>
      </c>
      <c r="O343" s="22" t="n">
        <v>7.12</v>
      </c>
      <c r="P343" s="22" t="n">
        <v>0.232</v>
      </c>
      <c r="Q343" s="22" t="n">
        <v>23.2</v>
      </c>
      <c r="R343" s="43" t="n">
        <v>0.96048</v>
      </c>
      <c r="S343" s="22" t="n">
        <v>960</v>
      </c>
      <c r="T343" s="22" t="n">
        <v>0.638</v>
      </c>
      <c r="U343" s="22" t="n">
        <f aca="false">C343*1</f>
        <v>380</v>
      </c>
      <c r="V343" s="22" t="n">
        <f aca="false">VLOOKUP(U343,'Powder Core Toroid OD'!$A$2:$B$36,2,0)</f>
        <v>17.3</v>
      </c>
    </row>
    <row r="344" customFormat="false" ht="14.4" hidden="true" customHeight="false" outlineLevel="0" collapsed="false">
      <c r="A344" s="45" t="n">
        <v>55377</v>
      </c>
      <c r="B344" s="22" t="s">
        <v>416</v>
      </c>
      <c r="C344" s="23" t="n">
        <v>380</v>
      </c>
      <c r="D344" s="22" t="n">
        <v>200</v>
      </c>
      <c r="E344" s="22" t="s">
        <v>50</v>
      </c>
      <c r="F344" s="22" t="n">
        <v>142</v>
      </c>
      <c r="G344" s="22" t="s">
        <v>51</v>
      </c>
      <c r="H344" s="22" t="n">
        <v>4.14</v>
      </c>
      <c r="I344" s="22" t="n">
        <v>41.4</v>
      </c>
      <c r="J344" s="22" t="n">
        <v>0.355</v>
      </c>
      <c r="K344" s="22" t="n">
        <v>9.01</v>
      </c>
      <c r="L344" s="43" t="n">
        <v>0.71</v>
      </c>
      <c r="M344" s="22" t="n">
        <v>18.1</v>
      </c>
      <c r="N344" s="43" t="n">
        <v>0.28</v>
      </c>
      <c r="O344" s="22" t="n">
        <v>7.12</v>
      </c>
      <c r="P344" s="22" t="n">
        <v>0.232</v>
      </c>
      <c r="Q344" s="22" t="n">
        <v>23.2</v>
      </c>
      <c r="R344" s="43" t="n">
        <v>0.96048</v>
      </c>
      <c r="S344" s="22" t="n">
        <v>960</v>
      </c>
      <c r="T344" s="22" t="n">
        <v>0.638</v>
      </c>
      <c r="U344" s="22" t="n">
        <f aca="false">C344*1</f>
        <v>380</v>
      </c>
      <c r="V344" s="22" t="n">
        <f aca="false">VLOOKUP(U344,'Powder Core Toroid OD'!$A$2:$B$36,2,0)</f>
        <v>17.3</v>
      </c>
    </row>
    <row r="345" customFormat="false" ht="14.4" hidden="true" customHeight="false" outlineLevel="0" collapsed="false">
      <c r="A345" s="45" t="n">
        <v>55378</v>
      </c>
      <c r="B345" s="22" t="s">
        <v>417</v>
      </c>
      <c r="C345" s="23" t="n">
        <v>380</v>
      </c>
      <c r="D345" s="22" t="n">
        <v>160</v>
      </c>
      <c r="E345" s="22" t="s">
        <v>50</v>
      </c>
      <c r="F345" s="22" t="n">
        <v>114</v>
      </c>
      <c r="G345" s="22" t="s">
        <v>51</v>
      </c>
      <c r="H345" s="22" t="n">
        <v>4.14</v>
      </c>
      <c r="I345" s="22" t="n">
        <v>41.4</v>
      </c>
      <c r="J345" s="22" t="n">
        <v>0.355</v>
      </c>
      <c r="K345" s="22" t="n">
        <v>9.01</v>
      </c>
      <c r="L345" s="43" t="n">
        <v>0.71</v>
      </c>
      <c r="M345" s="22" t="n">
        <v>18.1</v>
      </c>
      <c r="N345" s="43" t="n">
        <v>0.28</v>
      </c>
      <c r="O345" s="22" t="n">
        <v>7.12</v>
      </c>
      <c r="P345" s="22" t="n">
        <v>0.232</v>
      </c>
      <c r="Q345" s="22" t="n">
        <v>23.2</v>
      </c>
      <c r="R345" s="43" t="n">
        <v>0.96048</v>
      </c>
      <c r="S345" s="22" t="n">
        <v>960</v>
      </c>
      <c r="T345" s="22" t="n">
        <v>0.638</v>
      </c>
      <c r="U345" s="22" t="n">
        <f aca="false">C345*1</f>
        <v>380</v>
      </c>
      <c r="V345" s="22" t="n">
        <f aca="false">VLOOKUP(U345,'Powder Core Toroid OD'!$A$2:$B$36,2,0)</f>
        <v>17.3</v>
      </c>
    </row>
    <row r="346" customFormat="false" ht="14.4" hidden="true" customHeight="false" outlineLevel="0" collapsed="false">
      <c r="A346" s="45" t="n">
        <v>55379</v>
      </c>
      <c r="B346" s="22" t="s">
        <v>418</v>
      </c>
      <c r="C346" s="23" t="n">
        <v>380</v>
      </c>
      <c r="D346" s="22" t="n">
        <v>147</v>
      </c>
      <c r="E346" s="22" t="s">
        <v>50</v>
      </c>
      <c r="F346" s="22" t="n">
        <v>105</v>
      </c>
      <c r="G346" s="22" t="s">
        <v>51</v>
      </c>
      <c r="H346" s="22" t="n">
        <v>4.14</v>
      </c>
      <c r="I346" s="22" t="n">
        <v>41.4</v>
      </c>
      <c r="J346" s="22" t="n">
        <v>0.355</v>
      </c>
      <c r="K346" s="22" t="n">
        <v>9.01</v>
      </c>
      <c r="L346" s="43" t="n">
        <v>0.71</v>
      </c>
      <c r="M346" s="22" t="n">
        <v>18.1</v>
      </c>
      <c r="N346" s="43" t="n">
        <v>0.28</v>
      </c>
      <c r="O346" s="22" t="n">
        <v>7.12</v>
      </c>
      <c r="P346" s="22" t="n">
        <v>0.232</v>
      </c>
      <c r="Q346" s="22" t="n">
        <v>23.2</v>
      </c>
      <c r="R346" s="43" t="n">
        <v>0.96048</v>
      </c>
      <c r="S346" s="22" t="n">
        <v>960</v>
      </c>
      <c r="T346" s="22" t="n">
        <v>0.638</v>
      </c>
      <c r="U346" s="22" t="n">
        <f aca="false">C346*1</f>
        <v>380</v>
      </c>
      <c r="V346" s="22" t="n">
        <f aca="false">VLOOKUP(U346,'Powder Core Toroid OD'!$A$2:$B$36,2,0)</f>
        <v>17.3</v>
      </c>
    </row>
    <row r="347" customFormat="false" ht="14.4" hidden="true" customHeight="false" outlineLevel="0" collapsed="false">
      <c r="A347" s="45" t="n">
        <v>55380</v>
      </c>
      <c r="B347" s="22" t="s">
        <v>419</v>
      </c>
      <c r="C347" s="23" t="n">
        <v>380</v>
      </c>
      <c r="D347" s="22" t="n">
        <v>125</v>
      </c>
      <c r="E347" s="22" t="s">
        <v>50</v>
      </c>
      <c r="F347" s="22" t="n">
        <v>89</v>
      </c>
      <c r="G347" s="22" t="s">
        <v>51</v>
      </c>
      <c r="H347" s="22" t="n">
        <v>4.14</v>
      </c>
      <c r="I347" s="22" t="n">
        <v>41.4</v>
      </c>
      <c r="J347" s="22" t="n">
        <v>0.355</v>
      </c>
      <c r="K347" s="22" t="n">
        <v>9.01</v>
      </c>
      <c r="L347" s="43" t="n">
        <v>0.71</v>
      </c>
      <c r="M347" s="22" t="n">
        <v>18.1</v>
      </c>
      <c r="N347" s="43" t="n">
        <v>0.28</v>
      </c>
      <c r="O347" s="22" t="n">
        <v>7.12</v>
      </c>
      <c r="P347" s="22" t="n">
        <v>0.232</v>
      </c>
      <c r="Q347" s="22" t="n">
        <v>23.2</v>
      </c>
      <c r="R347" s="43" t="n">
        <v>0.96048</v>
      </c>
      <c r="S347" s="22" t="n">
        <v>960</v>
      </c>
      <c r="T347" s="22" t="n">
        <v>0.638</v>
      </c>
      <c r="U347" s="22" t="n">
        <f aca="false">C347*1</f>
        <v>380</v>
      </c>
      <c r="V347" s="22" t="n">
        <f aca="false">VLOOKUP(U347,'Powder Core Toroid OD'!$A$2:$B$36,2,0)</f>
        <v>17.3</v>
      </c>
    </row>
    <row r="348" customFormat="false" ht="14.4" hidden="true" customHeight="false" outlineLevel="0" collapsed="false">
      <c r="A348" s="45" t="n">
        <v>55381</v>
      </c>
      <c r="B348" s="22" t="s">
        <v>420</v>
      </c>
      <c r="C348" s="23" t="n">
        <v>380</v>
      </c>
      <c r="D348" s="22" t="n">
        <v>60</v>
      </c>
      <c r="E348" s="22" t="s">
        <v>50</v>
      </c>
      <c r="F348" s="22" t="n">
        <v>43</v>
      </c>
      <c r="G348" s="22" t="s">
        <v>51</v>
      </c>
      <c r="H348" s="22" t="n">
        <v>4.14</v>
      </c>
      <c r="I348" s="22" t="n">
        <v>41.4</v>
      </c>
      <c r="J348" s="22" t="n">
        <v>0.355</v>
      </c>
      <c r="K348" s="22" t="n">
        <v>9.01</v>
      </c>
      <c r="L348" s="43" t="n">
        <v>0.71</v>
      </c>
      <c r="M348" s="22" t="n">
        <v>18.1</v>
      </c>
      <c r="N348" s="43" t="n">
        <v>0.28</v>
      </c>
      <c r="O348" s="22" t="n">
        <v>7.12</v>
      </c>
      <c r="P348" s="22" t="n">
        <v>0.232</v>
      </c>
      <c r="Q348" s="22" t="n">
        <v>23.2</v>
      </c>
      <c r="R348" s="43" t="n">
        <v>0.96048</v>
      </c>
      <c r="S348" s="22" t="n">
        <v>960</v>
      </c>
      <c r="T348" s="22" t="n">
        <v>0.638</v>
      </c>
      <c r="U348" s="22" t="n">
        <f aca="false">C348*1</f>
        <v>380</v>
      </c>
      <c r="V348" s="22" t="n">
        <f aca="false">VLOOKUP(U348,'Powder Core Toroid OD'!$A$2:$B$36,2,0)</f>
        <v>17.3</v>
      </c>
    </row>
    <row r="349" customFormat="false" ht="14.4" hidden="true" customHeight="false" outlineLevel="0" collapsed="false">
      <c r="A349" s="45" t="n">
        <v>55382</v>
      </c>
      <c r="B349" s="22" t="s">
        <v>421</v>
      </c>
      <c r="C349" s="23" t="n">
        <v>380</v>
      </c>
      <c r="D349" s="22" t="n">
        <v>26</v>
      </c>
      <c r="E349" s="22" t="s">
        <v>50</v>
      </c>
      <c r="F349" s="22" t="n">
        <v>19</v>
      </c>
      <c r="G349" s="22" t="s">
        <v>51</v>
      </c>
      <c r="H349" s="22" t="n">
        <v>4.14</v>
      </c>
      <c r="I349" s="22" t="n">
        <v>41.4</v>
      </c>
      <c r="J349" s="22" t="n">
        <v>0.355</v>
      </c>
      <c r="K349" s="22" t="n">
        <v>9.01</v>
      </c>
      <c r="L349" s="43" t="n">
        <v>0.71</v>
      </c>
      <c r="M349" s="22" t="n">
        <v>18.1</v>
      </c>
      <c r="N349" s="43" t="n">
        <v>0.28</v>
      </c>
      <c r="O349" s="22" t="n">
        <v>7.12</v>
      </c>
      <c r="P349" s="22" t="n">
        <v>0.232</v>
      </c>
      <c r="Q349" s="22" t="n">
        <v>23.2</v>
      </c>
      <c r="R349" s="43" t="n">
        <v>0.96048</v>
      </c>
      <c r="S349" s="22" t="n">
        <v>960</v>
      </c>
      <c r="T349" s="22" t="n">
        <v>0.638</v>
      </c>
      <c r="U349" s="22" t="n">
        <f aca="false">C349*1</f>
        <v>380</v>
      </c>
      <c r="V349" s="22" t="n">
        <f aca="false">VLOOKUP(U349,'Powder Core Toroid OD'!$A$2:$B$36,2,0)</f>
        <v>17.3</v>
      </c>
    </row>
    <row r="350" customFormat="false" ht="14.4" hidden="true" customHeight="false" outlineLevel="0" collapsed="false">
      <c r="A350" s="45" t="n">
        <v>55383</v>
      </c>
      <c r="B350" s="22" t="s">
        <v>422</v>
      </c>
      <c r="C350" s="23" t="n">
        <v>380</v>
      </c>
      <c r="D350" s="22" t="n">
        <v>14</v>
      </c>
      <c r="E350" s="22" t="s">
        <v>50</v>
      </c>
      <c r="F350" s="22" t="n">
        <v>10</v>
      </c>
      <c r="G350" s="22" t="s">
        <v>51</v>
      </c>
      <c r="H350" s="22" t="n">
        <v>4.14</v>
      </c>
      <c r="I350" s="22" t="n">
        <v>41.4</v>
      </c>
      <c r="J350" s="22" t="n">
        <v>0.355</v>
      </c>
      <c r="K350" s="22" t="n">
        <v>9.01</v>
      </c>
      <c r="L350" s="43" t="n">
        <v>0.71</v>
      </c>
      <c r="M350" s="22" t="n">
        <v>18.1</v>
      </c>
      <c r="N350" s="43" t="n">
        <v>0.28</v>
      </c>
      <c r="O350" s="22" t="n">
        <v>7.12</v>
      </c>
      <c r="P350" s="22" t="n">
        <v>0.232</v>
      </c>
      <c r="Q350" s="22" t="n">
        <v>23.2</v>
      </c>
      <c r="R350" s="43" t="n">
        <v>0.96048</v>
      </c>
      <c r="S350" s="22" t="n">
        <v>960</v>
      </c>
      <c r="T350" s="22" t="n">
        <v>0.638</v>
      </c>
      <c r="U350" s="22" t="n">
        <f aca="false">C350*1</f>
        <v>380</v>
      </c>
      <c r="V350" s="22" t="n">
        <f aca="false">VLOOKUP(U350,'Powder Core Toroid OD'!$A$2:$B$36,2,0)</f>
        <v>17.3</v>
      </c>
    </row>
    <row r="351" customFormat="false" ht="14.4" hidden="true" customHeight="false" outlineLevel="0" collapsed="false">
      <c r="A351" s="45" t="n">
        <v>55404</v>
      </c>
      <c r="B351" s="22" t="s">
        <v>423</v>
      </c>
      <c r="C351" s="23" t="n">
        <v>410</v>
      </c>
      <c r="D351" s="22" t="n">
        <v>173</v>
      </c>
      <c r="E351" s="22" t="s">
        <v>50</v>
      </c>
      <c r="F351" s="22" t="n">
        <v>95</v>
      </c>
      <c r="G351" s="22" t="s">
        <v>51</v>
      </c>
      <c r="H351" s="22" t="n">
        <v>1.65</v>
      </c>
      <c r="I351" s="22" t="n">
        <v>16.5</v>
      </c>
      <c r="J351" s="22" t="n">
        <v>0.136</v>
      </c>
      <c r="K351" s="22" t="n">
        <v>3.45</v>
      </c>
      <c r="L351" s="22" t="n">
        <v>0.295</v>
      </c>
      <c r="M351" s="42" t="n">
        <v>7.5</v>
      </c>
      <c r="N351" s="22" t="n">
        <v>0.225</v>
      </c>
      <c r="O351" s="22" t="n">
        <v>5.72</v>
      </c>
      <c r="P351" s="22" t="n">
        <v>0.0725</v>
      </c>
      <c r="Q351" s="22" t="n">
        <v>7.25</v>
      </c>
      <c r="R351" s="22" t="n">
        <v>0.12</v>
      </c>
      <c r="S351" s="22" t="n">
        <v>120</v>
      </c>
      <c r="T351" s="22" t="n">
        <v>0.0935</v>
      </c>
      <c r="U351" s="22" t="n">
        <f aca="false">C351*1</f>
        <v>410</v>
      </c>
      <c r="V351" s="22" t="n">
        <f aca="false">VLOOKUP(U351,'Powder Core Toroid OD'!$A$2:$B$36,2,0)</f>
        <v>6.86</v>
      </c>
    </row>
    <row r="352" customFormat="false" ht="14.4" hidden="true" customHeight="false" outlineLevel="0" collapsed="false">
      <c r="A352" s="45" t="n">
        <v>55405</v>
      </c>
      <c r="B352" s="22" t="s">
        <v>424</v>
      </c>
      <c r="C352" s="23" t="n">
        <v>410</v>
      </c>
      <c r="D352" s="22" t="n">
        <v>300</v>
      </c>
      <c r="E352" s="22" t="s">
        <v>50</v>
      </c>
      <c r="F352" s="22" t="n">
        <v>166</v>
      </c>
      <c r="G352" s="22" t="s">
        <v>51</v>
      </c>
      <c r="H352" s="22" t="n">
        <v>1.65</v>
      </c>
      <c r="I352" s="22" t="n">
        <v>16.5</v>
      </c>
      <c r="J352" s="22" t="n">
        <v>0.136</v>
      </c>
      <c r="K352" s="22" t="n">
        <v>3.45</v>
      </c>
      <c r="L352" s="22" t="n">
        <v>0.295</v>
      </c>
      <c r="M352" s="42" t="n">
        <v>7.5</v>
      </c>
      <c r="N352" s="22" t="n">
        <v>0.225</v>
      </c>
      <c r="O352" s="22" t="n">
        <v>5.72</v>
      </c>
      <c r="P352" s="22" t="n">
        <v>0.0725</v>
      </c>
      <c r="Q352" s="22" t="n">
        <v>7.25</v>
      </c>
      <c r="R352" s="22" t="n">
        <v>0.12</v>
      </c>
      <c r="S352" s="22" t="n">
        <v>120</v>
      </c>
      <c r="T352" s="22" t="n">
        <v>0.0935</v>
      </c>
      <c r="U352" s="22" t="n">
        <f aca="false">C352*1</f>
        <v>410</v>
      </c>
      <c r="V352" s="22" t="n">
        <f aca="false">VLOOKUP(U352,'Powder Core Toroid OD'!$A$2:$B$36,2,0)</f>
        <v>6.86</v>
      </c>
    </row>
    <row r="353" customFormat="false" ht="14.4" hidden="true" customHeight="false" outlineLevel="0" collapsed="false">
      <c r="A353" s="45" t="n">
        <v>55407</v>
      </c>
      <c r="B353" s="22" t="s">
        <v>425</v>
      </c>
      <c r="C353" s="23" t="n">
        <v>410</v>
      </c>
      <c r="D353" s="22" t="n">
        <v>200</v>
      </c>
      <c r="E353" s="22" t="s">
        <v>50</v>
      </c>
      <c r="F353" s="22" t="n">
        <v>112</v>
      </c>
      <c r="G353" s="22" t="s">
        <v>51</v>
      </c>
      <c r="H353" s="22" t="n">
        <v>1.65</v>
      </c>
      <c r="I353" s="22" t="n">
        <v>16.5</v>
      </c>
      <c r="J353" s="22" t="n">
        <v>0.136</v>
      </c>
      <c r="K353" s="22" t="n">
        <v>3.45</v>
      </c>
      <c r="L353" s="22" t="n">
        <v>0.295</v>
      </c>
      <c r="M353" s="42" t="n">
        <v>7.5</v>
      </c>
      <c r="N353" s="22" t="n">
        <v>0.225</v>
      </c>
      <c r="O353" s="22" t="n">
        <v>5.72</v>
      </c>
      <c r="P353" s="22" t="n">
        <v>0.0725</v>
      </c>
      <c r="Q353" s="22" t="n">
        <v>7.25</v>
      </c>
      <c r="R353" s="22" t="n">
        <v>0.12</v>
      </c>
      <c r="S353" s="22" t="n">
        <v>120</v>
      </c>
      <c r="T353" s="22" t="n">
        <v>0.0935</v>
      </c>
      <c r="U353" s="22" t="n">
        <f aca="false">C353*1</f>
        <v>410</v>
      </c>
      <c r="V353" s="22" t="n">
        <f aca="false">VLOOKUP(U353,'Powder Core Toroid OD'!$A$2:$B$36,2,0)</f>
        <v>6.86</v>
      </c>
    </row>
    <row r="354" customFormat="false" ht="14.4" hidden="true" customHeight="false" outlineLevel="0" collapsed="false">
      <c r="A354" s="45" t="n">
        <v>55408</v>
      </c>
      <c r="B354" s="22" t="s">
        <v>426</v>
      </c>
      <c r="C354" s="23" t="n">
        <v>410</v>
      </c>
      <c r="D354" s="22" t="n">
        <v>160</v>
      </c>
      <c r="E354" s="22" t="s">
        <v>50</v>
      </c>
      <c r="F354" s="22" t="n">
        <v>89</v>
      </c>
      <c r="G354" s="22" t="s">
        <v>51</v>
      </c>
      <c r="H354" s="22" t="n">
        <v>1.65</v>
      </c>
      <c r="I354" s="22" t="n">
        <v>16.5</v>
      </c>
      <c r="J354" s="22" t="n">
        <v>0.136</v>
      </c>
      <c r="K354" s="22" t="n">
        <v>3.45</v>
      </c>
      <c r="L354" s="22" t="n">
        <v>0.295</v>
      </c>
      <c r="M354" s="42" t="n">
        <v>7.5</v>
      </c>
      <c r="N354" s="22" t="n">
        <v>0.225</v>
      </c>
      <c r="O354" s="22" t="n">
        <v>5.72</v>
      </c>
      <c r="P354" s="22" t="n">
        <v>0.0725</v>
      </c>
      <c r="Q354" s="22" t="n">
        <v>7.25</v>
      </c>
      <c r="R354" s="22" t="n">
        <v>0.12</v>
      </c>
      <c r="S354" s="22" t="n">
        <v>120</v>
      </c>
      <c r="T354" s="22" t="n">
        <v>0.0935</v>
      </c>
      <c r="U354" s="22" t="n">
        <f aca="false">C354*1</f>
        <v>410</v>
      </c>
      <c r="V354" s="22" t="n">
        <f aca="false">VLOOKUP(U354,'Powder Core Toroid OD'!$A$2:$B$36,2,0)</f>
        <v>6.86</v>
      </c>
    </row>
    <row r="355" customFormat="false" ht="14.4" hidden="true" customHeight="false" outlineLevel="0" collapsed="false">
      <c r="A355" s="45" t="n">
        <v>55409</v>
      </c>
      <c r="B355" s="22" t="s">
        <v>427</v>
      </c>
      <c r="C355" s="23" t="n">
        <v>410</v>
      </c>
      <c r="D355" s="22" t="n">
        <v>147</v>
      </c>
      <c r="E355" s="22" t="s">
        <v>50</v>
      </c>
      <c r="F355" s="22" t="n">
        <v>81</v>
      </c>
      <c r="G355" s="22" t="s">
        <v>51</v>
      </c>
      <c r="H355" s="22" t="n">
        <v>1.65</v>
      </c>
      <c r="I355" s="22" t="n">
        <v>16.5</v>
      </c>
      <c r="J355" s="22" t="n">
        <v>0.136</v>
      </c>
      <c r="K355" s="22" t="n">
        <v>3.45</v>
      </c>
      <c r="L355" s="22" t="n">
        <v>0.295</v>
      </c>
      <c r="M355" s="42" t="n">
        <v>7.5</v>
      </c>
      <c r="N355" s="22" t="n">
        <v>0.225</v>
      </c>
      <c r="O355" s="22" t="n">
        <v>5.72</v>
      </c>
      <c r="P355" s="22" t="n">
        <v>0.0725</v>
      </c>
      <c r="Q355" s="22" t="n">
        <v>7.25</v>
      </c>
      <c r="R355" s="22" t="n">
        <v>0.12</v>
      </c>
      <c r="S355" s="22" t="n">
        <v>120</v>
      </c>
      <c r="T355" s="22" t="n">
        <v>0.0935</v>
      </c>
      <c r="U355" s="22" t="n">
        <f aca="false">C355*1</f>
        <v>410</v>
      </c>
      <c r="V355" s="22" t="n">
        <f aca="false">VLOOKUP(U355,'Powder Core Toroid OD'!$A$2:$B$36,2,0)</f>
        <v>6.86</v>
      </c>
    </row>
    <row r="356" customFormat="false" ht="14.4" hidden="true" customHeight="false" outlineLevel="0" collapsed="false">
      <c r="A356" s="45" t="n">
        <v>55410</v>
      </c>
      <c r="B356" s="22" t="s">
        <v>428</v>
      </c>
      <c r="C356" s="23" t="n">
        <v>410</v>
      </c>
      <c r="D356" s="22" t="n">
        <v>125</v>
      </c>
      <c r="E356" s="22" t="s">
        <v>50</v>
      </c>
      <c r="F356" s="22" t="n">
        <v>70</v>
      </c>
      <c r="G356" s="22" t="s">
        <v>51</v>
      </c>
      <c r="H356" s="22" t="n">
        <v>1.65</v>
      </c>
      <c r="I356" s="22" t="n">
        <v>16.5</v>
      </c>
      <c r="J356" s="22" t="n">
        <v>0.136</v>
      </c>
      <c r="K356" s="22" t="n">
        <v>3.45</v>
      </c>
      <c r="L356" s="22" t="n">
        <v>0.295</v>
      </c>
      <c r="M356" s="42" t="n">
        <v>7.5</v>
      </c>
      <c r="N356" s="22" t="n">
        <v>0.225</v>
      </c>
      <c r="O356" s="22" t="n">
        <v>5.72</v>
      </c>
      <c r="P356" s="22" t="n">
        <v>0.0725</v>
      </c>
      <c r="Q356" s="22" t="n">
        <v>7.25</v>
      </c>
      <c r="R356" s="22" t="n">
        <v>0.12</v>
      </c>
      <c r="S356" s="22" t="n">
        <v>120</v>
      </c>
      <c r="T356" s="22" t="n">
        <v>0.0935</v>
      </c>
      <c r="U356" s="22" t="n">
        <f aca="false">C356*1</f>
        <v>410</v>
      </c>
      <c r="V356" s="22" t="n">
        <f aca="false">VLOOKUP(U356,'Powder Core Toroid OD'!$A$2:$B$36,2,0)</f>
        <v>6.86</v>
      </c>
    </row>
    <row r="357" customFormat="false" ht="14.4" hidden="true" customHeight="false" outlineLevel="0" collapsed="false">
      <c r="A357" s="45" t="n">
        <v>55411</v>
      </c>
      <c r="B357" s="22" t="s">
        <v>429</v>
      </c>
      <c r="C357" s="23" t="n">
        <v>410</v>
      </c>
      <c r="D357" s="22" t="n">
        <v>60</v>
      </c>
      <c r="E357" s="22" t="s">
        <v>50</v>
      </c>
      <c r="F357" s="22" t="n">
        <v>33</v>
      </c>
      <c r="G357" s="22" t="s">
        <v>51</v>
      </c>
      <c r="H357" s="22" t="n">
        <v>1.65</v>
      </c>
      <c r="I357" s="22" t="n">
        <v>16.5</v>
      </c>
      <c r="J357" s="22" t="n">
        <v>0.136</v>
      </c>
      <c r="K357" s="22" t="n">
        <v>3.45</v>
      </c>
      <c r="L357" s="22" t="n">
        <v>0.295</v>
      </c>
      <c r="M357" s="42" t="n">
        <v>7.5</v>
      </c>
      <c r="N357" s="22" t="n">
        <v>0.225</v>
      </c>
      <c r="O357" s="22" t="n">
        <v>5.72</v>
      </c>
      <c r="P357" s="22" t="n">
        <v>0.0725</v>
      </c>
      <c r="Q357" s="22" t="n">
        <v>7.25</v>
      </c>
      <c r="R357" s="22" t="n">
        <v>0.12</v>
      </c>
      <c r="S357" s="22" t="n">
        <v>120</v>
      </c>
      <c r="T357" s="22" t="n">
        <v>0.0935</v>
      </c>
      <c r="U357" s="22" t="n">
        <f aca="false">C357*1</f>
        <v>410</v>
      </c>
      <c r="V357" s="22" t="n">
        <f aca="false">VLOOKUP(U357,'Powder Core Toroid OD'!$A$2:$B$36,2,0)</f>
        <v>6.86</v>
      </c>
    </row>
    <row r="358" customFormat="false" ht="14.4" hidden="true" customHeight="false" outlineLevel="0" collapsed="false">
      <c r="A358" s="45" t="n">
        <v>55432</v>
      </c>
      <c r="B358" s="22" t="s">
        <v>430</v>
      </c>
      <c r="C358" s="23" t="n">
        <v>438</v>
      </c>
      <c r="D358" s="22" t="n">
        <v>173</v>
      </c>
      <c r="E358" s="22" t="s">
        <v>50</v>
      </c>
      <c r="F358" s="22" t="n">
        <v>390</v>
      </c>
      <c r="G358" s="22" t="s">
        <v>51</v>
      </c>
      <c r="H358" s="22" t="n">
        <v>10.7</v>
      </c>
      <c r="I358" s="22" t="n">
        <v>107</v>
      </c>
      <c r="J358" s="22" t="n">
        <v>0.918</v>
      </c>
      <c r="K358" s="22" t="n">
        <v>23.3</v>
      </c>
      <c r="L358" s="22" t="n">
        <v>1.875</v>
      </c>
      <c r="M358" s="22" t="n">
        <v>47.63</v>
      </c>
      <c r="N358" s="22" t="n">
        <v>0.745</v>
      </c>
      <c r="O358" s="36" t="n">
        <v>19</v>
      </c>
      <c r="P358" s="22" t="n">
        <v>1.99</v>
      </c>
      <c r="Q358" s="22" t="n">
        <v>199</v>
      </c>
      <c r="R358" s="22" t="n">
        <v>21.3</v>
      </c>
      <c r="S358" s="22" t="n">
        <v>21300</v>
      </c>
      <c r="T358" s="22" t="n">
        <v>4.27</v>
      </c>
      <c r="U358" s="22" t="n">
        <f aca="false">C358*1</f>
        <v>438</v>
      </c>
      <c r="V358" s="22" t="n">
        <f aca="false">VLOOKUP(U358,'Powder Core Toroid OD'!$A$2:$B$36,2,0)</f>
        <v>46.7</v>
      </c>
    </row>
    <row r="359" customFormat="false" ht="14.4" hidden="true" customHeight="false" outlineLevel="0" collapsed="false">
      <c r="A359" s="45" t="n">
        <v>55433</v>
      </c>
      <c r="B359" s="22" t="s">
        <v>431</v>
      </c>
      <c r="C359" s="23" t="n">
        <v>438</v>
      </c>
      <c r="D359" s="22" t="n">
        <v>300</v>
      </c>
      <c r="E359" s="22" t="s">
        <v>50</v>
      </c>
      <c r="F359" s="22" t="n">
        <v>674</v>
      </c>
      <c r="G359" s="22" t="s">
        <v>51</v>
      </c>
      <c r="H359" s="22" t="n">
        <v>10.7</v>
      </c>
      <c r="I359" s="22" t="n">
        <v>107</v>
      </c>
      <c r="J359" s="22" t="n">
        <v>0.918</v>
      </c>
      <c r="K359" s="22" t="n">
        <v>23.3</v>
      </c>
      <c r="L359" s="22" t="n">
        <v>1.875</v>
      </c>
      <c r="M359" s="22" t="n">
        <v>47.63</v>
      </c>
      <c r="N359" s="22" t="n">
        <v>0.745</v>
      </c>
      <c r="O359" s="36" t="n">
        <v>19</v>
      </c>
      <c r="P359" s="22" t="n">
        <v>1.99</v>
      </c>
      <c r="Q359" s="22" t="n">
        <v>199</v>
      </c>
      <c r="R359" s="22" t="n">
        <v>21.3</v>
      </c>
      <c r="S359" s="22" t="n">
        <v>21300</v>
      </c>
      <c r="T359" s="22" t="n">
        <v>4.27</v>
      </c>
      <c r="U359" s="22" t="n">
        <f aca="false">C359*1</f>
        <v>438</v>
      </c>
      <c r="V359" s="22" t="n">
        <f aca="false">VLOOKUP(U359,'Powder Core Toroid OD'!$A$2:$B$36,2,0)</f>
        <v>46.7</v>
      </c>
    </row>
    <row r="360" customFormat="false" ht="14.4" hidden="true" customHeight="false" outlineLevel="0" collapsed="false">
      <c r="A360" s="45" t="n">
        <v>55435</v>
      </c>
      <c r="B360" s="22" t="s">
        <v>432</v>
      </c>
      <c r="C360" s="23" t="n">
        <v>438</v>
      </c>
      <c r="D360" s="22" t="n">
        <v>200</v>
      </c>
      <c r="E360" s="22" t="s">
        <v>50</v>
      </c>
      <c r="F360" s="22" t="n">
        <v>450</v>
      </c>
      <c r="G360" s="22" t="s">
        <v>51</v>
      </c>
      <c r="H360" s="22" t="n">
        <v>10.7</v>
      </c>
      <c r="I360" s="22" t="n">
        <v>107</v>
      </c>
      <c r="J360" s="22" t="n">
        <v>0.918</v>
      </c>
      <c r="K360" s="22" t="n">
        <v>23.3</v>
      </c>
      <c r="L360" s="22" t="n">
        <v>1.875</v>
      </c>
      <c r="M360" s="22" t="n">
        <v>47.63</v>
      </c>
      <c r="N360" s="22" t="n">
        <v>0.745</v>
      </c>
      <c r="O360" s="36" t="n">
        <v>19</v>
      </c>
      <c r="P360" s="22" t="n">
        <v>1.99</v>
      </c>
      <c r="Q360" s="22" t="n">
        <v>199</v>
      </c>
      <c r="R360" s="22" t="n">
        <v>21.3</v>
      </c>
      <c r="S360" s="22" t="n">
        <v>21300</v>
      </c>
      <c r="T360" s="22" t="n">
        <v>4.27</v>
      </c>
      <c r="U360" s="22" t="n">
        <f aca="false">C360*1</f>
        <v>438</v>
      </c>
      <c r="V360" s="22" t="n">
        <f aca="false">VLOOKUP(U360,'Powder Core Toroid OD'!$A$2:$B$36,2,0)</f>
        <v>46.7</v>
      </c>
    </row>
    <row r="361" customFormat="false" ht="14.4" hidden="true" customHeight="false" outlineLevel="0" collapsed="false">
      <c r="A361" s="45" t="n">
        <v>55436</v>
      </c>
      <c r="B361" s="22" t="s">
        <v>433</v>
      </c>
      <c r="C361" s="23" t="n">
        <v>438</v>
      </c>
      <c r="D361" s="22" t="n">
        <v>160</v>
      </c>
      <c r="E361" s="22" t="s">
        <v>50</v>
      </c>
      <c r="F361" s="22" t="n">
        <v>360</v>
      </c>
      <c r="G361" s="22" t="s">
        <v>51</v>
      </c>
      <c r="H361" s="22" t="n">
        <v>10.7</v>
      </c>
      <c r="I361" s="22" t="n">
        <v>107</v>
      </c>
      <c r="J361" s="22" t="n">
        <v>0.918</v>
      </c>
      <c r="K361" s="22" t="n">
        <v>23.3</v>
      </c>
      <c r="L361" s="22" t="n">
        <v>1.875</v>
      </c>
      <c r="M361" s="22" t="n">
        <v>47.63</v>
      </c>
      <c r="N361" s="22" t="n">
        <v>0.745</v>
      </c>
      <c r="O361" s="36" t="n">
        <v>19</v>
      </c>
      <c r="P361" s="22" t="n">
        <v>1.99</v>
      </c>
      <c r="Q361" s="22" t="n">
        <v>199</v>
      </c>
      <c r="R361" s="22" t="n">
        <v>21.3</v>
      </c>
      <c r="S361" s="22" t="n">
        <v>21300</v>
      </c>
      <c r="T361" s="22" t="n">
        <v>4.27</v>
      </c>
      <c r="U361" s="22" t="n">
        <f aca="false">C361*1</f>
        <v>438</v>
      </c>
      <c r="V361" s="22" t="n">
        <f aca="false">VLOOKUP(U361,'Powder Core Toroid OD'!$A$2:$B$36,2,0)</f>
        <v>46.7</v>
      </c>
    </row>
    <row r="362" customFormat="false" ht="14.4" hidden="true" customHeight="false" outlineLevel="0" collapsed="false">
      <c r="A362" s="45" t="n">
        <v>55437</v>
      </c>
      <c r="B362" s="22" t="s">
        <v>434</v>
      </c>
      <c r="C362" s="23" t="n">
        <v>438</v>
      </c>
      <c r="D362" s="22" t="n">
        <v>147</v>
      </c>
      <c r="E362" s="22" t="s">
        <v>50</v>
      </c>
      <c r="F362" s="22" t="n">
        <v>330</v>
      </c>
      <c r="G362" s="22" t="s">
        <v>51</v>
      </c>
      <c r="H362" s="22" t="n">
        <v>10.7</v>
      </c>
      <c r="I362" s="22" t="n">
        <v>107</v>
      </c>
      <c r="J362" s="22" t="n">
        <v>0.918</v>
      </c>
      <c r="K362" s="22" t="n">
        <v>23.3</v>
      </c>
      <c r="L362" s="22" t="n">
        <v>1.875</v>
      </c>
      <c r="M362" s="22" t="n">
        <v>47.63</v>
      </c>
      <c r="N362" s="22" t="n">
        <v>0.745</v>
      </c>
      <c r="O362" s="36" t="n">
        <v>19</v>
      </c>
      <c r="P362" s="22" t="n">
        <v>1.99</v>
      </c>
      <c r="Q362" s="22" t="n">
        <v>199</v>
      </c>
      <c r="R362" s="22" t="n">
        <v>21.3</v>
      </c>
      <c r="S362" s="22" t="n">
        <v>21300</v>
      </c>
      <c r="T362" s="22" t="n">
        <v>4.27</v>
      </c>
      <c r="U362" s="22" t="n">
        <f aca="false">C362*1</f>
        <v>438</v>
      </c>
      <c r="V362" s="22" t="n">
        <f aca="false">VLOOKUP(U362,'Powder Core Toroid OD'!$A$2:$B$36,2,0)</f>
        <v>46.7</v>
      </c>
    </row>
    <row r="363" customFormat="false" ht="14.4" hidden="true" customHeight="false" outlineLevel="0" collapsed="false">
      <c r="A363" s="45" t="n">
        <v>55438</v>
      </c>
      <c r="B363" s="22" t="s">
        <v>435</v>
      </c>
      <c r="C363" s="23" t="n">
        <v>438</v>
      </c>
      <c r="D363" s="22" t="n">
        <v>125</v>
      </c>
      <c r="E363" s="22" t="s">
        <v>50</v>
      </c>
      <c r="F363" s="22" t="n">
        <v>281</v>
      </c>
      <c r="G363" s="22" t="s">
        <v>51</v>
      </c>
      <c r="H363" s="22" t="n">
        <v>10.7</v>
      </c>
      <c r="I363" s="22" t="n">
        <v>107</v>
      </c>
      <c r="J363" s="22" t="n">
        <v>0.918</v>
      </c>
      <c r="K363" s="22" t="n">
        <v>23.3</v>
      </c>
      <c r="L363" s="22" t="n">
        <v>1.875</v>
      </c>
      <c r="M363" s="22" t="n">
        <v>47.63</v>
      </c>
      <c r="N363" s="22" t="n">
        <v>0.745</v>
      </c>
      <c r="O363" s="36" t="n">
        <v>19</v>
      </c>
      <c r="P363" s="22" t="n">
        <v>1.99</v>
      </c>
      <c r="Q363" s="22" t="n">
        <v>199</v>
      </c>
      <c r="R363" s="22" t="n">
        <v>21.3</v>
      </c>
      <c r="S363" s="22" t="n">
        <v>21300</v>
      </c>
      <c r="T363" s="22" t="n">
        <v>4.27</v>
      </c>
      <c r="U363" s="22" t="n">
        <f aca="false">C363*1</f>
        <v>438</v>
      </c>
      <c r="V363" s="22" t="n">
        <f aca="false">VLOOKUP(U363,'Powder Core Toroid OD'!$A$2:$B$36,2,0)</f>
        <v>46.7</v>
      </c>
    </row>
    <row r="364" customFormat="false" ht="14.4" hidden="true" customHeight="false" outlineLevel="0" collapsed="false">
      <c r="A364" s="45" t="n">
        <v>55439</v>
      </c>
      <c r="B364" s="22" t="s">
        <v>436</v>
      </c>
      <c r="C364" s="23" t="n">
        <v>438</v>
      </c>
      <c r="D364" s="22" t="n">
        <v>60</v>
      </c>
      <c r="E364" s="22" t="s">
        <v>50</v>
      </c>
      <c r="F364" s="22" t="n">
        <v>135</v>
      </c>
      <c r="G364" s="22" t="s">
        <v>51</v>
      </c>
      <c r="H364" s="22" t="n">
        <v>10.7</v>
      </c>
      <c r="I364" s="22" t="n">
        <v>107</v>
      </c>
      <c r="J364" s="22" t="n">
        <v>0.918</v>
      </c>
      <c r="K364" s="22" t="n">
        <v>23.3</v>
      </c>
      <c r="L364" s="22" t="n">
        <v>1.875</v>
      </c>
      <c r="M364" s="22" t="n">
        <v>47.63</v>
      </c>
      <c r="N364" s="22" t="n">
        <v>0.745</v>
      </c>
      <c r="O364" s="36" t="n">
        <v>19</v>
      </c>
      <c r="P364" s="22" t="n">
        <v>1.99</v>
      </c>
      <c r="Q364" s="22" t="n">
        <v>199</v>
      </c>
      <c r="R364" s="22" t="n">
        <v>21.3</v>
      </c>
      <c r="S364" s="22" t="n">
        <v>21300</v>
      </c>
      <c r="T364" s="22" t="n">
        <v>4.27</v>
      </c>
      <c r="U364" s="22" t="n">
        <f aca="false">C364*1</f>
        <v>438</v>
      </c>
      <c r="V364" s="22" t="n">
        <f aca="false">VLOOKUP(U364,'Powder Core Toroid OD'!$A$2:$B$36,2,0)</f>
        <v>46.7</v>
      </c>
    </row>
    <row r="365" customFormat="false" ht="14.4" hidden="true" customHeight="false" outlineLevel="0" collapsed="false">
      <c r="A365" s="45" t="n">
        <v>55440</v>
      </c>
      <c r="B365" s="22" t="s">
        <v>437</v>
      </c>
      <c r="C365" s="23" t="n">
        <v>438</v>
      </c>
      <c r="D365" s="22" t="n">
        <v>26</v>
      </c>
      <c r="E365" s="22" t="s">
        <v>50</v>
      </c>
      <c r="F365" s="22" t="n">
        <v>59</v>
      </c>
      <c r="G365" s="22" t="s">
        <v>51</v>
      </c>
      <c r="H365" s="22" t="n">
        <v>10.7</v>
      </c>
      <c r="I365" s="22" t="n">
        <v>107</v>
      </c>
      <c r="J365" s="22" t="n">
        <v>0.918</v>
      </c>
      <c r="K365" s="22" t="n">
        <v>23.3</v>
      </c>
      <c r="L365" s="22" t="n">
        <v>1.875</v>
      </c>
      <c r="M365" s="22" t="n">
        <v>47.63</v>
      </c>
      <c r="N365" s="22" t="n">
        <v>0.745</v>
      </c>
      <c r="O365" s="36" t="n">
        <v>19</v>
      </c>
      <c r="P365" s="22" t="n">
        <v>1.99</v>
      </c>
      <c r="Q365" s="22" t="n">
        <v>199</v>
      </c>
      <c r="R365" s="22" t="n">
        <v>21.3</v>
      </c>
      <c r="S365" s="22" t="n">
        <v>21300</v>
      </c>
      <c r="T365" s="22" t="n">
        <v>4.27</v>
      </c>
      <c r="U365" s="22" t="n">
        <f aca="false">C365*1</f>
        <v>438</v>
      </c>
      <c r="V365" s="22" t="n">
        <f aca="false">VLOOKUP(U365,'Powder Core Toroid OD'!$A$2:$B$36,2,0)</f>
        <v>46.7</v>
      </c>
    </row>
    <row r="366" customFormat="false" ht="14.4" hidden="true" customHeight="false" outlineLevel="0" collapsed="false">
      <c r="A366" s="45" t="n">
        <v>55441</v>
      </c>
      <c r="B366" s="22" t="s">
        <v>438</v>
      </c>
      <c r="C366" s="23" t="n">
        <v>438</v>
      </c>
      <c r="D366" s="22" t="n">
        <v>14</v>
      </c>
      <c r="E366" s="22" t="s">
        <v>50</v>
      </c>
      <c r="F366" s="22" t="n">
        <v>32</v>
      </c>
      <c r="G366" s="22" t="s">
        <v>51</v>
      </c>
      <c r="H366" s="22" t="n">
        <v>10.7</v>
      </c>
      <c r="I366" s="22" t="n">
        <v>107</v>
      </c>
      <c r="J366" s="22" t="n">
        <v>0.918</v>
      </c>
      <c r="K366" s="22" t="n">
        <v>23.3</v>
      </c>
      <c r="L366" s="22" t="n">
        <v>1.875</v>
      </c>
      <c r="M366" s="22" t="n">
        <v>47.63</v>
      </c>
      <c r="N366" s="22" t="n">
        <v>0.745</v>
      </c>
      <c r="O366" s="36" t="n">
        <v>19</v>
      </c>
      <c r="P366" s="22" t="n">
        <v>1.99</v>
      </c>
      <c r="Q366" s="22" t="n">
        <v>199</v>
      </c>
      <c r="R366" s="22" t="n">
        <v>21.3</v>
      </c>
      <c r="S366" s="22" t="n">
        <v>21300</v>
      </c>
      <c r="T366" s="22" t="n">
        <v>4.27</v>
      </c>
      <c r="U366" s="22" t="n">
        <f aca="false">C366*1</f>
        <v>438</v>
      </c>
      <c r="V366" s="22" t="n">
        <f aca="false">VLOOKUP(U366,'Powder Core Toroid OD'!$A$2:$B$36,2,0)</f>
        <v>46.7</v>
      </c>
    </row>
    <row r="367" customFormat="false" ht="14.4" hidden="true" customHeight="false" outlineLevel="0" collapsed="false">
      <c r="A367" s="45" t="n">
        <v>55542</v>
      </c>
      <c r="B367" s="22" t="s">
        <v>439</v>
      </c>
      <c r="C367" s="23" t="n">
        <v>548</v>
      </c>
      <c r="D367" s="22" t="n">
        <v>173</v>
      </c>
      <c r="E367" s="22" t="s">
        <v>50</v>
      </c>
      <c r="F367" s="22" t="n">
        <v>176</v>
      </c>
      <c r="G367" s="22" t="s">
        <v>51</v>
      </c>
      <c r="H367" s="22" t="n">
        <v>8.14</v>
      </c>
      <c r="I367" s="22" t="n">
        <v>81.4</v>
      </c>
      <c r="J367" s="22" t="n">
        <v>0.766</v>
      </c>
      <c r="K367" s="22" t="n">
        <v>19.4</v>
      </c>
      <c r="L367" s="22" t="n">
        <v>1.325</v>
      </c>
      <c r="M367" s="22" t="n">
        <v>33.66</v>
      </c>
      <c r="N367" s="43" t="n">
        <v>0.45</v>
      </c>
      <c r="O367" s="22" t="n">
        <v>11.5</v>
      </c>
      <c r="P367" s="22" t="n">
        <v>0.656</v>
      </c>
      <c r="Q367" s="22" t="n">
        <v>65.6</v>
      </c>
      <c r="R367" s="42" t="n">
        <v>5.34</v>
      </c>
      <c r="S367" s="22" t="n">
        <v>5340</v>
      </c>
      <c r="T367" s="22" t="n">
        <v>2.97</v>
      </c>
      <c r="U367" s="22" t="n">
        <f aca="false">C367*1</f>
        <v>548</v>
      </c>
      <c r="V367" s="22" t="n">
        <f aca="false">VLOOKUP(U367,'Powder Core Toroid OD'!$A$2:$B$36,2,0)</f>
        <v>32.8</v>
      </c>
    </row>
    <row r="368" customFormat="false" ht="14.4" hidden="true" customHeight="false" outlineLevel="0" collapsed="false">
      <c r="A368" s="45" t="n">
        <v>55543</v>
      </c>
      <c r="B368" s="22" t="s">
        <v>440</v>
      </c>
      <c r="C368" s="23" t="n">
        <v>548</v>
      </c>
      <c r="D368" s="22" t="n">
        <v>300</v>
      </c>
      <c r="E368" s="22" t="s">
        <v>50</v>
      </c>
      <c r="F368" s="22" t="n">
        <v>305</v>
      </c>
      <c r="G368" s="22" t="s">
        <v>51</v>
      </c>
      <c r="H368" s="22" t="n">
        <v>8.14</v>
      </c>
      <c r="I368" s="22" t="n">
        <v>81.4</v>
      </c>
      <c r="J368" s="22" t="n">
        <v>0.766</v>
      </c>
      <c r="K368" s="22" t="n">
        <v>19.4</v>
      </c>
      <c r="L368" s="22" t="n">
        <v>1.325</v>
      </c>
      <c r="M368" s="22" t="n">
        <v>33.66</v>
      </c>
      <c r="N368" s="43" t="n">
        <v>0.45</v>
      </c>
      <c r="O368" s="22" t="n">
        <v>11.5</v>
      </c>
      <c r="P368" s="22" t="n">
        <v>0.656</v>
      </c>
      <c r="Q368" s="22" t="n">
        <v>65.6</v>
      </c>
      <c r="R368" s="42" t="n">
        <v>5.34</v>
      </c>
      <c r="S368" s="22" t="n">
        <v>5340</v>
      </c>
      <c r="T368" s="22" t="n">
        <v>2.97</v>
      </c>
      <c r="U368" s="22" t="n">
        <f aca="false">C368*1</f>
        <v>548</v>
      </c>
      <c r="V368" s="22" t="n">
        <f aca="false">VLOOKUP(U368,'Powder Core Toroid OD'!$A$2:$B$36,2,0)</f>
        <v>32.8</v>
      </c>
    </row>
    <row r="369" customFormat="false" ht="14.4" hidden="true" customHeight="false" outlineLevel="0" collapsed="false">
      <c r="A369" s="45" t="n">
        <v>55544</v>
      </c>
      <c r="B369" s="22" t="s">
        <v>441</v>
      </c>
      <c r="C369" s="23" t="n">
        <v>548</v>
      </c>
      <c r="D369" s="22" t="n">
        <v>550</v>
      </c>
      <c r="E369" s="22" t="s">
        <v>50</v>
      </c>
      <c r="F369" s="22" t="n">
        <v>559</v>
      </c>
      <c r="G369" s="22" t="s">
        <v>51</v>
      </c>
      <c r="H369" s="22" t="n">
        <v>8.14</v>
      </c>
      <c r="I369" s="22" t="n">
        <v>81.4</v>
      </c>
      <c r="J369" s="22" t="n">
        <v>0.766</v>
      </c>
      <c r="K369" s="22" t="n">
        <v>19.4</v>
      </c>
      <c r="L369" s="22" t="n">
        <v>1.325</v>
      </c>
      <c r="M369" s="22" t="n">
        <v>33.66</v>
      </c>
      <c r="N369" s="43" t="n">
        <v>0.45</v>
      </c>
      <c r="O369" s="22" t="n">
        <v>11.5</v>
      </c>
      <c r="P369" s="22" t="n">
        <v>0.656</v>
      </c>
      <c r="Q369" s="22" t="n">
        <v>65.6</v>
      </c>
      <c r="R369" s="42" t="n">
        <v>5.34</v>
      </c>
      <c r="S369" s="22" t="n">
        <v>5340</v>
      </c>
      <c r="T369" s="22" t="n">
        <v>2.97</v>
      </c>
      <c r="U369" s="22" t="n">
        <f aca="false">C369*1</f>
        <v>548</v>
      </c>
      <c r="V369" s="22" t="n">
        <f aca="false">VLOOKUP(U369,'Powder Core Toroid OD'!$A$2:$B$36,2,0)</f>
        <v>32.8</v>
      </c>
    </row>
    <row r="370" customFormat="false" ht="14.4" hidden="true" customHeight="false" outlineLevel="0" collapsed="false">
      <c r="A370" s="45" t="n">
        <v>55545</v>
      </c>
      <c r="B370" s="22" t="s">
        <v>442</v>
      </c>
      <c r="C370" s="23" t="n">
        <v>548</v>
      </c>
      <c r="D370" s="22" t="n">
        <v>200</v>
      </c>
      <c r="E370" s="22" t="s">
        <v>50</v>
      </c>
      <c r="F370" s="22" t="n">
        <v>203</v>
      </c>
      <c r="G370" s="22" t="s">
        <v>51</v>
      </c>
      <c r="H370" s="22" t="n">
        <v>8.14</v>
      </c>
      <c r="I370" s="22" t="n">
        <v>81.4</v>
      </c>
      <c r="J370" s="22" t="n">
        <v>0.766</v>
      </c>
      <c r="K370" s="22" t="n">
        <v>19.4</v>
      </c>
      <c r="L370" s="22" t="n">
        <v>1.325</v>
      </c>
      <c r="M370" s="22" t="n">
        <v>33.66</v>
      </c>
      <c r="N370" s="43" t="n">
        <v>0.45</v>
      </c>
      <c r="O370" s="22" t="n">
        <v>11.5</v>
      </c>
      <c r="P370" s="22" t="n">
        <v>0.656</v>
      </c>
      <c r="Q370" s="22" t="n">
        <v>65.6</v>
      </c>
      <c r="R370" s="42" t="n">
        <v>5.34</v>
      </c>
      <c r="S370" s="22" t="n">
        <v>5340</v>
      </c>
      <c r="T370" s="22" t="n">
        <v>2.97</v>
      </c>
      <c r="U370" s="22" t="n">
        <f aca="false">C370*1</f>
        <v>548</v>
      </c>
      <c r="V370" s="22" t="n">
        <f aca="false">VLOOKUP(U370,'Powder Core Toroid OD'!$A$2:$B$36,2,0)</f>
        <v>32.8</v>
      </c>
    </row>
    <row r="371" customFormat="false" ht="14.4" hidden="true" customHeight="false" outlineLevel="0" collapsed="false">
      <c r="A371" s="45" t="n">
        <v>55546</v>
      </c>
      <c r="B371" s="22" t="s">
        <v>443</v>
      </c>
      <c r="C371" s="23" t="n">
        <v>548</v>
      </c>
      <c r="D371" s="22" t="n">
        <v>160</v>
      </c>
      <c r="E371" s="22" t="s">
        <v>50</v>
      </c>
      <c r="F371" s="22" t="n">
        <v>163</v>
      </c>
      <c r="G371" s="22" t="s">
        <v>51</v>
      </c>
      <c r="H371" s="22" t="n">
        <v>8.14</v>
      </c>
      <c r="I371" s="22" t="n">
        <v>81.4</v>
      </c>
      <c r="J371" s="22" t="n">
        <v>0.766</v>
      </c>
      <c r="K371" s="22" t="n">
        <v>19.4</v>
      </c>
      <c r="L371" s="22" t="n">
        <v>1.325</v>
      </c>
      <c r="M371" s="22" t="n">
        <v>33.66</v>
      </c>
      <c r="N371" s="43" t="n">
        <v>0.45</v>
      </c>
      <c r="O371" s="22" t="n">
        <v>11.5</v>
      </c>
      <c r="P371" s="22" t="n">
        <v>0.656</v>
      </c>
      <c r="Q371" s="22" t="n">
        <v>65.6</v>
      </c>
      <c r="R371" s="42" t="n">
        <v>5.34</v>
      </c>
      <c r="S371" s="22" t="n">
        <v>5340</v>
      </c>
      <c r="T371" s="22" t="n">
        <v>2.97</v>
      </c>
      <c r="U371" s="22" t="n">
        <f aca="false">C371*1</f>
        <v>548</v>
      </c>
      <c r="V371" s="22" t="n">
        <f aca="false">VLOOKUP(U371,'Powder Core Toroid OD'!$A$2:$B$36,2,0)</f>
        <v>32.8</v>
      </c>
    </row>
    <row r="372" customFormat="false" ht="14.4" hidden="true" customHeight="false" outlineLevel="0" collapsed="false">
      <c r="A372" s="45" t="n">
        <v>55547</v>
      </c>
      <c r="B372" s="22" t="s">
        <v>444</v>
      </c>
      <c r="C372" s="23" t="n">
        <v>548</v>
      </c>
      <c r="D372" s="22" t="n">
        <v>147</v>
      </c>
      <c r="E372" s="22" t="s">
        <v>50</v>
      </c>
      <c r="F372" s="22" t="n">
        <v>150</v>
      </c>
      <c r="G372" s="22" t="s">
        <v>51</v>
      </c>
      <c r="H372" s="22" t="n">
        <v>8.14</v>
      </c>
      <c r="I372" s="22" t="n">
        <v>81.4</v>
      </c>
      <c r="J372" s="22" t="n">
        <v>0.766</v>
      </c>
      <c r="K372" s="22" t="n">
        <v>19.4</v>
      </c>
      <c r="L372" s="22" t="n">
        <v>1.325</v>
      </c>
      <c r="M372" s="22" t="n">
        <v>33.66</v>
      </c>
      <c r="N372" s="43" t="n">
        <v>0.45</v>
      </c>
      <c r="O372" s="22" t="n">
        <v>11.5</v>
      </c>
      <c r="P372" s="22" t="n">
        <v>0.656</v>
      </c>
      <c r="Q372" s="22" t="n">
        <v>65.6</v>
      </c>
      <c r="R372" s="42" t="n">
        <v>5.34</v>
      </c>
      <c r="S372" s="22" t="n">
        <v>5340</v>
      </c>
      <c r="T372" s="22" t="n">
        <v>2.97</v>
      </c>
      <c r="U372" s="22" t="n">
        <f aca="false">C372*1</f>
        <v>548</v>
      </c>
      <c r="V372" s="22" t="n">
        <f aca="false">VLOOKUP(U372,'Powder Core Toroid OD'!$A$2:$B$36,2,0)</f>
        <v>32.8</v>
      </c>
    </row>
    <row r="373" customFormat="false" ht="14.4" hidden="true" customHeight="false" outlineLevel="0" collapsed="false">
      <c r="A373" s="45" t="n">
        <v>55548</v>
      </c>
      <c r="B373" s="22" t="s">
        <v>445</v>
      </c>
      <c r="C373" s="23" t="n">
        <v>548</v>
      </c>
      <c r="D373" s="22" t="n">
        <v>125</v>
      </c>
      <c r="E373" s="22" t="s">
        <v>50</v>
      </c>
      <c r="F373" s="22" t="n">
        <v>127</v>
      </c>
      <c r="G373" s="22" t="s">
        <v>51</v>
      </c>
      <c r="H373" s="22" t="n">
        <v>8.14</v>
      </c>
      <c r="I373" s="22" t="n">
        <v>81.4</v>
      </c>
      <c r="J373" s="22" t="n">
        <v>0.766</v>
      </c>
      <c r="K373" s="22" t="n">
        <v>19.4</v>
      </c>
      <c r="L373" s="22" t="n">
        <v>1.325</v>
      </c>
      <c r="M373" s="22" t="n">
        <v>33.66</v>
      </c>
      <c r="N373" s="43" t="n">
        <v>0.45</v>
      </c>
      <c r="O373" s="22" t="n">
        <v>11.5</v>
      </c>
      <c r="P373" s="22" t="n">
        <v>0.656</v>
      </c>
      <c r="Q373" s="22" t="n">
        <v>65.6</v>
      </c>
      <c r="R373" s="42" t="n">
        <v>5.34</v>
      </c>
      <c r="S373" s="22" t="n">
        <v>5340</v>
      </c>
      <c r="T373" s="22" t="n">
        <v>2.97</v>
      </c>
      <c r="U373" s="22" t="n">
        <f aca="false">C373*1</f>
        <v>548</v>
      </c>
      <c r="V373" s="22" t="n">
        <f aca="false">VLOOKUP(U373,'Powder Core Toroid OD'!$A$2:$B$36,2,0)</f>
        <v>32.8</v>
      </c>
    </row>
    <row r="374" customFormat="false" ht="14.4" hidden="true" customHeight="false" outlineLevel="0" collapsed="false">
      <c r="A374" s="45" t="n">
        <v>55550</v>
      </c>
      <c r="B374" s="22" t="s">
        <v>446</v>
      </c>
      <c r="C374" s="23" t="n">
        <v>548</v>
      </c>
      <c r="D374" s="22" t="n">
        <v>26</v>
      </c>
      <c r="E374" s="22" t="s">
        <v>50</v>
      </c>
      <c r="F374" s="22" t="n">
        <v>28</v>
      </c>
      <c r="G374" s="22" t="s">
        <v>51</v>
      </c>
      <c r="H374" s="22" t="n">
        <v>8.14</v>
      </c>
      <c r="I374" s="22" t="n">
        <v>81.4</v>
      </c>
      <c r="J374" s="22" t="n">
        <v>0.766</v>
      </c>
      <c r="K374" s="22" t="n">
        <v>19.4</v>
      </c>
      <c r="L374" s="22" t="n">
        <v>1.325</v>
      </c>
      <c r="M374" s="22" t="n">
        <v>33.66</v>
      </c>
      <c r="N374" s="43" t="n">
        <v>0.45</v>
      </c>
      <c r="O374" s="22" t="n">
        <v>11.5</v>
      </c>
      <c r="P374" s="22" t="n">
        <v>0.656</v>
      </c>
      <c r="Q374" s="22" t="n">
        <v>65.6</v>
      </c>
      <c r="R374" s="42" t="n">
        <v>5.34</v>
      </c>
      <c r="S374" s="22" t="n">
        <v>5340</v>
      </c>
      <c r="T374" s="22" t="n">
        <v>2.97</v>
      </c>
      <c r="U374" s="22" t="n">
        <f aca="false">C374*1</f>
        <v>548</v>
      </c>
      <c r="V374" s="22" t="n">
        <f aca="false">VLOOKUP(U374,'Powder Core Toroid OD'!$A$2:$B$36,2,0)</f>
        <v>32.8</v>
      </c>
    </row>
    <row r="375" customFormat="false" ht="14.4" hidden="true" customHeight="false" outlineLevel="0" collapsed="false">
      <c r="A375" s="45" t="n">
        <v>55551</v>
      </c>
      <c r="B375" s="22" t="s">
        <v>447</v>
      </c>
      <c r="C375" s="23" t="n">
        <v>548</v>
      </c>
      <c r="D375" s="22" t="n">
        <v>14</v>
      </c>
      <c r="E375" s="22" t="s">
        <v>50</v>
      </c>
      <c r="F375" s="22" t="n">
        <v>14</v>
      </c>
      <c r="G375" s="22" t="s">
        <v>51</v>
      </c>
      <c r="H375" s="22" t="n">
        <v>8.14</v>
      </c>
      <c r="I375" s="22" t="n">
        <v>81.4</v>
      </c>
      <c r="J375" s="22" t="n">
        <v>0.766</v>
      </c>
      <c r="K375" s="22" t="n">
        <v>19.4</v>
      </c>
      <c r="L375" s="22" t="n">
        <v>1.325</v>
      </c>
      <c r="M375" s="22" t="n">
        <v>33.66</v>
      </c>
      <c r="N375" s="43" t="n">
        <v>0.45</v>
      </c>
      <c r="O375" s="22" t="n">
        <v>11.5</v>
      </c>
      <c r="P375" s="22" t="n">
        <v>0.656</v>
      </c>
      <c r="Q375" s="22" t="n">
        <v>65.6</v>
      </c>
      <c r="R375" s="42" t="n">
        <v>5.34</v>
      </c>
      <c r="S375" s="22" t="n">
        <v>5340</v>
      </c>
      <c r="T375" s="22" t="n">
        <v>2.97</v>
      </c>
      <c r="U375" s="22" t="n">
        <f aca="false">C375*1</f>
        <v>548</v>
      </c>
      <c r="V375" s="22" t="n">
        <f aca="false">VLOOKUP(U375,'Powder Core Toroid OD'!$A$2:$B$36,2,0)</f>
        <v>32.8</v>
      </c>
    </row>
    <row r="376" customFormat="false" ht="14.4" hidden="true" customHeight="false" outlineLevel="0" collapsed="false">
      <c r="A376" s="45" t="n">
        <v>55579</v>
      </c>
      <c r="B376" s="22" t="s">
        <v>448</v>
      </c>
      <c r="C376" s="23" t="n">
        <v>585</v>
      </c>
      <c r="D376" s="22" t="n">
        <v>173</v>
      </c>
      <c r="E376" s="22" t="s">
        <v>50</v>
      </c>
      <c r="F376" s="22" t="n">
        <v>109</v>
      </c>
      <c r="G376" s="22" t="s">
        <v>51</v>
      </c>
      <c r="H376" s="22" t="n">
        <v>8.95</v>
      </c>
      <c r="I376" s="22" t="n">
        <v>89.5</v>
      </c>
      <c r="J376" s="22" t="n">
        <v>0.888</v>
      </c>
      <c r="K376" s="22" t="n">
        <v>22.5</v>
      </c>
      <c r="L376" s="22" t="n">
        <v>1.385</v>
      </c>
      <c r="M376" s="22" t="n">
        <v>35.18</v>
      </c>
      <c r="N376" s="22" t="n">
        <v>0.385</v>
      </c>
      <c r="O376" s="22" t="n">
        <v>9.78</v>
      </c>
      <c r="P376" s="22" t="n">
        <v>0.464</v>
      </c>
      <c r="Q376" s="22" t="n">
        <v>46.4</v>
      </c>
      <c r="R376" s="42" t="n">
        <v>4.15</v>
      </c>
      <c r="S376" s="22" t="n">
        <v>4150</v>
      </c>
      <c r="T376" s="22" t="n">
        <v>3.99</v>
      </c>
      <c r="U376" s="22" t="n">
        <f aca="false">C376*1</f>
        <v>585</v>
      </c>
      <c r="V376" s="22" t="n">
        <f aca="false">VLOOKUP(U376,'Powder Core Toroid OD'!$A$2:$B$36,2,0)</f>
        <v>34.3</v>
      </c>
    </row>
    <row r="377" customFormat="false" ht="14.4" hidden="true" customHeight="false" outlineLevel="0" collapsed="false">
      <c r="A377" s="45" t="n">
        <v>55580</v>
      </c>
      <c r="B377" s="22" t="s">
        <v>449</v>
      </c>
      <c r="C377" s="23" t="n">
        <v>585</v>
      </c>
      <c r="D377" s="22" t="n">
        <v>300</v>
      </c>
      <c r="E377" s="22" t="s">
        <v>50</v>
      </c>
      <c r="F377" s="22" t="n">
        <v>190</v>
      </c>
      <c r="G377" s="22" t="s">
        <v>51</v>
      </c>
      <c r="H377" s="22" t="n">
        <v>8.95</v>
      </c>
      <c r="I377" s="22" t="n">
        <v>89.5</v>
      </c>
      <c r="J377" s="22" t="n">
        <v>0.888</v>
      </c>
      <c r="K377" s="22" t="n">
        <v>22.5</v>
      </c>
      <c r="L377" s="22" t="n">
        <v>1.385</v>
      </c>
      <c r="M377" s="22" t="n">
        <v>35.18</v>
      </c>
      <c r="N377" s="22" t="n">
        <v>0.385</v>
      </c>
      <c r="O377" s="22" t="n">
        <v>9.78</v>
      </c>
      <c r="P377" s="22" t="n">
        <v>0.464</v>
      </c>
      <c r="Q377" s="22" t="n">
        <v>46.4</v>
      </c>
      <c r="R377" s="42" t="n">
        <v>4.15</v>
      </c>
      <c r="S377" s="22" t="n">
        <v>4150</v>
      </c>
      <c r="T377" s="22" t="n">
        <v>3.99</v>
      </c>
      <c r="U377" s="22" t="n">
        <f aca="false">C377*1</f>
        <v>585</v>
      </c>
      <c r="V377" s="22" t="n">
        <f aca="false">VLOOKUP(U377,'Powder Core Toroid OD'!$A$2:$B$36,2,0)</f>
        <v>34.3</v>
      </c>
    </row>
    <row r="378" customFormat="false" ht="14.4" hidden="true" customHeight="false" outlineLevel="0" collapsed="false">
      <c r="A378" s="45" t="n">
        <v>55581</v>
      </c>
      <c r="B378" s="22" t="s">
        <v>450</v>
      </c>
      <c r="C378" s="23" t="n">
        <v>585</v>
      </c>
      <c r="D378" s="22" t="n">
        <v>550</v>
      </c>
      <c r="E378" s="22" t="s">
        <v>50</v>
      </c>
      <c r="F378" s="22" t="n">
        <v>348</v>
      </c>
      <c r="G378" s="22" t="s">
        <v>51</v>
      </c>
      <c r="H378" s="22" t="n">
        <v>8.95</v>
      </c>
      <c r="I378" s="22" t="n">
        <v>89.5</v>
      </c>
      <c r="J378" s="22" t="n">
        <v>0.888</v>
      </c>
      <c r="K378" s="22" t="n">
        <v>22.5</v>
      </c>
      <c r="L378" s="22" t="n">
        <v>1.385</v>
      </c>
      <c r="M378" s="22" t="n">
        <v>35.18</v>
      </c>
      <c r="N378" s="22" t="n">
        <v>0.385</v>
      </c>
      <c r="O378" s="22" t="n">
        <v>9.78</v>
      </c>
      <c r="P378" s="22" t="n">
        <v>0.464</v>
      </c>
      <c r="Q378" s="22" t="n">
        <v>46.4</v>
      </c>
      <c r="R378" s="42" t="n">
        <v>4.15</v>
      </c>
      <c r="S378" s="22" t="n">
        <v>4150</v>
      </c>
      <c r="T378" s="22" t="n">
        <v>3.99</v>
      </c>
      <c r="U378" s="22" t="n">
        <f aca="false">C378*1</f>
        <v>585</v>
      </c>
      <c r="V378" s="22" t="n">
        <f aca="false">VLOOKUP(U378,'Powder Core Toroid OD'!$A$2:$B$36,2,0)</f>
        <v>34.3</v>
      </c>
    </row>
    <row r="379" customFormat="false" ht="14.4" hidden="true" customHeight="false" outlineLevel="0" collapsed="false">
      <c r="A379" s="45" t="n">
        <v>55582</v>
      </c>
      <c r="B379" s="22" t="s">
        <v>451</v>
      </c>
      <c r="C379" s="23" t="n">
        <v>585</v>
      </c>
      <c r="D379" s="22" t="n">
        <v>200</v>
      </c>
      <c r="E379" s="22" t="s">
        <v>50</v>
      </c>
      <c r="F379" s="22" t="n">
        <v>126</v>
      </c>
      <c r="G379" s="22" t="s">
        <v>51</v>
      </c>
      <c r="H379" s="22" t="n">
        <v>8.95</v>
      </c>
      <c r="I379" s="22" t="n">
        <v>89.5</v>
      </c>
      <c r="J379" s="22" t="n">
        <v>0.888</v>
      </c>
      <c r="K379" s="22" t="n">
        <v>22.5</v>
      </c>
      <c r="L379" s="22" t="n">
        <v>1.385</v>
      </c>
      <c r="M379" s="22" t="n">
        <v>35.18</v>
      </c>
      <c r="N379" s="22" t="n">
        <v>0.385</v>
      </c>
      <c r="O379" s="22" t="n">
        <v>9.78</v>
      </c>
      <c r="P379" s="22" t="n">
        <v>0.464</v>
      </c>
      <c r="Q379" s="22" t="n">
        <v>46.4</v>
      </c>
      <c r="R379" s="42" t="n">
        <v>4.15</v>
      </c>
      <c r="S379" s="22" t="n">
        <v>4150</v>
      </c>
      <c r="T379" s="22" t="n">
        <v>3.99</v>
      </c>
      <c r="U379" s="22" t="n">
        <f aca="false">C379*1</f>
        <v>585</v>
      </c>
      <c r="V379" s="22" t="n">
        <f aca="false">VLOOKUP(U379,'Powder Core Toroid OD'!$A$2:$B$36,2,0)</f>
        <v>34.3</v>
      </c>
    </row>
    <row r="380" customFormat="false" ht="14.4" hidden="true" customHeight="false" outlineLevel="0" collapsed="false">
      <c r="A380" s="45" t="n">
        <v>55583</v>
      </c>
      <c r="B380" s="22" t="s">
        <v>452</v>
      </c>
      <c r="C380" s="23" t="n">
        <v>585</v>
      </c>
      <c r="D380" s="22" t="n">
        <v>160</v>
      </c>
      <c r="E380" s="22" t="s">
        <v>50</v>
      </c>
      <c r="F380" s="22" t="n">
        <v>101</v>
      </c>
      <c r="G380" s="22" t="s">
        <v>51</v>
      </c>
      <c r="H380" s="22" t="n">
        <v>8.95</v>
      </c>
      <c r="I380" s="22" t="n">
        <v>89.5</v>
      </c>
      <c r="J380" s="22" t="n">
        <v>0.888</v>
      </c>
      <c r="K380" s="22" t="n">
        <v>22.5</v>
      </c>
      <c r="L380" s="22" t="n">
        <v>1.385</v>
      </c>
      <c r="M380" s="22" t="n">
        <v>35.18</v>
      </c>
      <c r="N380" s="22" t="n">
        <v>0.385</v>
      </c>
      <c r="O380" s="22" t="n">
        <v>9.78</v>
      </c>
      <c r="P380" s="22" t="n">
        <v>0.464</v>
      </c>
      <c r="Q380" s="22" t="n">
        <v>46.4</v>
      </c>
      <c r="R380" s="42" t="n">
        <v>4.15</v>
      </c>
      <c r="S380" s="22" t="n">
        <v>4150</v>
      </c>
      <c r="T380" s="22" t="n">
        <v>3.99</v>
      </c>
      <c r="U380" s="22" t="n">
        <f aca="false">C380*1</f>
        <v>585</v>
      </c>
      <c r="V380" s="22" t="n">
        <f aca="false">VLOOKUP(U380,'Powder Core Toroid OD'!$A$2:$B$36,2,0)</f>
        <v>34.3</v>
      </c>
    </row>
    <row r="381" customFormat="false" ht="14.4" hidden="true" customHeight="false" outlineLevel="0" collapsed="false">
      <c r="A381" s="45" t="n">
        <v>55585</v>
      </c>
      <c r="B381" s="22" t="s">
        <v>453</v>
      </c>
      <c r="C381" s="23" t="n">
        <v>585</v>
      </c>
      <c r="D381" s="22" t="n">
        <v>125</v>
      </c>
      <c r="E381" s="22" t="s">
        <v>50</v>
      </c>
      <c r="F381" s="22" t="n">
        <v>79</v>
      </c>
      <c r="G381" s="22" t="s">
        <v>51</v>
      </c>
      <c r="H381" s="22" t="n">
        <v>8.95</v>
      </c>
      <c r="I381" s="22" t="n">
        <v>89.5</v>
      </c>
      <c r="J381" s="22" t="n">
        <v>0.888</v>
      </c>
      <c r="K381" s="22" t="n">
        <v>22.5</v>
      </c>
      <c r="L381" s="22" t="n">
        <v>1.385</v>
      </c>
      <c r="M381" s="22" t="n">
        <v>35.18</v>
      </c>
      <c r="N381" s="22" t="n">
        <v>0.385</v>
      </c>
      <c r="O381" s="22" t="n">
        <v>9.78</v>
      </c>
      <c r="P381" s="22" t="n">
        <v>0.464</v>
      </c>
      <c r="Q381" s="22" t="n">
        <v>46.4</v>
      </c>
      <c r="R381" s="42" t="n">
        <v>4.15</v>
      </c>
      <c r="S381" s="22" t="n">
        <v>4150</v>
      </c>
      <c r="T381" s="22" t="n">
        <v>3.99</v>
      </c>
      <c r="U381" s="22" t="n">
        <f aca="false">C381*1</f>
        <v>585</v>
      </c>
      <c r="V381" s="22" t="n">
        <f aca="false">VLOOKUP(U381,'Powder Core Toroid OD'!$A$2:$B$36,2,0)</f>
        <v>34.3</v>
      </c>
    </row>
    <row r="382" customFormat="false" ht="14.4" hidden="true" customHeight="false" outlineLevel="0" collapsed="false">
      <c r="A382" s="45" t="n">
        <v>55586</v>
      </c>
      <c r="B382" s="22" t="s">
        <v>454</v>
      </c>
      <c r="C382" s="23" t="n">
        <v>585</v>
      </c>
      <c r="D382" s="22" t="n">
        <v>60</v>
      </c>
      <c r="E382" s="22" t="s">
        <v>50</v>
      </c>
      <c r="F382" s="22" t="n">
        <v>38</v>
      </c>
      <c r="G382" s="22" t="s">
        <v>51</v>
      </c>
      <c r="H382" s="22" t="n">
        <v>8.95</v>
      </c>
      <c r="I382" s="22" t="n">
        <v>89.5</v>
      </c>
      <c r="J382" s="22" t="n">
        <v>0.888</v>
      </c>
      <c r="K382" s="22" t="n">
        <v>22.5</v>
      </c>
      <c r="L382" s="22" t="n">
        <v>1.385</v>
      </c>
      <c r="M382" s="22" t="n">
        <v>35.18</v>
      </c>
      <c r="N382" s="22" t="n">
        <v>0.385</v>
      </c>
      <c r="O382" s="22" t="n">
        <v>9.78</v>
      </c>
      <c r="P382" s="22" t="n">
        <v>0.464</v>
      </c>
      <c r="Q382" s="22" t="n">
        <v>46.4</v>
      </c>
      <c r="R382" s="42" t="n">
        <v>4.15</v>
      </c>
      <c r="S382" s="22" t="n">
        <v>4150</v>
      </c>
      <c r="T382" s="22" t="n">
        <v>3.99</v>
      </c>
      <c r="U382" s="22" t="n">
        <f aca="false">C382*1</f>
        <v>585</v>
      </c>
      <c r="V382" s="22" t="n">
        <f aca="false">VLOOKUP(U382,'Powder Core Toroid OD'!$A$2:$B$36,2,0)</f>
        <v>34.3</v>
      </c>
    </row>
    <row r="383" customFormat="false" ht="14.4" hidden="true" customHeight="false" outlineLevel="0" collapsed="false">
      <c r="A383" s="45" t="n">
        <v>55587</v>
      </c>
      <c r="B383" s="22" t="s">
        <v>455</v>
      </c>
      <c r="C383" s="23" t="n">
        <v>585</v>
      </c>
      <c r="D383" s="22" t="n">
        <v>26</v>
      </c>
      <c r="E383" s="22" t="s">
        <v>50</v>
      </c>
      <c r="F383" s="22" t="n">
        <v>16</v>
      </c>
      <c r="G383" s="22" t="s">
        <v>51</v>
      </c>
      <c r="H383" s="22" t="n">
        <v>8.95</v>
      </c>
      <c r="I383" s="22" t="n">
        <v>89.5</v>
      </c>
      <c r="J383" s="22" t="n">
        <v>0.888</v>
      </c>
      <c r="K383" s="22" t="n">
        <v>22.5</v>
      </c>
      <c r="L383" s="22" t="n">
        <v>1.385</v>
      </c>
      <c r="M383" s="22" t="n">
        <v>35.18</v>
      </c>
      <c r="N383" s="22" t="n">
        <v>0.385</v>
      </c>
      <c r="O383" s="22" t="n">
        <v>9.78</v>
      </c>
      <c r="P383" s="22" t="n">
        <v>0.464</v>
      </c>
      <c r="Q383" s="22" t="n">
        <v>46.4</v>
      </c>
      <c r="R383" s="42" t="n">
        <v>4.15</v>
      </c>
      <c r="S383" s="22" t="n">
        <v>4150</v>
      </c>
      <c r="T383" s="22" t="n">
        <v>3.99</v>
      </c>
      <c r="U383" s="22" t="n">
        <f aca="false">C383*1</f>
        <v>585</v>
      </c>
      <c r="V383" s="22" t="n">
        <f aca="false">VLOOKUP(U383,'Powder Core Toroid OD'!$A$2:$B$36,2,0)</f>
        <v>34.3</v>
      </c>
    </row>
    <row r="384" customFormat="false" ht="14.4" hidden="true" customHeight="false" outlineLevel="0" collapsed="false">
      <c r="A384" s="45" t="n">
        <v>55588</v>
      </c>
      <c r="B384" s="22" t="s">
        <v>456</v>
      </c>
      <c r="C384" s="23" t="n">
        <v>585</v>
      </c>
      <c r="D384" s="22" t="n">
        <v>14</v>
      </c>
      <c r="E384" s="22" t="s">
        <v>50</v>
      </c>
      <c r="F384" s="22" t="n">
        <v>9</v>
      </c>
      <c r="G384" s="22" t="s">
        <v>51</v>
      </c>
      <c r="H384" s="22" t="n">
        <v>8.95</v>
      </c>
      <c r="I384" s="22" t="n">
        <v>89.5</v>
      </c>
      <c r="J384" s="22" t="n">
        <v>0.888</v>
      </c>
      <c r="K384" s="22" t="n">
        <v>22.5</v>
      </c>
      <c r="L384" s="22" t="n">
        <v>1.385</v>
      </c>
      <c r="M384" s="22" t="n">
        <v>35.18</v>
      </c>
      <c r="N384" s="22" t="n">
        <v>0.385</v>
      </c>
      <c r="O384" s="22" t="n">
        <v>9.78</v>
      </c>
      <c r="P384" s="22" t="n">
        <v>0.464</v>
      </c>
      <c r="Q384" s="22" t="n">
        <v>46.4</v>
      </c>
      <c r="R384" s="42" t="n">
        <v>4.15</v>
      </c>
      <c r="S384" s="22" t="n">
        <v>4150</v>
      </c>
      <c r="T384" s="22" t="n">
        <v>3.99</v>
      </c>
      <c r="U384" s="22" t="n">
        <f aca="false">C384*1</f>
        <v>585</v>
      </c>
      <c r="V384" s="22" t="n">
        <f aca="false">VLOOKUP(U384,'Powder Core Toroid OD'!$A$2:$B$36,2,0)</f>
        <v>34.3</v>
      </c>
    </row>
    <row r="385" customFormat="false" ht="14.4" hidden="true" customHeight="false" outlineLevel="0" collapsed="false">
      <c r="A385" s="45" t="n">
        <v>55710</v>
      </c>
      <c r="B385" s="22" t="s">
        <v>457</v>
      </c>
      <c r="C385" s="23" t="n">
        <v>715</v>
      </c>
      <c r="D385" s="22" t="n">
        <v>300</v>
      </c>
      <c r="E385" s="22" t="s">
        <v>50</v>
      </c>
      <c r="F385" s="22" t="n">
        <v>365</v>
      </c>
      <c r="G385" s="22" t="s">
        <v>51</v>
      </c>
      <c r="H385" s="22" t="n">
        <v>12.7</v>
      </c>
      <c r="I385" s="22" t="n">
        <v>127</v>
      </c>
      <c r="J385" s="22" t="n">
        <v>1.218</v>
      </c>
      <c r="K385" s="22" t="n">
        <v>30.93</v>
      </c>
      <c r="L385" s="22" t="n">
        <v>2.035</v>
      </c>
      <c r="M385" s="22" t="n">
        <v>51.69</v>
      </c>
      <c r="N385" s="22" t="n">
        <v>0.565</v>
      </c>
      <c r="O385" s="22" t="n">
        <v>14.4</v>
      </c>
      <c r="P385" s="22" t="n">
        <v>1.25</v>
      </c>
      <c r="Q385" s="22" t="n">
        <v>125</v>
      </c>
      <c r="R385" s="22" t="n">
        <v>15.9</v>
      </c>
      <c r="S385" s="22" t="n">
        <v>15900</v>
      </c>
      <c r="T385" s="22" t="n">
        <v>7.51</v>
      </c>
      <c r="U385" s="22" t="n">
        <f aca="false">C385*1</f>
        <v>715</v>
      </c>
      <c r="V385" s="22" t="n">
        <f aca="false">VLOOKUP(U385,'Powder Core Toroid OD'!$A$2:$B$36,2,0)</f>
        <v>50.8</v>
      </c>
    </row>
    <row r="386" customFormat="false" ht="14.4" hidden="true" customHeight="false" outlineLevel="0" collapsed="false">
      <c r="A386" s="45" t="n">
        <v>55713</v>
      </c>
      <c r="B386" s="22" t="s">
        <v>458</v>
      </c>
      <c r="C386" s="23" t="n">
        <v>715</v>
      </c>
      <c r="D386" s="22" t="n">
        <v>160</v>
      </c>
      <c r="E386" s="22" t="s">
        <v>50</v>
      </c>
      <c r="F386" s="22" t="n">
        <v>195</v>
      </c>
      <c r="G386" s="22" t="s">
        <v>51</v>
      </c>
      <c r="H386" s="22" t="n">
        <v>12.7</v>
      </c>
      <c r="I386" s="22" t="n">
        <v>127</v>
      </c>
      <c r="J386" s="22" t="n">
        <v>1.218</v>
      </c>
      <c r="K386" s="22" t="n">
        <v>30.93</v>
      </c>
      <c r="L386" s="22" t="n">
        <v>2.035</v>
      </c>
      <c r="M386" s="22" t="n">
        <v>51.69</v>
      </c>
      <c r="N386" s="22" t="n">
        <v>0.565</v>
      </c>
      <c r="O386" s="22" t="n">
        <v>14.4</v>
      </c>
      <c r="P386" s="22" t="n">
        <v>1.25</v>
      </c>
      <c r="Q386" s="22" t="n">
        <v>125</v>
      </c>
      <c r="R386" s="22" t="n">
        <v>15.9</v>
      </c>
      <c r="S386" s="22" t="n">
        <v>15900</v>
      </c>
      <c r="T386" s="22" t="n">
        <v>7.51</v>
      </c>
      <c r="U386" s="22" t="n">
        <f aca="false">C386*1</f>
        <v>715</v>
      </c>
      <c r="V386" s="22" t="n">
        <f aca="false">VLOOKUP(U386,'Powder Core Toroid OD'!$A$2:$B$36,2,0)</f>
        <v>50.8</v>
      </c>
    </row>
    <row r="387" customFormat="false" ht="14.4" hidden="true" customHeight="false" outlineLevel="0" collapsed="false">
      <c r="A387" s="45" t="n">
        <v>55714</v>
      </c>
      <c r="B387" s="22" t="s">
        <v>459</v>
      </c>
      <c r="C387" s="23" t="n">
        <v>715</v>
      </c>
      <c r="D387" s="22" t="n">
        <v>147</v>
      </c>
      <c r="E387" s="22" t="s">
        <v>50</v>
      </c>
      <c r="F387" s="22" t="n">
        <v>179</v>
      </c>
      <c r="G387" s="22" t="s">
        <v>51</v>
      </c>
      <c r="H387" s="22" t="n">
        <v>12.7</v>
      </c>
      <c r="I387" s="22" t="n">
        <v>127</v>
      </c>
      <c r="J387" s="22" t="n">
        <v>1.218</v>
      </c>
      <c r="K387" s="22" t="n">
        <v>30.93</v>
      </c>
      <c r="L387" s="22" t="n">
        <v>2.035</v>
      </c>
      <c r="M387" s="22" t="n">
        <v>51.69</v>
      </c>
      <c r="N387" s="22" t="n">
        <v>0.565</v>
      </c>
      <c r="O387" s="22" t="n">
        <v>14.4</v>
      </c>
      <c r="P387" s="22" t="n">
        <v>1.25</v>
      </c>
      <c r="Q387" s="22" t="n">
        <v>125</v>
      </c>
      <c r="R387" s="22" t="n">
        <v>15.9</v>
      </c>
      <c r="S387" s="22" t="n">
        <v>15900</v>
      </c>
      <c r="T387" s="22" t="n">
        <v>7.51</v>
      </c>
      <c r="U387" s="22" t="n">
        <f aca="false">C387*1</f>
        <v>715</v>
      </c>
      <c r="V387" s="22" t="n">
        <f aca="false">VLOOKUP(U387,'Powder Core Toroid OD'!$A$2:$B$36,2,0)</f>
        <v>50.8</v>
      </c>
    </row>
    <row r="388" customFormat="false" ht="14.4" hidden="true" customHeight="false" outlineLevel="0" collapsed="false">
      <c r="A388" s="45" t="n">
        <v>55715</v>
      </c>
      <c r="B388" s="22" t="s">
        <v>460</v>
      </c>
      <c r="C388" s="23" t="n">
        <v>715</v>
      </c>
      <c r="D388" s="22" t="n">
        <v>125</v>
      </c>
      <c r="E388" s="22" t="s">
        <v>50</v>
      </c>
      <c r="F388" s="22" t="n">
        <v>152</v>
      </c>
      <c r="G388" s="22" t="s">
        <v>51</v>
      </c>
      <c r="H388" s="22" t="n">
        <v>12.7</v>
      </c>
      <c r="I388" s="22" t="n">
        <v>127</v>
      </c>
      <c r="J388" s="22" t="n">
        <v>1.218</v>
      </c>
      <c r="K388" s="22" t="n">
        <v>30.93</v>
      </c>
      <c r="L388" s="22" t="n">
        <v>2.035</v>
      </c>
      <c r="M388" s="22" t="n">
        <v>51.69</v>
      </c>
      <c r="N388" s="22" t="n">
        <v>0.565</v>
      </c>
      <c r="O388" s="22" t="n">
        <v>14.4</v>
      </c>
      <c r="P388" s="22" t="n">
        <v>1.25</v>
      </c>
      <c r="Q388" s="22" t="n">
        <v>125</v>
      </c>
      <c r="R388" s="22" t="n">
        <v>15.9</v>
      </c>
      <c r="S388" s="22" t="n">
        <v>15900</v>
      </c>
      <c r="T388" s="22" t="n">
        <v>7.51</v>
      </c>
      <c r="U388" s="22" t="n">
        <f aca="false">C388*1</f>
        <v>715</v>
      </c>
      <c r="V388" s="22" t="n">
        <f aca="false">VLOOKUP(U388,'Powder Core Toroid OD'!$A$2:$B$36,2,0)</f>
        <v>50.8</v>
      </c>
    </row>
    <row r="389" customFormat="false" ht="14.4" hidden="true" customHeight="false" outlineLevel="0" collapsed="false">
      <c r="A389" s="45" t="n">
        <v>55716</v>
      </c>
      <c r="B389" s="22" t="s">
        <v>461</v>
      </c>
      <c r="C389" s="23" t="n">
        <v>715</v>
      </c>
      <c r="D389" s="22" t="n">
        <v>60</v>
      </c>
      <c r="E389" s="22" t="s">
        <v>50</v>
      </c>
      <c r="F389" s="22" t="n">
        <v>73</v>
      </c>
      <c r="G389" s="22" t="s">
        <v>51</v>
      </c>
      <c r="H389" s="22" t="n">
        <v>12.7</v>
      </c>
      <c r="I389" s="22" t="n">
        <v>127</v>
      </c>
      <c r="J389" s="22" t="n">
        <v>1.218</v>
      </c>
      <c r="K389" s="22" t="n">
        <v>30.93</v>
      </c>
      <c r="L389" s="22" t="n">
        <v>2.035</v>
      </c>
      <c r="M389" s="22" t="n">
        <v>51.69</v>
      </c>
      <c r="N389" s="22" t="n">
        <v>0.565</v>
      </c>
      <c r="O389" s="22" t="n">
        <v>14.4</v>
      </c>
      <c r="P389" s="22" t="n">
        <v>1.25</v>
      </c>
      <c r="Q389" s="22" t="n">
        <v>125</v>
      </c>
      <c r="R389" s="22" t="n">
        <v>15.9</v>
      </c>
      <c r="S389" s="22" t="n">
        <v>15900</v>
      </c>
      <c r="T389" s="22" t="n">
        <v>7.51</v>
      </c>
      <c r="U389" s="22" t="n">
        <f aca="false">C389*1</f>
        <v>715</v>
      </c>
      <c r="V389" s="22" t="n">
        <f aca="false">VLOOKUP(U389,'Powder Core Toroid OD'!$A$2:$B$36,2,0)</f>
        <v>50.8</v>
      </c>
    </row>
    <row r="390" customFormat="false" ht="14.4" hidden="true" customHeight="false" outlineLevel="0" collapsed="false">
      <c r="A390" s="45" t="n">
        <v>55717</v>
      </c>
      <c r="B390" s="22" t="s">
        <v>462</v>
      </c>
      <c r="C390" s="23" t="n">
        <v>715</v>
      </c>
      <c r="D390" s="22" t="n">
        <v>26</v>
      </c>
      <c r="E390" s="22" t="s">
        <v>50</v>
      </c>
      <c r="F390" s="22" t="n">
        <v>32</v>
      </c>
      <c r="G390" s="22" t="s">
        <v>51</v>
      </c>
      <c r="H390" s="22" t="n">
        <v>12.7</v>
      </c>
      <c r="I390" s="22" t="n">
        <v>127</v>
      </c>
      <c r="J390" s="22" t="n">
        <v>1.218</v>
      </c>
      <c r="K390" s="22" t="n">
        <v>30.93</v>
      </c>
      <c r="L390" s="22" t="n">
        <v>2.035</v>
      </c>
      <c r="M390" s="22" t="n">
        <v>51.69</v>
      </c>
      <c r="N390" s="22" t="n">
        <v>0.565</v>
      </c>
      <c r="O390" s="22" t="n">
        <v>14.4</v>
      </c>
      <c r="P390" s="22" t="n">
        <v>1.25</v>
      </c>
      <c r="Q390" s="22" t="n">
        <v>125</v>
      </c>
      <c r="R390" s="22" t="n">
        <v>15.9</v>
      </c>
      <c r="S390" s="22" t="n">
        <v>15900</v>
      </c>
      <c r="T390" s="22" t="n">
        <v>7.51</v>
      </c>
      <c r="U390" s="22" t="n">
        <f aca="false">C390*1</f>
        <v>715</v>
      </c>
      <c r="V390" s="22" t="n">
        <f aca="false">VLOOKUP(U390,'Powder Core Toroid OD'!$A$2:$B$36,2,0)</f>
        <v>50.8</v>
      </c>
    </row>
    <row r="391" customFormat="false" ht="14.4" hidden="true" customHeight="false" outlineLevel="0" collapsed="false">
      <c r="A391" s="45" t="n">
        <v>55718</v>
      </c>
      <c r="B391" s="22" t="s">
        <v>463</v>
      </c>
      <c r="C391" s="23" t="n">
        <v>715</v>
      </c>
      <c r="D391" s="22" t="n">
        <v>14</v>
      </c>
      <c r="E391" s="22" t="s">
        <v>50</v>
      </c>
      <c r="F391" s="22" t="n">
        <v>17</v>
      </c>
      <c r="G391" s="22" t="s">
        <v>51</v>
      </c>
      <c r="H391" s="22" t="n">
        <v>12.7</v>
      </c>
      <c r="I391" s="22" t="n">
        <v>127</v>
      </c>
      <c r="J391" s="22" t="n">
        <v>1.218</v>
      </c>
      <c r="K391" s="22" t="n">
        <v>30.93</v>
      </c>
      <c r="L391" s="22" t="n">
        <v>2.035</v>
      </c>
      <c r="M391" s="22" t="n">
        <v>51.69</v>
      </c>
      <c r="N391" s="22" t="n">
        <v>0.565</v>
      </c>
      <c r="O391" s="22" t="n">
        <v>14.4</v>
      </c>
      <c r="P391" s="22" t="n">
        <v>1.25</v>
      </c>
      <c r="Q391" s="22" t="n">
        <v>125</v>
      </c>
      <c r="R391" s="22" t="n">
        <v>15.9</v>
      </c>
      <c r="S391" s="22" t="n">
        <v>15900</v>
      </c>
      <c r="T391" s="22" t="n">
        <v>7.51</v>
      </c>
      <c r="U391" s="22" t="n">
        <f aca="false">C391*1</f>
        <v>715</v>
      </c>
      <c r="V391" s="22" t="n">
        <f aca="false">VLOOKUP(U391,'Powder Core Toroid OD'!$A$2:$B$36,2,0)</f>
        <v>50.8</v>
      </c>
    </row>
    <row r="392" customFormat="false" ht="14.4" hidden="true" customHeight="false" outlineLevel="0" collapsed="false">
      <c r="A392" s="45" t="n">
        <v>55848</v>
      </c>
      <c r="B392" s="22" t="s">
        <v>464</v>
      </c>
      <c r="C392" s="23" t="n">
        <v>206</v>
      </c>
      <c r="D392" s="22" t="n">
        <v>60</v>
      </c>
      <c r="E392" s="22" t="s">
        <v>50</v>
      </c>
      <c r="F392" s="22" t="n">
        <v>32</v>
      </c>
      <c r="G392" s="22" t="s">
        <v>51</v>
      </c>
      <c r="H392" s="22" t="n">
        <v>5.09</v>
      </c>
      <c r="I392" s="22" t="n">
        <v>50.9</v>
      </c>
      <c r="J392" s="22" t="n">
        <v>0.475</v>
      </c>
      <c r="K392" s="36" t="n">
        <v>12</v>
      </c>
      <c r="L392" s="43" t="n">
        <v>0.83</v>
      </c>
      <c r="M392" s="22" t="n">
        <v>21.1</v>
      </c>
      <c r="N392" s="43" t="n">
        <v>0.28</v>
      </c>
      <c r="O392" s="22" t="n">
        <v>7.12</v>
      </c>
      <c r="P392" s="22" t="n">
        <v>0.221</v>
      </c>
      <c r="Q392" s="22" t="n">
        <v>22.1</v>
      </c>
      <c r="R392" s="42" t="n">
        <v>1.12</v>
      </c>
      <c r="S392" s="22" t="n">
        <v>1120</v>
      </c>
      <c r="T392" s="22" t="n">
        <v>1.14</v>
      </c>
      <c r="U392" s="22" t="n">
        <f aca="false">C392*1</f>
        <v>206</v>
      </c>
      <c r="V392" s="22" t="n">
        <f aca="false">VLOOKUP(U392,'Powder Core Toroid OD'!$A$2:$B$36,2,0)</f>
        <v>20.3</v>
      </c>
    </row>
    <row r="393" customFormat="false" ht="14.4" hidden="true" customHeight="false" outlineLevel="0" collapsed="false">
      <c r="A393" s="45" t="n">
        <v>55863</v>
      </c>
      <c r="B393" s="22" t="s">
        <v>465</v>
      </c>
      <c r="C393" s="23" t="n">
        <v>866</v>
      </c>
      <c r="D393" s="22" t="n">
        <v>200</v>
      </c>
      <c r="E393" s="22" t="s">
        <v>50</v>
      </c>
      <c r="F393" s="22" t="n">
        <v>225</v>
      </c>
      <c r="G393" s="22" t="s">
        <v>51</v>
      </c>
      <c r="H393" s="22" t="n">
        <v>19.6</v>
      </c>
      <c r="I393" s="22" t="n">
        <v>196</v>
      </c>
      <c r="J393" s="22" t="n">
        <v>1.898</v>
      </c>
      <c r="K393" s="42" t="n">
        <v>48.2</v>
      </c>
      <c r="L393" s="22" t="n">
        <v>3.108</v>
      </c>
      <c r="M393" s="22" t="n">
        <v>78.95</v>
      </c>
      <c r="N393" s="22" t="n">
        <v>0.545</v>
      </c>
      <c r="O393" s="22" t="n">
        <v>13.9</v>
      </c>
      <c r="P393" s="22" t="n">
        <v>1.76</v>
      </c>
      <c r="Q393" s="22" t="n">
        <v>176</v>
      </c>
      <c r="R393" s="22" t="n">
        <v>34.5</v>
      </c>
      <c r="S393" s="22" t="n">
        <v>34500</v>
      </c>
      <c r="T393" s="22" t="n">
        <v>18.2</v>
      </c>
      <c r="U393" s="22" t="n">
        <f aca="false">C393*1</f>
        <v>866</v>
      </c>
      <c r="V393" s="22" t="n">
        <f aca="false">VLOOKUP(U393,'Powder Core Toroid OD'!$A$2:$B$36,2,0)</f>
        <v>77.8</v>
      </c>
    </row>
    <row r="394" customFormat="false" ht="14.4" hidden="true" customHeight="false" outlineLevel="0" collapsed="false">
      <c r="A394" s="45" t="n">
        <v>55866</v>
      </c>
      <c r="B394" s="22" t="s">
        <v>466</v>
      </c>
      <c r="C394" s="23" t="n">
        <v>866</v>
      </c>
      <c r="D394" s="22" t="n">
        <v>125</v>
      </c>
      <c r="E394" s="22" t="s">
        <v>50</v>
      </c>
      <c r="F394" s="22" t="n">
        <v>142</v>
      </c>
      <c r="G394" s="22" t="s">
        <v>51</v>
      </c>
      <c r="H394" s="22" t="n">
        <v>19.6</v>
      </c>
      <c r="I394" s="22" t="n">
        <v>196</v>
      </c>
      <c r="J394" s="22" t="n">
        <v>1.898</v>
      </c>
      <c r="K394" s="42" t="n">
        <v>48.2</v>
      </c>
      <c r="L394" s="22" t="n">
        <v>3.108</v>
      </c>
      <c r="M394" s="22" t="n">
        <v>78.95</v>
      </c>
      <c r="N394" s="22" t="n">
        <v>0.545</v>
      </c>
      <c r="O394" s="22" t="n">
        <v>13.9</v>
      </c>
      <c r="P394" s="22" t="n">
        <v>1.76</v>
      </c>
      <c r="Q394" s="22" t="n">
        <v>176</v>
      </c>
      <c r="R394" s="22" t="n">
        <v>34.5</v>
      </c>
      <c r="S394" s="22" t="n">
        <v>34500</v>
      </c>
      <c r="T394" s="22" t="n">
        <v>18.2</v>
      </c>
      <c r="U394" s="22" t="n">
        <f aca="false">C394*1</f>
        <v>866</v>
      </c>
      <c r="V394" s="22" t="n">
        <f aca="false">VLOOKUP(U394,'Powder Core Toroid OD'!$A$2:$B$36,2,0)</f>
        <v>77.8</v>
      </c>
    </row>
    <row r="395" customFormat="false" ht="14.4" hidden="true" customHeight="false" outlineLevel="0" collapsed="false">
      <c r="A395" s="45" t="n">
        <v>55867</v>
      </c>
      <c r="B395" s="22" t="s">
        <v>467</v>
      </c>
      <c r="C395" s="23" t="n">
        <v>866</v>
      </c>
      <c r="D395" s="22" t="n">
        <v>60</v>
      </c>
      <c r="E395" s="22" t="s">
        <v>50</v>
      </c>
      <c r="F395" s="22" t="n">
        <v>68</v>
      </c>
      <c r="G395" s="22" t="s">
        <v>51</v>
      </c>
      <c r="H395" s="22" t="n">
        <v>19.6</v>
      </c>
      <c r="I395" s="22" t="n">
        <v>196</v>
      </c>
      <c r="J395" s="22" t="n">
        <v>1.898</v>
      </c>
      <c r="K395" s="42" t="n">
        <v>48.2</v>
      </c>
      <c r="L395" s="22" t="n">
        <v>3.108</v>
      </c>
      <c r="M395" s="22" t="n">
        <v>78.95</v>
      </c>
      <c r="N395" s="22" t="n">
        <v>0.545</v>
      </c>
      <c r="O395" s="22" t="n">
        <v>13.9</v>
      </c>
      <c r="P395" s="22" t="n">
        <v>1.76</v>
      </c>
      <c r="Q395" s="22" t="n">
        <v>176</v>
      </c>
      <c r="R395" s="22" t="n">
        <v>34.5</v>
      </c>
      <c r="S395" s="22" t="n">
        <v>34500</v>
      </c>
      <c r="T395" s="22" t="n">
        <v>18.2</v>
      </c>
      <c r="U395" s="22" t="n">
        <f aca="false">C395*1</f>
        <v>866</v>
      </c>
      <c r="V395" s="22" t="n">
        <f aca="false">VLOOKUP(U395,'Powder Core Toroid OD'!$A$2:$B$36,2,0)</f>
        <v>77.8</v>
      </c>
    </row>
    <row r="396" customFormat="false" ht="14.4" hidden="true" customHeight="false" outlineLevel="0" collapsed="false">
      <c r="A396" s="45" t="n">
        <v>55868</v>
      </c>
      <c r="B396" s="22" t="s">
        <v>468</v>
      </c>
      <c r="C396" s="23" t="n">
        <v>866</v>
      </c>
      <c r="D396" s="22" t="n">
        <v>26</v>
      </c>
      <c r="E396" s="22" t="s">
        <v>50</v>
      </c>
      <c r="F396" s="22" t="n">
        <v>30</v>
      </c>
      <c r="G396" s="22" t="s">
        <v>51</v>
      </c>
      <c r="H396" s="22" t="n">
        <v>19.6</v>
      </c>
      <c r="I396" s="22" t="n">
        <v>196</v>
      </c>
      <c r="J396" s="22" t="n">
        <v>1.898</v>
      </c>
      <c r="K396" s="42" t="n">
        <v>48.2</v>
      </c>
      <c r="L396" s="22" t="n">
        <v>3.108</v>
      </c>
      <c r="M396" s="22" t="n">
        <v>78.95</v>
      </c>
      <c r="N396" s="22" t="n">
        <v>0.545</v>
      </c>
      <c r="O396" s="22" t="n">
        <v>13.9</v>
      </c>
      <c r="P396" s="22" t="n">
        <v>1.76</v>
      </c>
      <c r="Q396" s="22" t="n">
        <v>176</v>
      </c>
      <c r="R396" s="22" t="n">
        <v>34.5</v>
      </c>
      <c r="S396" s="22" t="n">
        <v>34500</v>
      </c>
      <c r="T396" s="22" t="n">
        <v>18.2</v>
      </c>
      <c r="U396" s="22" t="n">
        <f aca="false">C396*1</f>
        <v>866</v>
      </c>
      <c r="V396" s="22" t="n">
        <f aca="false">VLOOKUP(U396,'Powder Core Toroid OD'!$A$2:$B$36,2,0)</f>
        <v>77.8</v>
      </c>
    </row>
    <row r="397" customFormat="false" ht="14.4" hidden="true" customHeight="false" outlineLevel="0" collapsed="false">
      <c r="A397" s="45" t="n">
        <v>55869</v>
      </c>
      <c r="B397" s="22" t="s">
        <v>469</v>
      </c>
      <c r="C397" s="23" t="n">
        <v>866</v>
      </c>
      <c r="D397" s="22" t="n">
        <v>14</v>
      </c>
      <c r="E397" s="22" t="s">
        <v>50</v>
      </c>
      <c r="F397" s="22" t="n">
        <v>16</v>
      </c>
      <c r="G397" s="22" t="s">
        <v>51</v>
      </c>
      <c r="H397" s="22" t="n">
        <v>19.6</v>
      </c>
      <c r="I397" s="22" t="n">
        <v>196</v>
      </c>
      <c r="J397" s="22" t="n">
        <v>1.898</v>
      </c>
      <c r="K397" s="42" t="n">
        <v>48.2</v>
      </c>
      <c r="L397" s="22" t="n">
        <v>3.108</v>
      </c>
      <c r="M397" s="22" t="n">
        <v>78.95</v>
      </c>
      <c r="N397" s="22" t="n">
        <v>0.545</v>
      </c>
      <c r="O397" s="22" t="n">
        <v>13.9</v>
      </c>
      <c r="P397" s="22" t="n">
        <v>1.76</v>
      </c>
      <c r="Q397" s="22" t="n">
        <v>176</v>
      </c>
      <c r="R397" s="22" t="n">
        <v>34.5</v>
      </c>
      <c r="S397" s="22" t="n">
        <v>34500</v>
      </c>
      <c r="T397" s="22" t="n">
        <v>18.2</v>
      </c>
      <c r="U397" s="22" t="n">
        <f aca="false">C397*1</f>
        <v>866</v>
      </c>
      <c r="V397" s="22" t="n">
        <f aca="false">VLOOKUP(U397,'Powder Core Toroid OD'!$A$2:$B$36,2,0)</f>
        <v>77.8</v>
      </c>
    </row>
    <row r="398" customFormat="false" ht="14.4" hidden="true" customHeight="false" outlineLevel="0" collapsed="false">
      <c r="A398" s="45" t="n">
        <v>55894</v>
      </c>
      <c r="B398" s="22" t="s">
        <v>470</v>
      </c>
      <c r="C398" s="23" t="n">
        <v>930</v>
      </c>
      <c r="D398" s="22" t="n">
        <v>60</v>
      </c>
      <c r="E398" s="22" t="s">
        <v>50</v>
      </c>
      <c r="F398" s="22" t="n">
        <v>75</v>
      </c>
      <c r="G398" s="22" t="s">
        <v>51</v>
      </c>
      <c r="H398" s="22" t="n">
        <v>6.35</v>
      </c>
      <c r="I398" s="22" t="n">
        <v>63.5</v>
      </c>
      <c r="J398" s="22" t="n">
        <v>0.555</v>
      </c>
      <c r="K398" s="22" t="n">
        <v>14.1</v>
      </c>
      <c r="L398" s="43" t="n">
        <v>1.09</v>
      </c>
      <c r="M398" s="22" t="n">
        <v>27.69</v>
      </c>
      <c r="N398" s="43" t="n">
        <v>0.47</v>
      </c>
      <c r="O398" s="36" t="n">
        <v>12</v>
      </c>
      <c r="P398" s="22" t="n">
        <v>0.654</v>
      </c>
      <c r="Q398" s="22" t="n">
        <v>65.4</v>
      </c>
      <c r="R398" s="22" t="n">
        <v>4.15</v>
      </c>
      <c r="S398" s="22" t="n">
        <v>4150</v>
      </c>
      <c r="T398" s="22" t="n">
        <v>1.56</v>
      </c>
      <c r="U398" s="22" t="n">
        <f aca="false">C398*1</f>
        <v>930</v>
      </c>
      <c r="V398" s="22" t="n">
        <f aca="false">VLOOKUP(U398,'Powder Core Toroid OD'!$A$2:$B$36,2,0)</f>
        <v>26.9</v>
      </c>
    </row>
    <row r="399" customFormat="false" ht="14.4" hidden="true" customHeight="false" outlineLevel="0" collapsed="false">
      <c r="A399" s="45" t="n">
        <v>55906</v>
      </c>
      <c r="B399" s="22" t="s">
        <v>471</v>
      </c>
      <c r="C399" s="23" t="n">
        <v>906</v>
      </c>
      <c r="D399" s="22" t="n">
        <v>125</v>
      </c>
      <c r="E399" s="22" t="s">
        <v>50</v>
      </c>
      <c r="F399" s="22" t="n">
        <v>178</v>
      </c>
      <c r="G399" s="22" t="s">
        <v>51</v>
      </c>
      <c r="H399" s="22" t="n">
        <v>19.6</v>
      </c>
      <c r="I399" s="22" t="n">
        <v>196</v>
      </c>
      <c r="J399" s="22" t="n">
        <v>1.898</v>
      </c>
      <c r="K399" s="42" t="n">
        <v>48.2</v>
      </c>
      <c r="L399" s="22" t="n">
        <v>3.108</v>
      </c>
      <c r="M399" s="22" t="n">
        <v>78.95</v>
      </c>
      <c r="N399" s="43" t="n">
        <v>0.67</v>
      </c>
      <c r="O399" s="22" t="n">
        <v>17.1</v>
      </c>
      <c r="P399" s="22" t="n">
        <v>2.21</v>
      </c>
      <c r="Q399" s="22" t="n">
        <v>221</v>
      </c>
      <c r="R399" s="22" t="n">
        <v>43.4</v>
      </c>
      <c r="S399" s="22" t="n">
        <v>43400</v>
      </c>
      <c r="T399" s="22" t="n">
        <v>18.2</v>
      </c>
      <c r="U399" s="22" t="n">
        <f aca="false">C399*1</f>
        <v>906</v>
      </c>
      <c r="V399" s="22" t="n">
        <f aca="false">VLOOKUP(U399,'Powder Core Toroid OD'!$A$2:$B$36,2,0)</f>
        <v>77.8</v>
      </c>
    </row>
    <row r="400" customFormat="false" ht="14.4" hidden="true" customHeight="false" outlineLevel="0" collapsed="false">
      <c r="A400" s="45" t="n">
        <v>55907</v>
      </c>
      <c r="B400" s="22" t="s">
        <v>472</v>
      </c>
      <c r="C400" s="23" t="n">
        <v>906</v>
      </c>
      <c r="D400" s="22" t="n">
        <v>60</v>
      </c>
      <c r="E400" s="22" t="s">
        <v>50</v>
      </c>
      <c r="F400" s="22" t="n">
        <v>85</v>
      </c>
      <c r="G400" s="22" t="s">
        <v>51</v>
      </c>
      <c r="H400" s="22" t="n">
        <v>19.6</v>
      </c>
      <c r="I400" s="22" t="n">
        <v>196</v>
      </c>
      <c r="J400" s="22" t="n">
        <v>1.898</v>
      </c>
      <c r="K400" s="42" t="n">
        <v>48.2</v>
      </c>
      <c r="L400" s="22" t="n">
        <v>3.108</v>
      </c>
      <c r="M400" s="22" t="n">
        <v>78.95</v>
      </c>
      <c r="N400" s="43" t="n">
        <v>0.67</v>
      </c>
      <c r="O400" s="22" t="n">
        <v>17.1</v>
      </c>
      <c r="P400" s="22" t="n">
        <v>2.21</v>
      </c>
      <c r="Q400" s="22" t="n">
        <v>221</v>
      </c>
      <c r="R400" s="22" t="n">
        <v>43.4</v>
      </c>
      <c r="S400" s="22" t="n">
        <v>43400</v>
      </c>
      <c r="T400" s="22" t="n">
        <v>18.2</v>
      </c>
      <c r="U400" s="22" t="n">
        <f aca="false">C400*1</f>
        <v>906</v>
      </c>
      <c r="V400" s="22" t="n">
        <f aca="false">VLOOKUP(U400,'Powder Core Toroid OD'!$A$2:$B$36,2,0)</f>
        <v>77.8</v>
      </c>
    </row>
    <row r="401" customFormat="false" ht="14.4" hidden="true" customHeight="false" outlineLevel="0" collapsed="false">
      <c r="A401" s="45" t="n">
        <v>55908</v>
      </c>
      <c r="B401" s="22" t="s">
        <v>473</v>
      </c>
      <c r="C401" s="23" t="n">
        <v>906</v>
      </c>
      <c r="D401" s="22" t="n">
        <v>26</v>
      </c>
      <c r="E401" s="22" t="s">
        <v>50</v>
      </c>
      <c r="F401" s="22" t="n">
        <v>37</v>
      </c>
      <c r="G401" s="22" t="s">
        <v>51</v>
      </c>
      <c r="H401" s="22" t="n">
        <v>19.6</v>
      </c>
      <c r="I401" s="22" t="n">
        <v>196</v>
      </c>
      <c r="J401" s="22" t="n">
        <v>1.898</v>
      </c>
      <c r="K401" s="42" t="n">
        <v>48.2</v>
      </c>
      <c r="L401" s="22" t="n">
        <v>3.108</v>
      </c>
      <c r="M401" s="22" t="n">
        <v>78.95</v>
      </c>
      <c r="N401" s="43" t="n">
        <v>0.67</v>
      </c>
      <c r="O401" s="22" t="n">
        <v>17.1</v>
      </c>
      <c r="P401" s="22" t="n">
        <v>2.21</v>
      </c>
      <c r="Q401" s="22" t="n">
        <v>221</v>
      </c>
      <c r="R401" s="22" t="n">
        <v>43.4</v>
      </c>
      <c r="S401" s="22" t="n">
        <v>43400</v>
      </c>
      <c r="T401" s="22" t="n">
        <v>18.2</v>
      </c>
      <c r="U401" s="22" t="n">
        <f aca="false">C401*1</f>
        <v>906</v>
      </c>
      <c r="V401" s="22" t="n">
        <f aca="false">VLOOKUP(U401,'Powder Core Toroid OD'!$A$2:$B$36,2,0)</f>
        <v>77.8</v>
      </c>
    </row>
    <row r="402" customFormat="false" ht="14.4" hidden="true" customHeight="false" outlineLevel="0" collapsed="false">
      <c r="A402" s="45" t="n">
        <v>55909</v>
      </c>
      <c r="B402" s="22" t="s">
        <v>474</v>
      </c>
      <c r="C402" s="23" t="n">
        <v>906</v>
      </c>
      <c r="D402" s="22" t="n">
        <v>14</v>
      </c>
      <c r="E402" s="22" t="s">
        <v>50</v>
      </c>
      <c r="F402" s="22" t="n">
        <v>20</v>
      </c>
      <c r="G402" s="22" t="s">
        <v>51</v>
      </c>
      <c r="H402" s="22" t="n">
        <v>19.6</v>
      </c>
      <c r="I402" s="22" t="n">
        <v>196</v>
      </c>
      <c r="J402" s="22" t="n">
        <v>1.898</v>
      </c>
      <c r="K402" s="42" t="n">
        <v>48.2</v>
      </c>
      <c r="L402" s="22" t="n">
        <v>3.108</v>
      </c>
      <c r="M402" s="22" t="n">
        <v>78.95</v>
      </c>
      <c r="N402" s="43" t="n">
        <v>0.67</v>
      </c>
      <c r="O402" s="22" t="n">
        <v>17.1</v>
      </c>
      <c r="P402" s="22" t="n">
        <v>2.21</v>
      </c>
      <c r="Q402" s="22" t="n">
        <v>221</v>
      </c>
      <c r="R402" s="22" t="n">
        <v>43.4</v>
      </c>
      <c r="S402" s="22" t="n">
        <v>43400</v>
      </c>
      <c r="T402" s="22" t="n">
        <v>18.2</v>
      </c>
      <c r="U402" s="22" t="n">
        <f aca="false">C402*1</f>
        <v>906</v>
      </c>
      <c r="V402" s="22" t="n">
        <f aca="false">VLOOKUP(U402,'Powder Core Toroid OD'!$A$2:$B$36,2,0)</f>
        <v>77.8</v>
      </c>
    </row>
    <row r="403" customFormat="false" ht="14.4" hidden="true" customHeight="false" outlineLevel="0" collapsed="false">
      <c r="A403" s="45" t="n">
        <v>55924</v>
      </c>
      <c r="B403" s="22" t="s">
        <v>475</v>
      </c>
      <c r="C403" s="23" t="n">
        <v>930</v>
      </c>
      <c r="D403" s="22" t="n">
        <v>173</v>
      </c>
      <c r="E403" s="22" t="s">
        <v>50</v>
      </c>
      <c r="F403" s="22" t="n">
        <v>217</v>
      </c>
      <c r="G403" s="22" t="s">
        <v>51</v>
      </c>
      <c r="H403" s="22" t="n">
        <v>6.35</v>
      </c>
      <c r="I403" s="22" t="n">
        <v>63.5</v>
      </c>
      <c r="J403" s="22" t="n">
        <v>0.555</v>
      </c>
      <c r="K403" s="22" t="n">
        <v>14.1</v>
      </c>
      <c r="L403" s="43" t="n">
        <v>1.09</v>
      </c>
      <c r="M403" s="22" t="n">
        <v>27.69</v>
      </c>
      <c r="N403" s="43" t="n">
        <v>0.47</v>
      </c>
      <c r="O403" s="36" t="n">
        <v>12</v>
      </c>
      <c r="P403" s="22" t="n">
        <v>0.654</v>
      </c>
      <c r="Q403" s="22" t="n">
        <v>65.4</v>
      </c>
      <c r="R403" s="22" t="n">
        <v>4.15</v>
      </c>
      <c r="S403" s="22" t="n">
        <v>4150</v>
      </c>
      <c r="T403" s="22" t="n">
        <v>1.56</v>
      </c>
      <c r="U403" s="22" t="n">
        <f aca="false">C403*1</f>
        <v>930</v>
      </c>
      <c r="V403" s="22" t="n">
        <f aca="false">VLOOKUP(U403,'Powder Core Toroid OD'!$A$2:$B$36,2,0)</f>
        <v>26.9</v>
      </c>
    </row>
    <row r="404" customFormat="false" ht="14.4" hidden="true" customHeight="false" outlineLevel="0" collapsed="false">
      <c r="A404" s="45" t="n">
        <v>55925</v>
      </c>
      <c r="B404" s="22" t="s">
        <v>476</v>
      </c>
      <c r="C404" s="23" t="n">
        <v>930</v>
      </c>
      <c r="D404" s="22" t="n">
        <v>300</v>
      </c>
      <c r="E404" s="22" t="s">
        <v>50</v>
      </c>
      <c r="F404" s="22" t="n">
        <v>377</v>
      </c>
      <c r="G404" s="22" t="s">
        <v>51</v>
      </c>
      <c r="H404" s="22" t="n">
        <v>6.35</v>
      </c>
      <c r="I404" s="22" t="n">
        <v>63.5</v>
      </c>
      <c r="J404" s="22" t="n">
        <v>0.555</v>
      </c>
      <c r="K404" s="22" t="n">
        <v>14.1</v>
      </c>
      <c r="L404" s="43" t="n">
        <v>1.09</v>
      </c>
      <c r="M404" s="22" t="n">
        <v>27.69</v>
      </c>
      <c r="N404" s="43" t="n">
        <v>0.47</v>
      </c>
      <c r="O404" s="36" t="n">
        <v>12</v>
      </c>
      <c r="P404" s="22" t="n">
        <v>0.654</v>
      </c>
      <c r="Q404" s="22" t="n">
        <v>65.4</v>
      </c>
      <c r="R404" s="22" t="n">
        <v>4.15</v>
      </c>
      <c r="S404" s="22" t="n">
        <v>4150</v>
      </c>
      <c r="T404" s="22" t="n">
        <v>1.56</v>
      </c>
      <c r="U404" s="22" t="n">
        <f aca="false">C404*1</f>
        <v>930</v>
      </c>
      <c r="V404" s="22" t="n">
        <f aca="false">VLOOKUP(U404,'Powder Core Toroid OD'!$A$2:$B$36,2,0)</f>
        <v>26.9</v>
      </c>
    </row>
    <row r="405" customFormat="false" ht="14.4" hidden="true" customHeight="false" outlineLevel="0" collapsed="false">
      <c r="A405" s="45" t="n">
        <v>55926</v>
      </c>
      <c r="B405" s="22" t="s">
        <v>477</v>
      </c>
      <c r="C405" s="23" t="n">
        <v>930</v>
      </c>
      <c r="D405" s="22" t="n">
        <v>550</v>
      </c>
      <c r="E405" s="22" t="s">
        <v>50</v>
      </c>
      <c r="F405" s="22" t="n">
        <v>740</v>
      </c>
      <c r="G405" s="22" t="s">
        <v>51</v>
      </c>
      <c r="H405" s="22" t="n">
        <v>6.35</v>
      </c>
      <c r="I405" s="22" t="n">
        <v>63.5</v>
      </c>
      <c r="J405" s="22" t="n">
        <v>0.555</v>
      </c>
      <c r="K405" s="22" t="n">
        <v>14.1</v>
      </c>
      <c r="L405" s="43" t="n">
        <v>1.09</v>
      </c>
      <c r="M405" s="22" t="n">
        <v>27.69</v>
      </c>
      <c r="N405" s="43" t="n">
        <v>0.47</v>
      </c>
      <c r="O405" s="36" t="n">
        <v>12</v>
      </c>
      <c r="P405" s="22" t="n">
        <v>0.654</v>
      </c>
      <c r="Q405" s="22" t="n">
        <v>65.4</v>
      </c>
      <c r="R405" s="22" t="n">
        <v>4.15</v>
      </c>
      <c r="S405" s="22" t="n">
        <v>4150</v>
      </c>
      <c r="T405" s="22" t="n">
        <v>1.56</v>
      </c>
      <c r="U405" s="22" t="n">
        <f aca="false">C405*1</f>
        <v>930</v>
      </c>
      <c r="V405" s="22" t="n">
        <f aca="false">VLOOKUP(U405,'Powder Core Toroid OD'!$A$2:$B$36,2,0)</f>
        <v>26.9</v>
      </c>
    </row>
    <row r="406" customFormat="false" ht="14.4" hidden="true" customHeight="false" outlineLevel="0" collapsed="false">
      <c r="A406" s="45" t="n">
        <v>55927</v>
      </c>
      <c r="B406" s="22" t="s">
        <v>478</v>
      </c>
      <c r="C406" s="23" t="n">
        <v>930</v>
      </c>
      <c r="D406" s="22" t="n">
        <v>200</v>
      </c>
      <c r="E406" s="22" t="s">
        <v>50</v>
      </c>
      <c r="F406" s="22" t="n">
        <v>251</v>
      </c>
      <c r="G406" s="22" t="s">
        <v>51</v>
      </c>
      <c r="H406" s="22" t="n">
        <v>6.35</v>
      </c>
      <c r="I406" s="22" t="n">
        <v>63.5</v>
      </c>
      <c r="J406" s="22" t="n">
        <v>0.555</v>
      </c>
      <c r="K406" s="22" t="n">
        <v>14.1</v>
      </c>
      <c r="L406" s="43" t="n">
        <v>1.09</v>
      </c>
      <c r="M406" s="22" t="n">
        <v>27.69</v>
      </c>
      <c r="N406" s="43" t="n">
        <v>0.47</v>
      </c>
      <c r="O406" s="36" t="n">
        <v>12</v>
      </c>
      <c r="P406" s="22" t="n">
        <v>0.654</v>
      </c>
      <c r="Q406" s="22" t="n">
        <v>65.4</v>
      </c>
      <c r="R406" s="22" t="n">
        <v>4.15</v>
      </c>
      <c r="S406" s="22" t="n">
        <v>4150</v>
      </c>
      <c r="T406" s="22" t="n">
        <v>1.56</v>
      </c>
      <c r="U406" s="22" t="n">
        <f aca="false">C406*1</f>
        <v>930</v>
      </c>
      <c r="V406" s="22" t="n">
        <f aca="false">VLOOKUP(U406,'Powder Core Toroid OD'!$A$2:$B$36,2,0)</f>
        <v>26.9</v>
      </c>
    </row>
    <row r="407" customFormat="false" ht="14.4" hidden="true" customHeight="false" outlineLevel="0" collapsed="false">
      <c r="A407" s="45" t="n">
        <v>55928</v>
      </c>
      <c r="B407" s="22" t="s">
        <v>479</v>
      </c>
      <c r="C407" s="23" t="n">
        <v>930</v>
      </c>
      <c r="D407" s="22" t="n">
        <v>160</v>
      </c>
      <c r="E407" s="22" t="s">
        <v>50</v>
      </c>
      <c r="F407" s="22" t="n">
        <v>201</v>
      </c>
      <c r="G407" s="22" t="s">
        <v>51</v>
      </c>
      <c r="H407" s="22" t="n">
        <v>6.35</v>
      </c>
      <c r="I407" s="22" t="n">
        <v>63.5</v>
      </c>
      <c r="J407" s="22" t="n">
        <v>0.555</v>
      </c>
      <c r="K407" s="22" t="n">
        <v>14.1</v>
      </c>
      <c r="L407" s="43" t="n">
        <v>1.09</v>
      </c>
      <c r="M407" s="22" t="n">
        <v>27.69</v>
      </c>
      <c r="N407" s="43" t="n">
        <v>0.47</v>
      </c>
      <c r="O407" s="36" t="n">
        <v>12</v>
      </c>
      <c r="P407" s="22" t="n">
        <v>0.654</v>
      </c>
      <c r="Q407" s="22" t="n">
        <v>65.4</v>
      </c>
      <c r="R407" s="22" t="n">
        <v>4.15</v>
      </c>
      <c r="S407" s="22" t="n">
        <v>4150</v>
      </c>
      <c r="T407" s="22" t="n">
        <v>1.56</v>
      </c>
      <c r="U407" s="22" t="n">
        <f aca="false">C407*1</f>
        <v>930</v>
      </c>
      <c r="V407" s="22" t="n">
        <f aca="false">VLOOKUP(U407,'Powder Core Toroid OD'!$A$2:$B$36,2,0)</f>
        <v>26.9</v>
      </c>
    </row>
    <row r="408" customFormat="false" ht="14.4" hidden="true" customHeight="false" outlineLevel="0" collapsed="false">
      <c r="A408" s="45" t="n">
        <v>55929</v>
      </c>
      <c r="B408" s="22" t="s">
        <v>480</v>
      </c>
      <c r="C408" s="23" t="n">
        <v>930</v>
      </c>
      <c r="D408" s="22" t="n">
        <v>147</v>
      </c>
      <c r="E408" s="22" t="s">
        <v>50</v>
      </c>
      <c r="F408" s="22" t="n">
        <v>185</v>
      </c>
      <c r="G408" s="22" t="s">
        <v>51</v>
      </c>
      <c r="H408" s="22" t="n">
        <v>6.35</v>
      </c>
      <c r="I408" s="22" t="n">
        <v>63.5</v>
      </c>
      <c r="J408" s="22" t="n">
        <v>0.555</v>
      </c>
      <c r="K408" s="22" t="n">
        <v>14.1</v>
      </c>
      <c r="L408" s="43" t="n">
        <v>1.09</v>
      </c>
      <c r="M408" s="22" t="n">
        <v>27.69</v>
      </c>
      <c r="N408" s="43" t="n">
        <v>0.47</v>
      </c>
      <c r="O408" s="36" t="n">
        <v>12</v>
      </c>
      <c r="P408" s="22" t="n">
        <v>0.654</v>
      </c>
      <c r="Q408" s="22" t="n">
        <v>65.4</v>
      </c>
      <c r="R408" s="22" t="n">
        <v>4.15</v>
      </c>
      <c r="S408" s="22" t="n">
        <v>4150</v>
      </c>
      <c r="T408" s="22" t="n">
        <v>1.56</v>
      </c>
      <c r="U408" s="22" t="n">
        <f aca="false">C408*1</f>
        <v>930</v>
      </c>
      <c r="V408" s="22" t="n">
        <f aca="false">VLOOKUP(U408,'Powder Core Toroid OD'!$A$2:$B$36,2,0)</f>
        <v>26.9</v>
      </c>
    </row>
    <row r="409" customFormat="false" ht="14.4" hidden="true" customHeight="false" outlineLevel="0" collapsed="false">
      <c r="A409" s="45" t="n">
        <v>55930</v>
      </c>
      <c r="B409" s="22" t="s">
        <v>481</v>
      </c>
      <c r="C409" s="23" t="n">
        <v>930</v>
      </c>
      <c r="D409" s="22" t="n">
        <v>125</v>
      </c>
      <c r="E409" s="22" t="s">
        <v>50</v>
      </c>
      <c r="F409" s="22" t="n">
        <v>157</v>
      </c>
      <c r="G409" s="22" t="s">
        <v>51</v>
      </c>
      <c r="H409" s="22" t="n">
        <v>6.35</v>
      </c>
      <c r="I409" s="22" t="n">
        <v>63.5</v>
      </c>
      <c r="J409" s="22" t="n">
        <v>0.555</v>
      </c>
      <c r="K409" s="22" t="n">
        <v>14.1</v>
      </c>
      <c r="L409" s="43" t="n">
        <v>1.09</v>
      </c>
      <c r="M409" s="22" t="n">
        <v>27.69</v>
      </c>
      <c r="N409" s="43" t="n">
        <v>0.47</v>
      </c>
      <c r="O409" s="36" t="n">
        <v>12</v>
      </c>
      <c r="P409" s="22" t="n">
        <v>0.654</v>
      </c>
      <c r="Q409" s="22" t="n">
        <v>65.4</v>
      </c>
      <c r="R409" s="22" t="n">
        <v>4.15</v>
      </c>
      <c r="S409" s="22" t="n">
        <v>4150</v>
      </c>
      <c r="T409" s="22" t="n">
        <v>1.56</v>
      </c>
      <c r="U409" s="22" t="n">
        <f aca="false">C409*1</f>
        <v>930</v>
      </c>
      <c r="V409" s="22" t="n">
        <f aca="false">VLOOKUP(U409,'Powder Core Toroid OD'!$A$2:$B$36,2,0)</f>
        <v>26.9</v>
      </c>
    </row>
    <row r="410" customFormat="false" ht="14.4" hidden="true" customHeight="false" outlineLevel="0" collapsed="false">
      <c r="A410" s="45" t="n">
        <v>55932</v>
      </c>
      <c r="B410" s="22" t="s">
        <v>482</v>
      </c>
      <c r="C410" s="23" t="n">
        <v>930</v>
      </c>
      <c r="D410" s="22" t="n">
        <v>26</v>
      </c>
      <c r="E410" s="22" t="s">
        <v>50</v>
      </c>
      <c r="F410" s="22" t="n">
        <v>32</v>
      </c>
      <c r="G410" s="22" t="s">
        <v>51</v>
      </c>
      <c r="H410" s="22" t="n">
        <v>6.35</v>
      </c>
      <c r="I410" s="22" t="n">
        <v>63.5</v>
      </c>
      <c r="J410" s="22" t="n">
        <v>0.555</v>
      </c>
      <c r="K410" s="22" t="n">
        <v>14.1</v>
      </c>
      <c r="L410" s="43" t="n">
        <v>1.09</v>
      </c>
      <c r="M410" s="22" t="n">
        <v>27.69</v>
      </c>
      <c r="N410" s="43" t="n">
        <v>0.47</v>
      </c>
      <c r="O410" s="36" t="n">
        <v>12</v>
      </c>
      <c r="P410" s="22" t="n">
        <v>0.654</v>
      </c>
      <c r="Q410" s="22" t="n">
        <v>65.4</v>
      </c>
      <c r="R410" s="22" t="n">
        <v>4.15</v>
      </c>
      <c r="S410" s="22" t="n">
        <v>4150</v>
      </c>
      <c r="T410" s="22" t="n">
        <v>1.56</v>
      </c>
      <c r="U410" s="22" t="n">
        <f aca="false">C410*1</f>
        <v>930</v>
      </c>
      <c r="V410" s="22" t="n">
        <f aca="false">VLOOKUP(U410,'Powder Core Toroid OD'!$A$2:$B$36,2,0)</f>
        <v>26.9</v>
      </c>
    </row>
    <row r="411" customFormat="false" ht="14.4" hidden="true" customHeight="false" outlineLevel="0" collapsed="false">
      <c r="A411" s="45" t="n">
        <v>55933</v>
      </c>
      <c r="B411" s="22" t="s">
        <v>483</v>
      </c>
      <c r="C411" s="23" t="n">
        <v>930</v>
      </c>
      <c r="D411" s="22" t="n">
        <v>14</v>
      </c>
      <c r="E411" s="22" t="s">
        <v>50</v>
      </c>
      <c r="F411" s="22" t="n">
        <v>18</v>
      </c>
      <c r="G411" s="22" t="s">
        <v>51</v>
      </c>
      <c r="H411" s="22" t="n">
        <v>6.35</v>
      </c>
      <c r="I411" s="22" t="n">
        <v>63.5</v>
      </c>
      <c r="J411" s="22" t="n">
        <v>0.555</v>
      </c>
      <c r="K411" s="22" t="n">
        <v>14.1</v>
      </c>
      <c r="L411" s="43" t="n">
        <v>1.09</v>
      </c>
      <c r="M411" s="22" t="n">
        <v>27.69</v>
      </c>
      <c r="N411" s="43" t="n">
        <v>0.47</v>
      </c>
      <c r="O411" s="36" t="n">
        <v>12</v>
      </c>
      <c r="P411" s="22" t="n">
        <v>0.654</v>
      </c>
      <c r="Q411" s="22" t="n">
        <v>65.4</v>
      </c>
      <c r="R411" s="22" t="n">
        <v>4.15</v>
      </c>
      <c r="S411" s="22" t="n">
        <v>4150</v>
      </c>
      <c r="T411" s="22" t="n">
        <v>1.56</v>
      </c>
      <c r="U411" s="22" t="n">
        <f aca="false">C411*1</f>
        <v>930</v>
      </c>
      <c r="V411" s="22" t="n">
        <f aca="false">VLOOKUP(U411,'Powder Core Toroid OD'!$A$2:$B$36,2,0)</f>
        <v>26.9</v>
      </c>
    </row>
    <row r="412" customFormat="false" ht="14.4" hidden="true" customHeight="false" outlineLevel="0" collapsed="false">
      <c r="A412" s="45" t="n">
        <v>58018</v>
      </c>
      <c r="B412" s="22" t="s">
        <v>484</v>
      </c>
      <c r="C412" s="23" t="s">
        <v>208</v>
      </c>
      <c r="D412" s="22" t="n">
        <v>160</v>
      </c>
      <c r="E412" s="22" t="s">
        <v>72</v>
      </c>
      <c r="F412" s="22" t="n">
        <v>64</v>
      </c>
      <c r="G412" s="22" t="s">
        <v>51</v>
      </c>
      <c r="H412" s="22" t="n">
        <v>1.36</v>
      </c>
      <c r="I412" s="22" t="n">
        <v>13.6</v>
      </c>
      <c r="J412" s="43" t="n">
        <v>0.09</v>
      </c>
      <c r="K412" s="22" t="n">
        <v>2.28</v>
      </c>
      <c r="L412" s="22" t="n">
        <v>0.275</v>
      </c>
      <c r="M412" s="22" t="n">
        <v>6.99</v>
      </c>
      <c r="N412" s="22" t="n">
        <v>0.135</v>
      </c>
      <c r="O412" s="22" t="n">
        <v>3.43</v>
      </c>
      <c r="P412" s="22" t="n">
        <v>0.047</v>
      </c>
      <c r="Q412" s="22" t="n">
        <v>4.7</v>
      </c>
      <c r="R412" s="43" t="n">
        <v>0.064</v>
      </c>
      <c r="S412" s="36" t="n">
        <v>64</v>
      </c>
      <c r="T412" s="22" t="n">
        <v>0.0408</v>
      </c>
      <c r="U412" s="22" t="n">
        <f aca="false">C412*1</f>
        <v>20</v>
      </c>
      <c r="V412" s="22" t="n">
        <f aca="false">VLOOKUP(U412,'Powder Core Toroid OD'!$A$2:$B$36,2,0)</f>
        <v>6.35</v>
      </c>
    </row>
    <row r="413" customFormat="false" ht="14.4" hidden="true" customHeight="false" outlineLevel="0" collapsed="false">
      <c r="A413" s="45" t="n">
        <v>58019</v>
      </c>
      <c r="B413" s="22" t="s">
        <v>485</v>
      </c>
      <c r="C413" s="23" t="s">
        <v>208</v>
      </c>
      <c r="D413" s="22" t="n">
        <v>147</v>
      </c>
      <c r="E413" s="22" t="s">
        <v>72</v>
      </c>
      <c r="F413" s="22" t="n">
        <v>59</v>
      </c>
      <c r="G413" s="22" t="s">
        <v>51</v>
      </c>
      <c r="H413" s="22" t="n">
        <v>1.36</v>
      </c>
      <c r="I413" s="22" t="n">
        <v>13.6</v>
      </c>
      <c r="J413" s="43" t="n">
        <v>0.09</v>
      </c>
      <c r="K413" s="22" t="n">
        <v>2.28</v>
      </c>
      <c r="L413" s="22" t="n">
        <v>0.275</v>
      </c>
      <c r="M413" s="22" t="n">
        <v>6.99</v>
      </c>
      <c r="N413" s="22" t="n">
        <v>0.135</v>
      </c>
      <c r="O413" s="22" t="n">
        <v>3.43</v>
      </c>
      <c r="P413" s="22" t="n">
        <v>0.047</v>
      </c>
      <c r="Q413" s="22" t="n">
        <v>4.7</v>
      </c>
      <c r="R413" s="43" t="n">
        <v>0.064</v>
      </c>
      <c r="S413" s="36" t="n">
        <v>64</v>
      </c>
      <c r="T413" s="22" t="n">
        <v>0.0408</v>
      </c>
      <c r="U413" s="22" t="n">
        <f aca="false">C413*1</f>
        <v>20</v>
      </c>
      <c r="V413" s="22" t="n">
        <f aca="false">VLOOKUP(U413,'Powder Core Toroid OD'!$A$2:$B$36,2,0)</f>
        <v>6.35</v>
      </c>
    </row>
    <row r="414" customFormat="false" ht="14.4" hidden="true" customHeight="false" outlineLevel="0" collapsed="false">
      <c r="A414" s="45" t="n">
        <v>58020</v>
      </c>
      <c r="B414" s="22" t="s">
        <v>486</v>
      </c>
      <c r="C414" s="23" t="s">
        <v>208</v>
      </c>
      <c r="D414" s="22" t="n">
        <v>125</v>
      </c>
      <c r="E414" s="22" t="s">
        <v>72</v>
      </c>
      <c r="F414" s="22" t="n">
        <v>50</v>
      </c>
      <c r="G414" s="22" t="s">
        <v>51</v>
      </c>
      <c r="H414" s="22" t="n">
        <v>1.36</v>
      </c>
      <c r="I414" s="22" t="n">
        <v>13.6</v>
      </c>
      <c r="J414" s="43" t="n">
        <v>0.09</v>
      </c>
      <c r="K414" s="22" t="n">
        <v>2.28</v>
      </c>
      <c r="L414" s="22" t="n">
        <v>0.275</v>
      </c>
      <c r="M414" s="22" t="n">
        <v>6.99</v>
      </c>
      <c r="N414" s="22" t="n">
        <v>0.135</v>
      </c>
      <c r="O414" s="22" t="n">
        <v>3.43</v>
      </c>
      <c r="P414" s="22" t="n">
        <v>0.047</v>
      </c>
      <c r="Q414" s="22" t="n">
        <v>4.7</v>
      </c>
      <c r="R414" s="43" t="n">
        <v>0.064</v>
      </c>
      <c r="S414" s="36" t="n">
        <v>64</v>
      </c>
      <c r="T414" s="22" t="n">
        <v>0.0408</v>
      </c>
      <c r="U414" s="22" t="n">
        <f aca="false">C414*1</f>
        <v>20</v>
      </c>
      <c r="V414" s="22" t="n">
        <f aca="false">VLOOKUP(U414,'Powder Core Toroid OD'!$A$2:$B$36,2,0)</f>
        <v>6.35</v>
      </c>
    </row>
    <row r="415" customFormat="false" ht="14.4" hidden="true" customHeight="false" outlineLevel="0" collapsed="false">
      <c r="A415" s="45" t="n">
        <v>58021</v>
      </c>
      <c r="B415" s="22" t="s">
        <v>487</v>
      </c>
      <c r="C415" s="23" t="s">
        <v>208</v>
      </c>
      <c r="D415" s="22" t="n">
        <v>60</v>
      </c>
      <c r="E415" s="22" t="s">
        <v>72</v>
      </c>
      <c r="F415" s="22" t="n">
        <v>24</v>
      </c>
      <c r="G415" s="22" t="s">
        <v>51</v>
      </c>
      <c r="H415" s="22" t="n">
        <v>1.36</v>
      </c>
      <c r="I415" s="22" t="n">
        <v>13.6</v>
      </c>
      <c r="J415" s="43" t="n">
        <v>0.09</v>
      </c>
      <c r="K415" s="22" t="n">
        <v>2.28</v>
      </c>
      <c r="L415" s="22" t="n">
        <v>0.275</v>
      </c>
      <c r="M415" s="22" t="n">
        <v>6.99</v>
      </c>
      <c r="N415" s="22" t="n">
        <v>0.135</v>
      </c>
      <c r="O415" s="22" t="n">
        <v>3.43</v>
      </c>
      <c r="P415" s="22" t="n">
        <v>0.047</v>
      </c>
      <c r="Q415" s="22" t="n">
        <v>4.7</v>
      </c>
      <c r="R415" s="43" t="n">
        <v>0.064</v>
      </c>
      <c r="S415" s="36" t="n">
        <v>64</v>
      </c>
      <c r="T415" s="22" t="n">
        <v>0.0408</v>
      </c>
      <c r="U415" s="22" t="n">
        <f aca="false">C415*1</f>
        <v>20</v>
      </c>
      <c r="V415" s="22" t="n">
        <f aca="false">VLOOKUP(U415,'Powder Core Toroid OD'!$A$2:$B$36,2,0)</f>
        <v>6.35</v>
      </c>
    </row>
    <row r="416" customFormat="false" ht="14.4" hidden="true" customHeight="false" outlineLevel="0" collapsed="false">
      <c r="A416" s="45" t="n">
        <v>58023</v>
      </c>
      <c r="B416" s="22" t="s">
        <v>488</v>
      </c>
      <c r="C416" s="23" t="s">
        <v>208</v>
      </c>
      <c r="D416" s="22" t="n">
        <v>14</v>
      </c>
      <c r="E416" s="22" t="s">
        <v>72</v>
      </c>
      <c r="F416" s="22" t="n">
        <v>6</v>
      </c>
      <c r="G416" s="22" t="s">
        <v>51</v>
      </c>
      <c r="H416" s="22" t="n">
        <v>1.36</v>
      </c>
      <c r="I416" s="22" t="n">
        <v>13.6</v>
      </c>
      <c r="J416" s="43" t="n">
        <v>0.09</v>
      </c>
      <c r="K416" s="22" t="n">
        <v>2.28</v>
      </c>
      <c r="L416" s="22" t="n">
        <v>0.275</v>
      </c>
      <c r="M416" s="22" t="n">
        <v>6.99</v>
      </c>
      <c r="N416" s="22" t="n">
        <v>0.135</v>
      </c>
      <c r="O416" s="22" t="n">
        <v>3.43</v>
      </c>
      <c r="P416" s="22" t="n">
        <v>0.047</v>
      </c>
      <c r="Q416" s="22" t="n">
        <v>4.7</v>
      </c>
      <c r="R416" s="43" t="n">
        <v>0.064</v>
      </c>
      <c r="S416" s="36" t="n">
        <v>64</v>
      </c>
      <c r="T416" s="22" t="n">
        <v>0.0408</v>
      </c>
      <c r="U416" s="22" t="n">
        <f aca="false">C416*1</f>
        <v>20</v>
      </c>
      <c r="V416" s="22" t="n">
        <f aca="false">VLOOKUP(U416,'Powder Core Toroid OD'!$A$2:$B$36,2,0)</f>
        <v>6.35</v>
      </c>
    </row>
    <row r="417" customFormat="false" ht="14.4" hidden="true" customHeight="false" outlineLevel="0" collapsed="false">
      <c r="A417" s="45" t="n">
        <v>58028</v>
      </c>
      <c r="B417" s="22" t="s">
        <v>489</v>
      </c>
      <c r="C417" s="23" t="s">
        <v>220</v>
      </c>
      <c r="D417" s="22" t="n">
        <v>160</v>
      </c>
      <c r="E417" s="22" t="s">
        <v>72</v>
      </c>
      <c r="F417" s="22" t="n">
        <v>66</v>
      </c>
      <c r="G417" s="22" t="s">
        <v>51</v>
      </c>
      <c r="H417" s="22" t="n">
        <v>1.79</v>
      </c>
      <c r="I417" s="22" t="n">
        <v>17.9</v>
      </c>
      <c r="J417" s="22" t="n">
        <v>0.136</v>
      </c>
      <c r="K417" s="22" t="n">
        <v>3.45</v>
      </c>
      <c r="L417" s="22" t="n">
        <v>0.335</v>
      </c>
      <c r="M417" s="22" t="n">
        <v>8.51</v>
      </c>
      <c r="N417" s="43" t="n">
        <v>0.15</v>
      </c>
      <c r="O417" s="22" t="n">
        <v>3.81</v>
      </c>
      <c r="P417" s="22" t="n">
        <v>0.0599</v>
      </c>
      <c r="Q417" s="22" t="n">
        <v>5.99</v>
      </c>
      <c r="R417" s="22" t="n">
        <v>0.107</v>
      </c>
      <c r="S417" s="22" t="n">
        <v>107</v>
      </c>
      <c r="T417" s="22" t="n">
        <v>0.0935</v>
      </c>
      <c r="U417" s="22" t="n">
        <f aca="false">C417*1</f>
        <v>30</v>
      </c>
      <c r="V417" s="22" t="n">
        <f aca="false">VLOOKUP(U417,'Powder Core Toroid OD'!$A$2:$B$36,2,0)</f>
        <v>7.87</v>
      </c>
    </row>
    <row r="418" customFormat="false" ht="14.4" hidden="true" customHeight="false" outlineLevel="0" collapsed="false">
      <c r="A418" s="45" t="n">
        <v>58029</v>
      </c>
      <c r="B418" s="22" t="s">
        <v>490</v>
      </c>
      <c r="C418" s="23" t="s">
        <v>220</v>
      </c>
      <c r="D418" s="22" t="n">
        <v>147</v>
      </c>
      <c r="E418" s="22" t="s">
        <v>72</v>
      </c>
      <c r="F418" s="22" t="n">
        <v>62</v>
      </c>
      <c r="G418" s="22" t="s">
        <v>51</v>
      </c>
      <c r="H418" s="22" t="n">
        <v>1.79</v>
      </c>
      <c r="I418" s="22" t="n">
        <v>17.9</v>
      </c>
      <c r="J418" s="22" t="n">
        <v>0.136</v>
      </c>
      <c r="K418" s="22" t="n">
        <v>3.45</v>
      </c>
      <c r="L418" s="22" t="n">
        <v>0.335</v>
      </c>
      <c r="M418" s="22" t="n">
        <v>8.51</v>
      </c>
      <c r="N418" s="43" t="n">
        <v>0.15</v>
      </c>
      <c r="O418" s="22" t="n">
        <v>3.81</v>
      </c>
      <c r="P418" s="22" t="n">
        <v>0.0599</v>
      </c>
      <c r="Q418" s="22" t="n">
        <v>5.99</v>
      </c>
      <c r="R418" s="22" t="n">
        <v>0.107</v>
      </c>
      <c r="S418" s="22" t="n">
        <v>107</v>
      </c>
      <c r="T418" s="22" t="n">
        <v>0.0935</v>
      </c>
      <c r="U418" s="22" t="n">
        <f aca="false">C418*1</f>
        <v>30</v>
      </c>
      <c r="V418" s="22" t="n">
        <f aca="false">VLOOKUP(U418,'Powder Core Toroid OD'!$A$2:$B$36,2,0)</f>
        <v>7.87</v>
      </c>
    </row>
    <row r="419" customFormat="false" ht="14.4" hidden="true" customHeight="false" outlineLevel="0" collapsed="false">
      <c r="A419" s="45" t="n">
        <v>58030</v>
      </c>
      <c r="B419" s="22" t="s">
        <v>491</v>
      </c>
      <c r="C419" s="23" t="s">
        <v>220</v>
      </c>
      <c r="D419" s="22" t="n">
        <v>125</v>
      </c>
      <c r="E419" s="22" t="s">
        <v>72</v>
      </c>
      <c r="F419" s="22" t="n">
        <v>52</v>
      </c>
      <c r="G419" s="22" t="s">
        <v>51</v>
      </c>
      <c r="H419" s="22" t="n">
        <v>1.79</v>
      </c>
      <c r="I419" s="22" t="n">
        <v>17.9</v>
      </c>
      <c r="J419" s="22" t="n">
        <v>0.136</v>
      </c>
      <c r="K419" s="22" t="n">
        <v>3.45</v>
      </c>
      <c r="L419" s="22" t="n">
        <v>0.335</v>
      </c>
      <c r="M419" s="22" t="n">
        <v>8.51</v>
      </c>
      <c r="N419" s="43" t="n">
        <v>0.15</v>
      </c>
      <c r="O419" s="22" t="n">
        <v>3.81</v>
      </c>
      <c r="P419" s="22" t="n">
        <v>0.0599</v>
      </c>
      <c r="Q419" s="22" t="n">
        <v>5.99</v>
      </c>
      <c r="R419" s="22" t="n">
        <v>0.107</v>
      </c>
      <c r="S419" s="22" t="n">
        <v>107</v>
      </c>
      <c r="T419" s="22" t="n">
        <v>0.0935</v>
      </c>
      <c r="U419" s="22" t="n">
        <f aca="false">C419*1</f>
        <v>30</v>
      </c>
      <c r="V419" s="22" t="n">
        <f aca="false">VLOOKUP(U419,'Powder Core Toroid OD'!$A$2:$B$36,2,0)</f>
        <v>7.87</v>
      </c>
    </row>
    <row r="420" customFormat="false" ht="14.4" hidden="true" customHeight="false" outlineLevel="0" collapsed="false">
      <c r="A420" s="45" t="n">
        <v>58031</v>
      </c>
      <c r="B420" s="22" t="s">
        <v>492</v>
      </c>
      <c r="C420" s="23" t="s">
        <v>220</v>
      </c>
      <c r="D420" s="22" t="n">
        <v>60</v>
      </c>
      <c r="E420" s="22" t="s">
        <v>72</v>
      </c>
      <c r="F420" s="22" t="n">
        <v>25</v>
      </c>
      <c r="G420" s="22" t="s">
        <v>51</v>
      </c>
      <c r="H420" s="22" t="n">
        <v>1.79</v>
      </c>
      <c r="I420" s="22" t="n">
        <v>17.9</v>
      </c>
      <c r="J420" s="22" t="n">
        <v>0.136</v>
      </c>
      <c r="K420" s="22" t="n">
        <v>3.45</v>
      </c>
      <c r="L420" s="22" t="n">
        <v>0.335</v>
      </c>
      <c r="M420" s="22" t="n">
        <v>8.51</v>
      </c>
      <c r="N420" s="43" t="n">
        <v>0.15</v>
      </c>
      <c r="O420" s="22" t="n">
        <v>3.81</v>
      </c>
      <c r="P420" s="22" t="n">
        <v>0.0599</v>
      </c>
      <c r="Q420" s="22" t="n">
        <v>5.99</v>
      </c>
      <c r="R420" s="22" t="n">
        <v>0.107</v>
      </c>
      <c r="S420" s="22" t="n">
        <v>107</v>
      </c>
      <c r="T420" s="22" t="n">
        <v>0.0935</v>
      </c>
      <c r="U420" s="22" t="n">
        <f aca="false">C420*1</f>
        <v>30</v>
      </c>
      <c r="V420" s="22" t="n">
        <f aca="false">VLOOKUP(U420,'Powder Core Toroid OD'!$A$2:$B$36,2,0)</f>
        <v>7.87</v>
      </c>
    </row>
    <row r="421" customFormat="false" ht="14.4" hidden="true" customHeight="false" outlineLevel="0" collapsed="false">
      <c r="A421" s="45" t="n">
        <v>58032</v>
      </c>
      <c r="B421" s="22" t="s">
        <v>493</v>
      </c>
      <c r="C421" s="23" t="s">
        <v>220</v>
      </c>
      <c r="D421" s="22" t="n">
        <v>26</v>
      </c>
      <c r="E421" s="22" t="s">
        <v>72</v>
      </c>
      <c r="F421" s="22" t="n">
        <v>11</v>
      </c>
      <c r="G421" s="22" t="s">
        <v>51</v>
      </c>
      <c r="H421" s="22" t="n">
        <v>1.79</v>
      </c>
      <c r="I421" s="22" t="n">
        <v>17.9</v>
      </c>
      <c r="J421" s="22" t="n">
        <v>0.136</v>
      </c>
      <c r="K421" s="22" t="n">
        <v>3.45</v>
      </c>
      <c r="L421" s="22" t="n">
        <v>0.335</v>
      </c>
      <c r="M421" s="22" t="n">
        <v>8.51</v>
      </c>
      <c r="N421" s="43" t="n">
        <v>0.15</v>
      </c>
      <c r="O421" s="22" t="n">
        <v>3.81</v>
      </c>
      <c r="P421" s="22" t="n">
        <v>0.0599</v>
      </c>
      <c r="Q421" s="22" t="n">
        <v>5.99</v>
      </c>
      <c r="R421" s="22" t="n">
        <v>0.107</v>
      </c>
      <c r="S421" s="22" t="n">
        <v>107</v>
      </c>
      <c r="T421" s="22" t="n">
        <v>0.0935</v>
      </c>
      <c r="U421" s="22" t="n">
        <f aca="false">C421*1</f>
        <v>30</v>
      </c>
      <c r="V421" s="22" t="n">
        <f aca="false">VLOOKUP(U421,'Powder Core Toroid OD'!$A$2:$B$36,2,0)</f>
        <v>7.87</v>
      </c>
    </row>
    <row r="422" customFormat="false" ht="14.4" hidden="true" customHeight="false" outlineLevel="0" collapsed="false">
      <c r="A422" s="45" t="n">
        <v>58033</v>
      </c>
      <c r="B422" s="22" t="s">
        <v>494</v>
      </c>
      <c r="C422" s="23" t="s">
        <v>220</v>
      </c>
      <c r="D422" s="22" t="n">
        <v>14</v>
      </c>
      <c r="E422" s="22" t="s">
        <v>72</v>
      </c>
      <c r="F422" s="22" t="n">
        <v>6</v>
      </c>
      <c r="G422" s="22" t="s">
        <v>51</v>
      </c>
      <c r="H422" s="22" t="n">
        <v>1.79</v>
      </c>
      <c r="I422" s="22" t="n">
        <v>17.9</v>
      </c>
      <c r="J422" s="22" t="n">
        <v>0.136</v>
      </c>
      <c r="K422" s="22" t="n">
        <v>3.45</v>
      </c>
      <c r="L422" s="22" t="n">
        <v>0.335</v>
      </c>
      <c r="M422" s="22" t="n">
        <v>8.51</v>
      </c>
      <c r="N422" s="43" t="n">
        <v>0.15</v>
      </c>
      <c r="O422" s="22" t="n">
        <v>3.81</v>
      </c>
      <c r="P422" s="22" t="n">
        <v>0.0599</v>
      </c>
      <c r="Q422" s="22" t="n">
        <v>5.99</v>
      </c>
      <c r="R422" s="22" t="n">
        <v>0.107</v>
      </c>
      <c r="S422" s="22" t="n">
        <v>107</v>
      </c>
      <c r="T422" s="22" t="n">
        <v>0.0935</v>
      </c>
      <c r="U422" s="22" t="n">
        <f aca="false">C422*1</f>
        <v>30</v>
      </c>
      <c r="V422" s="22" t="n">
        <f aca="false">VLOOKUP(U422,'Powder Core Toroid OD'!$A$2:$B$36,2,0)</f>
        <v>7.87</v>
      </c>
    </row>
    <row r="423" customFormat="false" ht="14.4" hidden="true" customHeight="false" outlineLevel="0" collapsed="false">
      <c r="A423" s="45" t="n">
        <v>58038</v>
      </c>
      <c r="B423" s="22" t="s">
        <v>495</v>
      </c>
      <c r="C423" s="23" t="s">
        <v>232</v>
      </c>
      <c r="D423" s="22" t="n">
        <v>160</v>
      </c>
      <c r="E423" s="22" t="s">
        <v>72</v>
      </c>
      <c r="F423" s="22" t="n">
        <v>84</v>
      </c>
      <c r="G423" s="22" t="s">
        <v>51</v>
      </c>
      <c r="H423" s="42" t="n">
        <v>2.3</v>
      </c>
      <c r="I423" s="36" t="n">
        <v>23</v>
      </c>
      <c r="J423" s="43" t="n">
        <v>0.18</v>
      </c>
      <c r="K423" s="22" t="n">
        <v>4.57</v>
      </c>
      <c r="L423" s="22" t="n">
        <v>0.425</v>
      </c>
      <c r="M423" s="22" t="n">
        <v>10.8</v>
      </c>
      <c r="N423" s="22" t="n">
        <v>0.181</v>
      </c>
      <c r="O423" s="22" t="n">
        <v>4.6</v>
      </c>
      <c r="P423" s="22" t="n">
        <v>0.0957</v>
      </c>
      <c r="Q423" s="22" t="n">
        <v>9.57</v>
      </c>
      <c r="R423" s="22" t="n">
        <v>0.22</v>
      </c>
      <c r="S423" s="22" t="n">
        <v>220</v>
      </c>
      <c r="T423" s="22" t="n">
        <v>0.164</v>
      </c>
      <c r="U423" s="22" t="n">
        <f aca="false">C423*1</f>
        <v>40</v>
      </c>
      <c r="V423" s="22" t="n">
        <f aca="false">VLOOKUP(U423,'Powder Core Toroid OD'!$A$2:$B$36,2,0)</f>
        <v>10.2</v>
      </c>
    </row>
    <row r="424" customFormat="false" ht="14.4" hidden="true" customHeight="false" outlineLevel="0" collapsed="false">
      <c r="A424" s="45" t="n">
        <v>58039</v>
      </c>
      <c r="B424" s="22" t="s">
        <v>496</v>
      </c>
      <c r="C424" s="23" t="s">
        <v>232</v>
      </c>
      <c r="D424" s="22" t="n">
        <v>147</v>
      </c>
      <c r="E424" s="22" t="s">
        <v>72</v>
      </c>
      <c r="F424" s="22" t="n">
        <v>78</v>
      </c>
      <c r="G424" s="22" t="s">
        <v>51</v>
      </c>
      <c r="H424" s="42" t="n">
        <v>2.3</v>
      </c>
      <c r="I424" s="36" t="n">
        <v>23</v>
      </c>
      <c r="J424" s="43" t="n">
        <v>0.18</v>
      </c>
      <c r="K424" s="22" t="n">
        <v>4.57</v>
      </c>
      <c r="L424" s="22" t="n">
        <v>0.425</v>
      </c>
      <c r="M424" s="22" t="n">
        <v>10.8</v>
      </c>
      <c r="N424" s="22" t="n">
        <v>0.181</v>
      </c>
      <c r="O424" s="22" t="n">
        <v>4.6</v>
      </c>
      <c r="P424" s="22" t="n">
        <v>0.0957</v>
      </c>
      <c r="Q424" s="22" t="n">
        <v>9.57</v>
      </c>
      <c r="R424" s="22" t="n">
        <v>0.22</v>
      </c>
      <c r="S424" s="22" t="n">
        <v>220</v>
      </c>
      <c r="T424" s="22" t="n">
        <v>0.164</v>
      </c>
      <c r="U424" s="22" t="n">
        <f aca="false">C424*1</f>
        <v>40</v>
      </c>
      <c r="V424" s="22" t="n">
        <f aca="false">VLOOKUP(U424,'Powder Core Toroid OD'!$A$2:$B$36,2,0)</f>
        <v>10.2</v>
      </c>
    </row>
    <row r="425" customFormat="false" ht="14.4" hidden="true" customHeight="false" outlineLevel="0" collapsed="false">
      <c r="A425" s="45" t="n">
        <v>58040</v>
      </c>
      <c r="B425" s="22" t="s">
        <v>497</v>
      </c>
      <c r="C425" s="23" t="s">
        <v>232</v>
      </c>
      <c r="D425" s="22" t="n">
        <v>125</v>
      </c>
      <c r="E425" s="22" t="s">
        <v>72</v>
      </c>
      <c r="F425" s="22" t="n">
        <v>66</v>
      </c>
      <c r="G425" s="22" t="s">
        <v>51</v>
      </c>
      <c r="H425" s="42" t="n">
        <v>2.3</v>
      </c>
      <c r="I425" s="36" t="n">
        <v>23</v>
      </c>
      <c r="J425" s="43" t="n">
        <v>0.18</v>
      </c>
      <c r="K425" s="22" t="n">
        <v>4.57</v>
      </c>
      <c r="L425" s="22" t="n">
        <v>0.425</v>
      </c>
      <c r="M425" s="22" t="n">
        <v>10.8</v>
      </c>
      <c r="N425" s="22" t="n">
        <v>0.181</v>
      </c>
      <c r="O425" s="22" t="n">
        <v>4.6</v>
      </c>
      <c r="P425" s="22" t="n">
        <v>0.0957</v>
      </c>
      <c r="Q425" s="22" t="n">
        <v>9.57</v>
      </c>
      <c r="R425" s="22" t="n">
        <v>0.22</v>
      </c>
      <c r="S425" s="22" t="n">
        <v>220</v>
      </c>
      <c r="T425" s="22" t="n">
        <v>0.164</v>
      </c>
      <c r="U425" s="22" t="n">
        <f aca="false">C425*1</f>
        <v>40</v>
      </c>
      <c r="V425" s="22" t="n">
        <f aca="false">VLOOKUP(U425,'Powder Core Toroid OD'!$A$2:$B$36,2,0)</f>
        <v>10.2</v>
      </c>
    </row>
    <row r="426" customFormat="false" ht="14.4" hidden="true" customHeight="false" outlineLevel="0" collapsed="false">
      <c r="A426" s="45" t="n">
        <v>58041</v>
      </c>
      <c r="B426" s="22" t="s">
        <v>498</v>
      </c>
      <c r="C426" s="23" t="s">
        <v>232</v>
      </c>
      <c r="D426" s="22" t="n">
        <v>60</v>
      </c>
      <c r="E426" s="22" t="s">
        <v>72</v>
      </c>
      <c r="F426" s="22" t="n">
        <v>32</v>
      </c>
      <c r="G426" s="22" t="s">
        <v>51</v>
      </c>
      <c r="H426" s="42" t="n">
        <v>2.3</v>
      </c>
      <c r="I426" s="36" t="n">
        <v>23</v>
      </c>
      <c r="J426" s="43" t="n">
        <v>0.18</v>
      </c>
      <c r="K426" s="22" t="n">
        <v>4.57</v>
      </c>
      <c r="L426" s="22" t="n">
        <v>0.425</v>
      </c>
      <c r="M426" s="22" t="n">
        <v>10.8</v>
      </c>
      <c r="N426" s="22" t="n">
        <v>0.181</v>
      </c>
      <c r="O426" s="22" t="n">
        <v>4.6</v>
      </c>
      <c r="P426" s="22" t="n">
        <v>0.0957</v>
      </c>
      <c r="Q426" s="22" t="n">
        <v>9.57</v>
      </c>
      <c r="R426" s="22" t="n">
        <v>0.22</v>
      </c>
      <c r="S426" s="22" t="n">
        <v>220</v>
      </c>
      <c r="T426" s="22" t="n">
        <v>0.164</v>
      </c>
      <c r="U426" s="22" t="n">
        <f aca="false">C426*1</f>
        <v>40</v>
      </c>
      <c r="V426" s="22" t="n">
        <f aca="false">VLOOKUP(U426,'Powder Core Toroid OD'!$A$2:$B$36,2,0)</f>
        <v>10.2</v>
      </c>
    </row>
    <row r="427" customFormat="false" ht="14.4" hidden="true" customHeight="false" outlineLevel="0" collapsed="false">
      <c r="A427" s="45" t="n">
        <v>58042</v>
      </c>
      <c r="B427" s="22" t="s">
        <v>499</v>
      </c>
      <c r="C427" s="23" t="s">
        <v>232</v>
      </c>
      <c r="D427" s="22" t="n">
        <v>26</v>
      </c>
      <c r="E427" s="22" t="s">
        <v>72</v>
      </c>
      <c r="F427" s="22" t="n">
        <v>14</v>
      </c>
      <c r="G427" s="22" t="s">
        <v>51</v>
      </c>
      <c r="H427" s="42" t="n">
        <v>2.3</v>
      </c>
      <c r="I427" s="36" t="n">
        <v>23</v>
      </c>
      <c r="J427" s="43" t="n">
        <v>0.18</v>
      </c>
      <c r="K427" s="22" t="n">
        <v>4.57</v>
      </c>
      <c r="L427" s="22" t="n">
        <v>0.425</v>
      </c>
      <c r="M427" s="22" t="n">
        <v>10.8</v>
      </c>
      <c r="N427" s="22" t="n">
        <v>0.181</v>
      </c>
      <c r="O427" s="22" t="n">
        <v>4.6</v>
      </c>
      <c r="P427" s="22" t="n">
        <v>0.0957</v>
      </c>
      <c r="Q427" s="22" t="n">
        <v>9.57</v>
      </c>
      <c r="R427" s="22" t="n">
        <v>0.22</v>
      </c>
      <c r="S427" s="22" t="n">
        <v>220</v>
      </c>
      <c r="T427" s="22" t="n">
        <v>0.164</v>
      </c>
      <c r="U427" s="22" t="n">
        <f aca="false">C427*1</f>
        <v>40</v>
      </c>
      <c r="V427" s="22" t="n">
        <f aca="false">VLOOKUP(U427,'Powder Core Toroid OD'!$A$2:$B$36,2,0)</f>
        <v>10.2</v>
      </c>
    </row>
    <row r="428" customFormat="false" ht="14.4" hidden="true" customHeight="false" outlineLevel="0" collapsed="false">
      <c r="A428" s="45" t="n">
        <v>58048</v>
      </c>
      <c r="B428" s="22" t="s">
        <v>500</v>
      </c>
      <c r="C428" s="23" t="s">
        <v>243</v>
      </c>
      <c r="D428" s="22" t="n">
        <v>160</v>
      </c>
      <c r="E428" s="22" t="s">
        <v>72</v>
      </c>
      <c r="F428" s="22" t="n">
        <v>72</v>
      </c>
      <c r="G428" s="22" t="s">
        <v>51</v>
      </c>
      <c r="H428" s="22" t="n">
        <v>3.12</v>
      </c>
      <c r="I428" s="22" t="n">
        <v>31.2</v>
      </c>
      <c r="J428" s="22" t="n">
        <v>0.275</v>
      </c>
      <c r="K428" s="22" t="n">
        <v>6.98</v>
      </c>
      <c r="L428" s="43" t="n">
        <v>0.53</v>
      </c>
      <c r="M428" s="22" t="n">
        <v>13.5</v>
      </c>
      <c r="N428" s="22" t="n">
        <v>0.217</v>
      </c>
      <c r="O428" s="22" t="n">
        <v>5.52</v>
      </c>
      <c r="P428" s="22" t="n">
        <v>0.109</v>
      </c>
      <c r="Q428" s="22" t="n">
        <v>10.9</v>
      </c>
      <c r="R428" s="22" t="n">
        <v>0.34</v>
      </c>
      <c r="S428" s="22" t="n">
        <v>340</v>
      </c>
      <c r="T428" s="22" t="n">
        <v>0.383</v>
      </c>
      <c r="U428" s="22" t="n">
        <f aca="false">C428*1</f>
        <v>50</v>
      </c>
      <c r="V428" s="22" t="n">
        <f aca="false">VLOOKUP(U428,'Powder Core Toroid OD'!$A$2:$B$36,2,0)</f>
        <v>12.7</v>
      </c>
    </row>
    <row r="429" customFormat="false" ht="14.4" hidden="true" customHeight="false" outlineLevel="0" collapsed="false">
      <c r="A429" s="45" t="n">
        <v>58049</v>
      </c>
      <c r="B429" s="22" t="s">
        <v>501</v>
      </c>
      <c r="C429" s="23" t="s">
        <v>243</v>
      </c>
      <c r="D429" s="22" t="n">
        <v>147</v>
      </c>
      <c r="E429" s="22" t="s">
        <v>72</v>
      </c>
      <c r="F429" s="22" t="n">
        <v>67</v>
      </c>
      <c r="G429" s="22" t="s">
        <v>51</v>
      </c>
      <c r="H429" s="22" t="n">
        <v>3.12</v>
      </c>
      <c r="I429" s="22" t="n">
        <v>31.2</v>
      </c>
      <c r="J429" s="22" t="n">
        <v>0.275</v>
      </c>
      <c r="K429" s="22" t="n">
        <v>6.98</v>
      </c>
      <c r="L429" s="43" t="n">
        <v>0.53</v>
      </c>
      <c r="M429" s="22" t="n">
        <v>13.5</v>
      </c>
      <c r="N429" s="22" t="n">
        <v>0.217</v>
      </c>
      <c r="O429" s="22" t="n">
        <v>5.52</v>
      </c>
      <c r="P429" s="22" t="n">
        <v>0.109</v>
      </c>
      <c r="Q429" s="22" t="n">
        <v>10.9</v>
      </c>
      <c r="R429" s="22" t="n">
        <v>0.34</v>
      </c>
      <c r="S429" s="22" t="n">
        <v>340</v>
      </c>
      <c r="T429" s="22" t="n">
        <v>0.383</v>
      </c>
      <c r="U429" s="22" t="n">
        <f aca="false">C429*1</f>
        <v>50</v>
      </c>
      <c r="V429" s="22" t="n">
        <f aca="false">VLOOKUP(U429,'Powder Core Toroid OD'!$A$2:$B$36,2,0)</f>
        <v>12.7</v>
      </c>
    </row>
    <row r="430" customFormat="false" ht="14.4" hidden="true" customHeight="false" outlineLevel="0" collapsed="false">
      <c r="A430" s="45" t="n">
        <v>58050</v>
      </c>
      <c r="B430" s="22" t="s">
        <v>502</v>
      </c>
      <c r="C430" s="23" t="s">
        <v>243</v>
      </c>
      <c r="D430" s="22" t="n">
        <v>125</v>
      </c>
      <c r="E430" s="22" t="s">
        <v>72</v>
      </c>
      <c r="F430" s="22" t="n">
        <v>56</v>
      </c>
      <c r="G430" s="22" t="s">
        <v>51</v>
      </c>
      <c r="H430" s="22" t="n">
        <v>3.12</v>
      </c>
      <c r="I430" s="22" t="n">
        <v>31.2</v>
      </c>
      <c r="J430" s="22" t="n">
        <v>0.275</v>
      </c>
      <c r="K430" s="22" t="n">
        <v>6.98</v>
      </c>
      <c r="L430" s="43" t="n">
        <v>0.53</v>
      </c>
      <c r="M430" s="22" t="n">
        <v>13.5</v>
      </c>
      <c r="N430" s="22" t="n">
        <v>0.217</v>
      </c>
      <c r="O430" s="22" t="n">
        <v>5.52</v>
      </c>
      <c r="P430" s="22" t="n">
        <v>0.109</v>
      </c>
      <c r="Q430" s="22" t="n">
        <v>10.9</v>
      </c>
      <c r="R430" s="22" t="n">
        <v>0.34</v>
      </c>
      <c r="S430" s="22" t="n">
        <v>340</v>
      </c>
      <c r="T430" s="22" t="n">
        <v>0.383</v>
      </c>
      <c r="U430" s="22" t="n">
        <f aca="false">C430*1</f>
        <v>50</v>
      </c>
      <c r="V430" s="22" t="n">
        <f aca="false">VLOOKUP(U430,'Powder Core Toroid OD'!$A$2:$B$36,2,0)</f>
        <v>12.7</v>
      </c>
    </row>
    <row r="431" customFormat="false" ht="14.4" hidden="true" customHeight="false" outlineLevel="0" collapsed="false">
      <c r="A431" s="45" t="n">
        <v>58051</v>
      </c>
      <c r="B431" s="22" t="s">
        <v>503</v>
      </c>
      <c r="C431" s="23" t="s">
        <v>243</v>
      </c>
      <c r="D431" s="22" t="n">
        <v>60</v>
      </c>
      <c r="E431" s="22" t="s">
        <v>72</v>
      </c>
      <c r="F431" s="22" t="n">
        <v>27</v>
      </c>
      <c r="G431" s="22" t="s">
        <v>51</v>
      </c>
      <c r="H431" s="22" t="n">
        <v>3.12</v>
      </c>
      <c r="I431" s="22" t="n">
        <v>31.2</v>
      </c>
      <c r="J431" s="22" t="n">
        <v>0.275</v>
      </c>
      <c r="K431" s="22" t="n">
        <v>6.98</v>
      </c>
      <c r="L431" s="43" t="n">
        <v>0.53</v>
      </c>
      <c r="M431" s="22" t="n">
        <v>13.5</v>
      </c>
      <c r="N431" s="22" t="n">
        <v>0.217</v>
      </c>
      <c r="O431" s="22" t="n">
        <v>5.52</v>
      </c>
      <c r="P431" s="22" t="n">
        <v>0.109</v>
      </c>
      <c r="Q431" s="22" t="n">
        <v>10.9</v>
      </c>
      <c r="R431" s="22" t="n">
        <v>0.34</v>
      </c>
      <c r="S431" s="22" t="n">
        <v>340</v>
      </c>
      <c r="T431" s="22" t="n">
        <v>0.383</v>
      </c>
      <c r="U431" s="22" t="n">
        <f aca="false">C431*1</f>
        <v>50</v>
      </c>
      <c r="V431" s="22" t="n">
        <f aca="false">VLOOKUP(U431,'Powder Core Toroid OD'!$A$2:$B$36,2,0)</f>
        <v>12.7</v>
      </c>
    </row>
    <row r="432" customFormat="false" ht="14.4" hidden="true" customHeight="false" outlineLevel="0" collapsed="false">
      <c r="A432" s="45" t="n">
        <v>58052</v>
      </c>
      <c r="B432" s="22" t="s">
        <v>504</v>
      </c>
      <c r="C432" s="23" t="s">
        <v>243</v>
      </c>
      <c r="D432" s="22" t="n">
        <v>26</v>
      </c>
      <c r="E432" s="22" t="s">
        <v>72</v>
      </c>
      <c r="F432" s="22" t="n">
        <v>12</v>
      </c>
      <c r="G432" s="22" t="s">
        <v>51</v>
      </c>
      <c r="H432" s="22" t="n">
        <v>3.12</v>
      </c>
      <c r="I432" s="22" t="n">
        <v>31.2</v>
      </c>
      <c r="J432" s="22" t="n">
        <v>0.275</v>
      </c>
      <c r="K432" s="22" t="n">
        <v>6.98</v>
      </c>
      <c r="L432" s="43" t="n">
        <v>0.53</v>
      </c>
      <c r="M432" s="22" t="n">
        <v>13.5</v>
      </c>
      <c r="N432" s="22" t="n">
        <v>0.217</v>
      </c>
      <c r="O432" s="22" t="n">
        <v>5.52</v>
      </c>
      <c r="P432" s="22" t="n">
        <v>0.109</v>
      </c>
      <c r="Q432" s="22" t="n">
        <v>10.9</v>
      </c>
      <c r="R432" s="22" t="n">
        <v>0.34</v>
      </c>
      <c r="S432" s="22" t="n">
        <v>340</v>
      </c>
      <c r="T432" s="22" t="n">
        <v>0.383</v>
      </c>
      <c r="U432" s="22" t="n">
        <f aca="false">C432*1</f>
        <v>50</v>
      </c>
      <c r="V432" s="22" t="n">
        <f aca="false">VLOOKUP(U432,'Powder Core Toroid OD'!$A$2:$B$36,2,0)</f>
        <v>12.7</v>
      </c>
    </row>
    <row r="433" customFormat="false" ht="14.4" hidden="true" customHeight="false" outlineLevel="0" collapsed="false">
      <c r="A433" s="45" t="n">
        <v>58053</v>
      </c>
      <c r="B433" s="22" t="s">
        <v>505</v>
      </c>
      <c r="C433" s="23" t="s">
        <v>243</v>
      </c>
      <c r="D433" s="22" t="n">
        <v>14</v>
      </c>
      <c r="E433" s="22" t="s">
        <v>72</v>
      </c>
      <c r="F433" s="22" t="n">
        <v>6.4</v>
      </c>
      <c r="G433" s="22" t="s">
        <v>51</v>
      </c>
      <c r="H433" s="22" t="n">
        <v>3.12</v>
      </c>
      <c r="I433" s="22" t="n">
        <v>31.2</v>
      </c>
      <c r="J433" s="22" t="n">
        <v>0.275</v>
      </c>
      <c r="K433" s="22" t="n">
        <v>6.98</v>
      </c>
      <c r="L433" s="43" t="n">
        <v>0.53</v>
      </c>
      <c r="M433" s="22" t="n">
        <v>13.5</v>
      </c>
      <c r="N433" s="22" t="n">
        <v>0.217</v>
      </c>
      <c r="O433" s="22" t="n">
        <v>5.52</v>
      </c>
      <c r="P433" s="22" t="n">
        <v>0.109</v>
      </c>
      <c r="Q433" s="22" t="n">
        <v>10.9</v>
      </c>
      <c r="R433" s="22" t="n">
        <v>0.34</v>
      </c>
      <c r="S433" s="22" t="n">
        <v>340</v>
      </c>
      <c r="T433" s="22" t="n">
        <v>0.383</v>
      </c>
      <c r="U433" s="22" t="n">
        <f aca="false">C433*1</f>
        <v>50</v>
      </c>
      <c r="V433" s="22" t="n">
        <f aca="false">VLOOKUP(U433,'Powder Core Toroid OD'!$A$2:$B$36,2,0)</f>
        <v>12.7</v>
      </c>
    </row>
    <row r="434" customFormat="false" ht="14.4" hidden="true" customHeight="false" outlineLevel="0" collapsed="false">
      <c r="A434" s="45" t="n">
        <v>58059</v>
      </c>
      <c r="B434" s="22" t="s">
        <v>506</v>
      </c>
      <c r="C434" s="23" t="n">
        <v>310</v>
      </c>
      <c r="D434" s="22" t="n">
        <v>60</v>
      </c>
      <c r="E434" s="22" t="s">
        <v>72</v>
      </c>
      <c r="F434" s="22" t="n">
        <v>43</v>
      </c>
      <c r="G434" s="22" t="s">
        <v>51</v>
      </c>
      <c r="H434" s="22" t="n">
        <v>5.67</v>
      </c>
      <c r="I434" s="22" t="n">
        <v>56.7</v>
      </c>
      <c r="J434" s="22" t="n">
        <v>0.525</v>
      </c>
      <c r="K434" s="22" t="n">
        <v>13.3</v>
      </c>
      <c r="L434" s="43" t="n">
        <v>0.93</v>
      </c>
      <c r="M434" s="22" t="n">
        <v>23.7</v>
      </c>
      <c r="N434" s="43" t="n">
        <v>0.33</v>
      </c>
      <c r="O434" s="22" t="n">
        <v>8.39</v>
      </c>
      <c r="P434" s="22" t="n">
        <v>0.317</v>
      </c>
      <c r="Q434" s="22" t="n">
        <v>31.7</v>
      </c>
      <c r="R434" s="42" t="n">
        <v>1.8</v>
      </c>
      <c r="S434" s="22" t="n">
        <v>1800</v>
      </c>
      <c r="T434" s="22" t="n">
        <v>1.39</v>
      </c>
      <c r="U434" s="22" t="n">
        <f aca="false">C434*1</f>
        <v>310</v>
      </c>
      <c r="V434" s="22" t="n">
        <f aca="false">VLOOKUP(U434,'Powder Core Toroid OD'!$A$2:$B$36,2,0)</f>
        <v>22.9</v>
      </c>
    </row>
    <row r="435" customFormat="false" ht="14.4" hidden="true" customHeight="false" outlineLevel="0" collapsed="false">
      <c r="A435" s="45" t="n">
        <v>58071</v>
      </c>
      <c r="B435" s="22" t="s">
        <v>507</v>
      </c>
      <c r="C435" s="23" t="n">
        <v>548</v>
      </c>
      <c r="D435" s="22" t="n">
        <v>60</v>
      </c>
      <c r="E435" s="22" t="s">
        <v>72</v>
      </c>
      <c r="F435" s="22" t="n">
        <v>61</v>
      </c>
      <c r="G435" s="22" t="s">
        <v>51</v>
      </c>
      <c r="H435" s="22" t="n">
        <v>8.14</v>
      </c>
      <c r="I435" s="22" t="n">
        <v>81.4</v>
      </c>
      <c r="J435" s="22" t="n">
        <v>0.766</v>
      </c>
      <c r="K435" s="22" t="n">
        <v>19.4</v>
      </c>
      <c r="L435" s="22" t="n">
        <v>1.325</v>
      </c>
      <c r="M435" s="22" t="n">
        <v>33.66</v>
      </c>
      <c r="N435" s="43" t="n">
        <v>0.45</v>
      </c>
      <c r="O435" s="22" t="n">
        <v>11.5</v>
      </c>
      <c r="P435" s="22" t="n">
        <v>0.656</v>
      </c>
      <c r="Q435" s="22" t="n">
        <v>65.6</v>
      </c>
      <c r="R435" s="42" t="n">
        <v>5.34</v>
      </c>
      <c r="S435" s="22" t="n">
        <v>5340</v>
      </c>
      <c r="T435" s="22" t="n">
        <v>2.97</v>
      </c>
      <c r="U435" s="22" t="n">
        <f aca="false">C435*1</f>
        <v>548</v>
      </c>
      <c r="V435" s="22" t="n">
        <f aca="false">VLOOKUP(U435,'Powder Core Toroid OD'!$A$2:$B$36,2,0)</f>
        <v>32.8</v>
      </c>
    </row>
    <row r="436" customFormat="false" ht="14.4" hidden="true" customHeight="false" outlineLevel="0" collapsed="false">
      <c r="A436" s="45" t="n">
        <v>58076</v>
      </c>
      <c r="B436" s="22" t="s">
        <v>508</v>
      </c>
      <c r="C436" s="23" t="n">
        <v>324</v>
      </c>
      <c r="D436" s="22" t="n">
        <v>60</v>
      </c>
      <c r="E436" s="22" t="s">
        <v>72</v>
      </c>
      <c r="F436" s="22" t="n">
        <v>56</v>
      </c>
      <c r="G436" s="22" t="s">
        <v>51</v>
      </c>
      <c r="H436" s="22" t="n">
        <v>8.98</v>
      </c>
      <c r="I436" s="22" t="n">
        <v>89.8</v>
      </c>
      <c r="J436" s="22" t="n">
        <v>0.848</v>
      </c>
      <c r="K436" s="22" t="n">
        <v>21.5</v>
      </c>
      <c r="L436" s="22" t="n">
        <v>1.445</v>
      </c>
      <c r="M436" s="22" t="n">
        <v>36.71</v>
      </c>
      <c r="N436" s="22" t="n">
        <v>0.447</v>
      </c>
      <c r="O436" s="22" t="n">
        <v>11.4</v>
      </c>
      <c r="P436" s="22" t="n">
        <v>0.678</v>
      </c>
      <c r="Q436" s="22" t="n">
        <v>67.8</v>
      </c>
      <c r="R436" s="42" t="n">
        <v>6.09</v>
      </c>
      <c r="S436" s="22" t="n">
        <v>6090</v>
      </c>
      <c r="T436" s="22" t="n">
        <v>3.64</v>
      </c>
      <c r="U436" s="22" t="n">
        <f aca="false">C436*1</f>
        <v>324</v>
      </c>
      <c r="V436" s="22" t="n">
        <f aca="false">VLOOKUP(U436,'Powder Core Toroid OD'!$A$2:$B$36,2,0)</f>
        <v>35.8</v>
      </c>
    </row>
    <row r="437" customFormat="false" ht="14.4" hidden="true" customHeight="false" outlineLevel="0" collapsed="false">
      <c r="A437" s="45" t="n">
        <v>58083</v>
      </c>
      <c r="B437" s="22" t="s">
        <v>509</v>
      </c>
      <c r="C437" s="23" t="n">
        <v>254</v>
      </c>
      <c r="D437" s="22" t="n">
        <v>60</v>
      </c>
      <c r="E437" s="22" t="s">
        <v>72</v>
      </c>
      <c r="F437" s="22" t="n">
        <v>81</v>
      </c>
      <c r="G437" s="22" t="s">
        <v>51</v>
      </c>
      <c r="H437" s="22" t="n">
        <v>9.84</v>
      </c>
      <c r="I437" s="22" t="n">
        <v>98.4</v>
      </c>
      <c r="J437" s="22" t="n">
        <v>0.918</v>
      </c>
      <c r="K437" s="22" t="n">
        <v>23.3</v>
      </c>
      <c r="L437" s="22" t="n">
        <v>1.605</v>
      </c>
      <c r="M437" s="22" t="n">
        <v>40.77</v>
      </c>
      <c r="N437" s="22" t="n">
        <v>0.605</v>
      </c>
      <c r="O437" s="22" t="n">
        <v>15.4</v>
      </c>
      <c r="P437" s="22" t="n">
        <v>1.07</v>
      </c>
      <c r="Q437" s="22" t="n">
        <v>107</v>
      </c>
      <c r="R437" s="36" t="n">
        <v>10.6</v>
      </c>
      <c r="S437" s="22" t="n">
        <v>10600</v>
      </c>
      <c r="T437" s="22" t="n">
        <v>4.27</v>
      </c>
      <c r="U437" s="22" t="n">
        <f aca="false">C437*1</f>
        <v>254</v>
      </c>
      <c r="V437" s="22" t="n">
        <f aca="false">VLOOKUP(U437,'Powder Core Toroid OD'!$A$2:$B$36,2,0)</f>
        <v>39.9</v>
      </c>
    </row>
    <row r="438" customFormat="false" ht="14.4" hidden="true" customHeight="false" outlineLevel="0" collapsed="false">
      <c r="A438" s="45" t="n">
        <v>58089</v>
      </c>
      <c r="B438" s="22" t="s">
        <v>510</v>
      </c>
      <c r="C438" s="23" t="s">
        <v>258</v>
      </c>
      <c r="D438" s="22" t="n">
        <v>125</v>
      </c>
      <c r="E438" s="22" t="s">
        <v>72</v>
      </c>
      <c r="F438" s="22" t="n">
        <v>178</v>
      </c>
      <c r="G438" s="22" t="s">
        <v>51</v>
      </c>
      <c r="H438" s="22" t="n">
        <v>11.6</v>
      </c>
      <c r="I438" s="22" t="n">
        <v>116</v>
      </c>
      <c r="J438" s="22" t="n">
        <v>1.098</v>
      </c>
      <c r="K438" s="22" t="n">
        <v>27.88</v>
      </c>
      <c r="L438" s="22" t="n">
        <v>1.875</v>
      </c>
      <c r="M438" s="22" t="n">
        <v>47.63</v>
      </c>
      <c r="N438" s="22" t="n">
        <v>0.635</v>
      </c>
      <c r="O438" s="22" t="n">
        <v>16.1</v>
      </c>
      <c r="P438" s="22" t="n">
        <v>1.34</v>
      </c>
      <c r="Q438" s="22" t="n">
        <v>134</v>
      </c>
      <c r="R438" s="22" t="n">
        <v>15.6</v>
      </c>
      <c r="S438" s="22" t="n">
        <v>15600</v>
      </c>
      <c r="T438" s="22" t="n">
        <v>6.1</v>
      </c>
      <c r="U438" s="22" t="n">
        <f aca="false">C438*1</f>
        <v>89</v>
      </c>
      <c r="V438" s="22" t="n">
        <f aca="false">VLOOKUP(U438,'Powder Core Toroid OD'!$A$2:$B$36,2,0)</f>
        <v>46.7</v>
      </c>
    </row>
    <row r="439" customFormat="false" ht="14.4" hidden="true" customHeight="false" outlineLevel="0" collapsed="false">
      <c r="A439" s="45" t="n">
        <v>58090</v>
      </c>
      <c r="B439" s="22" t="s">
        <v>511</v>
      </c>
      <c r="C439" s="23" t="s">
        <v>258</v>
      </c>
      <c r="D439" s="22" t="n">
        <v>60</v>
      </c>
      <c r="E439" s="22" t="s">
        <v>72</v>
      </c>
      <c r="F439" s="22" t="n">
        <v>86</v>
      </c>
      <c r="G439" s="22" t="s">
        <v>51</v>
      </c>
      <c r="H439" s="22" t="n">
        <v>11.6</v>
      </c>
      <c r="I439" s="22" t="n">
        <v>116</v>
      </c>
      <c r="J439" s="22" t="n">
        <v>1.098</v>
      </c>
      <c r="K439" s="22" t="n">
        <v>27.88</v>
      </c>
      <c r="L439" s="22" t="n">
        <v>1.875</v>
      </c>
      <c r="M439" s="22" t="n">
        <v>47.63</v>
      </c>
      <c r="N439" s="22" t="n">
        <v>0.635</v>
      </c>
      <c r="O439" s="22" t="n">
        <v>16.1</v>
      </c>
      <c r="P439" s="22" t="n">
        <v>1.34</v>
      </c>
      <c r="Q439" s="22" t="n">
        <v>134</v>
      </c>
      <c r="R439" s="22" t="n">
        <v>15.6</v>
      </c>
      <c r="S439" s="22" t="n">
        <v>15600</v>
      </c>
      <c r="T439" s="22" t="n">
        <v>6.1</v>
      </c>
      <c r="U439" s="22" t="n">
        <f aca="false">C439*1</f>
        <v>89</v>
      </c>
      <c r="V439" s="22" t="n">
        <f aca="false">VLOOKUP(U439,'Powder Core Toroid OD'!$A$2:$B$36,2,0)</f>
        <v>46.7</v>
      </c>
    </row>
    <row r="440" customFormat="false" ht="14.4" hidden="true" customHeight="false" outlineLevel="0" collapsed="false">
      <c r="A440" s="45" t="n">
        <v>58091</v>
      </c>
      <c r="B440" s="22" t="s">
        <v>512</v>
      </c>
      <c r="C440" s="23" t="s">
        <v>258</v>
      </c>
      <c r="D440" s="22" t="n">
        <v>26</v>
      </c>
      <c r="E440" s="22" t="s">
        <v>72</v>
      </c>
      <c r="F440" s="22" t="n">
        <v>37</v>
      </c>
      <c r="G440" s="22" t="s">
        <v>51</v>
      </c>
      <c r="H440" s="22" t="n">
        <v>11.6</v>
      </c>
      <c r="I440" s="22" t="n">
        <v>116</v>
      </c>
      <c r="J440" s="22" t="n">
        <v>1.098</v>
      </c>
      <c r="K440" s="22" t="n">
        <v>27.88</v>
      </c>
      <c r="L440" s="22" t="n">
        <v>1.875</v>
      </c>
      <c r="M440" s="22" t="n">
        <v>47.63</v>
      </c>
      <c r="N440" s="22" t="n">
        <v>0.635</v>
      </c>
      <c r="O440" s="22" t="n">
        <v>16.1</v>
      </c>
      <c r="P440" s="22" t="n">
        <v>1.34</v>
      </c>
      <c r="Q440" s="22" t="n">
        <v>134</v>
      </c>
      <c r="R440" s="22" t="n">
        <v>15.6</v>
      </c>
      <c r="S440" s="22" t="n">
        <v>15600</v>
      </c>
      <c r="T440" s="22" t="n">
        <v>6.1</v>
      </c>
      <c r="U440" s="22" t="n">
        <f aca="false">C440*1</f>
        <v>89</v>
      </c>
      <c r="V440" s="22" t="n">
        <f aca="false">VLOOKUP(U440,'Powder Core Toroid OD'!$A$2:$B$36,2,0)</f>
        <v>46.7</v>
      </c>
    </row>
    <row r="441" customFormat="false" ht="14.4" hidden="true" customHeight="false" outlineLevel="0" collapsed="false">
      <c r="A441" s="45" t="n">
        <v>58092</v>
      </c>
      <c r="B441" s="22" t="s">
        <v>513</v>
      </c>
      <c r="C441" s="23" t="s">
        <v>258</v>
      </c>
      <c r="D441" s="22" t="n">
        <v>14</v>
      </c>
      <c r="E441" s="22" t="s">
        <v>72</v>
      </c>
      <c r="F441" s="22" t="n">
        <v>20</v>
      </c>
      <c r="G441" s="22" t="s">
        <v>51</v>
      </c>
      <c r="H441" s="22" t="n">
        <v>11.6</v>
      </c>
      <c r="I441" s="22" t="n">
        <v>116</v>
      </c>
      <c r="J441" s="22" t="n">
        <v>1.098</v>
      </c>
      <c r="K441" s="22" t="n">
        <v>27.88</v>
      </c>
      <c r="L441" s="22" t="n">
        <v>1.875</v>
      </c>
      <c r="M441" s="22" t="n">
        <v>47.63</v>
      </c>
      <c r="N441" s="22" t="n">
        <v>0.635</v>
      </c>
      <c r="O441" s="22" t="n">
        <v>16.1</v>
      </c>
      <c r="P441" s="22" t="n">
        <v>1.34</v>
      </c>
      <c r="Q441" s="22" t="n">
        <v>134</v>
      </c>
      <c r="R441" s="22" t="n">
        <v>15.6</v>
      </c>
      <c r="S441" s="22" t="n">
        <v>15600</v>
      </c>
      <c r="T441" s="22" t="n">
        <v>6.1</v>
      </c>
      <c r="U441" s="22" t="n">
        <f aca="false">C441*1</f>
        <v>89</v>
      </c>
      <c r="V441" s="22" t="n">
        <f aca="false">VLOOKUP(U441,'Powder Core Toroid OD'!$A$2:$B$36,2,0)</f>
        <v>46.7</v>
      </c>
    </row>
    <row r="442" customFormat="false" ht="14.4" hidden="true" customHeight="false" outlineLevel="0" collapsed="false">
      <c r="A442" s="45" t="n">
        <v>58109</v>
      </c>
      <c r="B442" s="22" t="s">
        <v>514</v>
      </c>
      <c r="C442" s="23" t="n">
        <v>109</v>
      </c>
      <c r="D442" s="22" t="n">
        <v>125</v>
      </c>
      <c r="E442" s="22" t="s">
        <v>72</v>
      </c>
      <c r="F442" s="22" t="n">
        <v>156</v>
      </c>
      <c r="G442" s="22" t="s">
        <v>51</v>
      </c>
      <c r="H442" s="22" t="n">
        <v>14.3</v>
      </c>
      <c r="I442" s="22" t="n">
        <v>143</v>
      </c>
      <c r="J442" s="22" t="n">
        <v>1.368</v>
      </c>
      <c r="K442" s="22" t="n">
        <v>34.74</v>
      </c>
      <c r="L442" s="22" t="n">
        <v>2.285</v>
      </c>
      <c r="M442" s="22" t="n">
        <v>58.04</v>
      </c>
      <c r="N442" s="22" t="n">
        <v>0.585</v>
      </c>
      <c r="O442" s="22" t="n">
        <v>14.9</v>
      </c>
      <c r="P442" s="22" t="n">
        <v>1.44</v>
      </c>
      <c r="Q442" s="22" t="n">
        <v>144</v>
      </c>
      <c r="R442" s="22" t="n">
        <v>20.7</v>
      </c>
      <c r="S442" s="22" t="n">
        <v>20700</v>
      </c>
      <c r="T442" s="22" t="n">
        <v>9.48</v>
      </c>
      <c r="U442" s="22" t="n">
        <f aca="false">C442*1</f>
        <v>109</v>
      </c>
      <c r="V442" s="22" t="n">
        <f aca="false">VLOOKUP(U442,'Powder Core Toroid OD'!$A$2:$B$36,2,0)</f>
        <v>57.2</v>
      </c>
    </row>
    <row r="443" customFormat="false" ht="14.4" hidden="true" customHeight="false" outlineLevel="0" collapsed="false">
      <c r="A443" s="45" t="n">
        <v>58110</v>
      </c>
      <c r="B443" s="22" t="s">
        <v>515</v>
      </c>
      <c r="C443" s="23" t="n">
        <v>109</v>
      </c>
      <c r="D443" s="22" t="n">
        <v>60</v>
      </c>
      <c r="E443" s="22" t="s">
        <v>72</v>
      </c>
      <c r="F443" s="22" t="n">
        <v>75</v>
      </c>
      <c r="G443" s="22" t="s">
        <v>51</v>
      </c>
      <c r="H443" s="22" t="n">
        <v>14.3</v>
      </c>
      <c r="I443" s="22" t="n">
        <v>143</v>
      </c>
      <c r="J443" s="22" t="n">
        <v>1.368</v>
      </c>
      <c r="K443" s="22" t="n">
        <v>34.74</v>
      </c>
      <c r="L443" s="22" t="n">
        <v>2.285</v>
      </c>
      <c r="M443" s="22" t="n">
        <v>58.04</v>
      </c>
      <c r="N443" s="22" t="n">
        <v>0.585</v>
      </c>
      <c r="O443" s="22" t="n">
        <v>14.9</v>
      </c>
      <c r="P443" s="22" t="n">
        <v>1.44</v>
      </c>
      <c r="Q443" s="22" t="n">
        <v>144</v>
      </c>
      <c r="R443" s="22" t="n">
        <v>20.7</v>
      </c>
      <c r="S443" s="22" t="n">
        <v>20700</v>
      </c>
      <c r="T443" s="22" t="n">
        <v>9.48</v>
      </c>
      <c r="U443" s="22" t="n">
        <f aca="false">C443*1</f>
        <v>109</v>
      </c>
      <c r="V443" s="22" t="n">
        <f aca="false">VLOOKUP(U443,'Powder Core Toroid OD'!$A$2:$B$36,2,0)</f>
        <v>57.2</v>
      </c>
    </row>
    <row r="444" customFormat="false" ht="14.4" hidden="true" customHeight="false" outlineLevel="0" collapsed="false">
      <c r="A444" s="45" t="n">
        <v>58111</v>
      </c>
      <c r="B444" s="22" t="s">
        <v>516</v>
      </c>
      <c r="C444" s="23" t="n">
        <v>109</v>
      </c>
      <c r="D444" s="22" t="n">
        <v>26</v>
      </c>
      <c r="E444" s="22" t="s">
        <v>72</v>
      </c>
      <c r="F444" s="22" t="n">
        <v>33</v>
      </c>
      <c r="G444" s="22" t="s">
        <v>51</v>
      </c>
      <c r="H444" s="22" t="n">
        <v>14.3</v>
      </c>
      <c r="I444" s="22" t="n">
        <v>143</v>
      </c>
      <c r="J444" s="22" t="n">
        <v>1.368</v>
      </c>
      <c r="K444" s="22" t="n">
        <v>34.74</v>
      </c>
      <c r="L444" s="22" t="n">
        <v>2.285</v>
      </c>
      <c r="M444" s="22" t="n">
        <v>58.04</v>
      </c>
      <c r="N444" s="22" t="n">
        <v>0.585</v>
      </c>
      <c r="O444" s="22" t="n">
        <v>14.9</v>
      </c>
      <c r="P444" s="22" t="n">
        <v>1.44</v>
      </c>
      <c r="Q444" s="22" t="n">
        <v>144</v>
      </c>
      <c r="R444" s="22" t="n">
        <v>20.7</v>
      </c>
      <c r="S444" s="22" t="n">
        <v>20700</v>
      </c>
      <c r="T444" s="22" t="n">
        <v>9.48</v>
      </c>
      <c r="U444" s="22" t="n">
        <f aca="false">C444*1</f>
        <v>109</v>
      </c>
      <c r="V444" s="22" t="n">
        <f aca="false">VLOOKUP(U444,'Powder Core Toroid OD'!$A$2:$B$36,2,0)</f>
        <v>57.2</v>
      </c>
    </row>
    <row r="445" customFormat="false" ht="14.4" hidden="true" customHeight="false" outlineLevel="0" collapsed="false">
      <c r="A445" s="45" t="n">
        <v>58112</v>
      </c>
      <c r="B445" s="22" t="s">
        <v>517</v>
      </c>
      <c r="C445" s="23" t="n">
        <v>109</v>
      </c>
      <c r="D445" s="22" t="n">
        <v>14</v>
      </c>
      <c r="E445" s="22" t="s">
        <v>72</v>
      </c>
      <c r="F445" s="22" t="n">
        <v>18</v>
      </c>
      <c r="G445" s="22" t="s">
        <v>51</v>
      </c>
      <c r="H445" s="22" t="n">
        <v>14.3</v>
      </c>
      <c r="I445" s="22" t="n">
        <v>143</v>
      </c>
      <c r="J445" s="22" t="n">
        <v>1.368</v>
      </c>
      <c r="K445" s="22" t="n">
        <v>34.7472</v>
      </c>
      <c r="L445" s="22" t="n">
        <v>2.285</v>
      </c>
      <c r="M445" s="22" t="n">
        <v>58.039</v>
      </c>
      <c r="N445" s="22" t="n">
        <v>0.585</v>
      </c>
      <c r="O445" s="22" t="n">
        <v>14.859</v>
      </c>
      <c r="P445" s="22" t="n">
        <v>1.43</v>
      </c>
      <c r="Q445" s="22" t="n">
        <v>143</v>
      </c>
      <c r="R445" s="22" t="n">
        <v>20.65</v>
      </c>
      <c r="S445" s="22" t="n">
        <v>20650</v>
      </c>
      <c r="T445" s="22" t="n">
        <v>9.48</v>
      </c>
      <c r="U445" s="22" t="n">
        <f aca="false">C445*1</f>
        <v>109</v>
      </c>
      <c r="V445" s="22" t="n">
        <f aca="false">VLOOKUP(U445,'Powder Core Toroid OD'!$A$2:$B$36,2,0)</f>
        <v>57.2</v>
      </c>
    </row>
    <row r="446" customFormat="false" ht="14.4" hidden="true" customHeight="false" outlineLevel="0" collapsed="false">
      <c r="A446" s="45" t="n">
        <v>58118</v>
      </c>
      <c r="B446" s="22" t="s">
        <v>518</v>
      </c>
      <c r="C446" s="23" t="n">
        <v>120</v>
      </c>
      <c r="D446" s="22" t="n">
        <v>160</v>
      </c>
      <c r="E446" s="22" t="s">
        <v>72</v>
      </c>
      <c r="F446" s="22" t="n">
        <v>92</v>
      </c>
      <c r="G446" s="22" t="s">
        <v>51</v>
      </c>
      <c r="H446" s="22" t="n">
        <v>4.12</v>
      </c>
      <c r="I446" s="22" t="n">
        <v>41.2</v>
      </c>
      <c r="J446" s="22" t="n">
        <v>0.375</v>
      </c>
      <c r="K446" s="22" t="n">
        <v>9.52</v>
      </c>
      <c r="L446" s="43" t="n">
        <v>0.68</v>
      </c>
      <c r="M446" s="22" t="n">
        <v>17.3</v>
      </c>
      <c r="N446" s="43" t="n">
        <v>0.28</v>
      </c>
      <c r="O446" s="22" t="n">
        <v>7.12</v>
      </c>
      <c r="P446" s="22" t="n">
        <v>0.192</v>
      </c>
      <c r="Q446" s="22" t="n">
        <v>19.2</v>
      </c>
      <c r="R446" s="22" t="n">
        <v>0.791</v>
      </c>
      <c r="S446" s="22" t="n">
        <v>791</v>
      </c>
      <c r="T446" s="22" t="n">
        <v>0.712</v>
      </c>
      <c r="U446" s="22" t="n">
        <f aca="false">C446*1</f>
        <v>120</v>
      </c>
      <c r="V446" s="22" t="n">
        <f aca="false">VLOOKUP(U446,'Powder Core Toroid OD'!$A$2:$B$36,2,0)</f>
        <v>16.6</v>
      </c>
    </row>
    <row r="447" customFormat="false" ht="14.4" hidden="true" customHeight="false" outlineLevel="0" collapsed="false">
      <c r="A447" s="45" t="n">
        <v>58119</v>
      </c>
      <c r="B447" s="22" t="s">
        <v>519</v>
      </c>
      <c r="C447" s="23" t="n">
        <v>120</v>
      </c>
      <c r="D447" s="22" t="n">
        <v>147</v>
      </c>
      <c r="E447" s="22" t="s">
        <v>72</v>
      </c>
      <c r="F447" s="22" t="n">
        <v>88</v>
      </c>
      <c r="G447" s="22" t="s">
        <v>51</v>
      </c>
      <c r="H447" s="22" t="n">
        <v>4.12</v>
      </c>
      <c r="I447" s="22" t="n">
        <v>41.2</v>
      </c>
      <c r="J447" s="22" t="n">
        <v>0.375</v>
      </c>
      <c r="K447" s="22" t="n">
        <v>9.52</v>
      </c>
      <c r="L447" s="43" t="n">
        <v>0.68</v>
      </c>
      <c r="M447" s="22" t="n">
        <v>17.3</v>
      </c>
      <c r="N447" s="43" t="n">
        <v>0.28</v>
      </c>
      <c r="O447" s="22" t="n">
        <v>7.12</v>
      </c>
      <c r="P447" s="22" t="n">
        <v>0.192</v>
      </c>
      <c r="Q447" s="22" t="n">
        <v>19.2</v>
      </c>
      <c r="R447" s="22" t="n">
        <v>0.791</v>
      </c>
      <c r="S447" s="22" t="n">
        <v>791</v>
      </c>
      <c r="T447" s="22" t="n">
        <v>0.712</v>
      </c>
      <c r="U447" s="22" t="n">
        <f aca="false">C447*1</f>
        <v>120</v>
      </c>
      <c r="V447" s="22" t="n">
        <f aca="false">VLOOKUP(U447,'Powder Core Toroid OD'!$A$2:$B$36,2,0)</f>
        <v>16.6</v>
      </c>
    </row>
    <row r="448" customFormat="false" ht="14.4" hidden="true" customHeight="false" outlineLevel="0" collapsed="false">
      <c r="A448" s="45" t="n">
        <v>58120</v>
      </c>
      <c r="B448" s="22" t="s">
        <v>520</v>
      </c>
      <c r="C448" s="23" t="n">
        <v>120</v>
      </c>
      <c r="D448" s="22" t="n">
        <v>125</v>
      </c>
      <c r="E448" s="22" t="s">
        <v>72</v>
      </c>
      <c r="F448" s="22" t="n">
        <v>72</v>
      </c>
      <c r="G448" s="22" t="s">
        <v>51</v>
      </c>
      <c r="H448" s="22" t="n">
        <v>4.12</v>
      </c>
      <c r="I448" s="22" t="n">
        <v>41.2</v>
      </c>
      <c r="J448" s="22" t="n">
        <v>0.375</v>
      </c>
      <c r="K448" s="22" t="n">
        <v>9.52</v>
      </c>
      <c r="L448" s="43" t="n">
        <v>0.68</v>
      </c>
      <c r="M448" s="22" t="n">
        <v>17.3</v>
      </c>
      <c r="N448" s="43" t="n">
        <v>0.28</v>
      </c>
      <c r="O448" s="22" t="n">
        <v>7.12</v>
      </c>
      <c r="P448" s="22" t="n">
        <v>0.192</v>
      </c>
      <c r="Q448" s="22" t="n">
        <v>19.2</v>
      </c>
      <c r="R448" s="22" t="n">
        <v>0.791</v>
      </c>
      <c r="S448" s="22" t="n">
        <v>791</v>
      </c>
      <c r="T448" s="22" t="n">
        <v>0.712</v>
      </c>
      <c r="U448" s="22" t="n">
        <f aca="false">C448*1</f>
        <v>120</v>
      </c>
      <c r="V448" s="22" t="n">
        <f aca="false">VLOOKUP(U448,'Powder Core Toroid OD'!$A$2:$B$36,2,0)</f>
        <v>16.6</v>
      </c>
    </row>
    <row r="449" customFormat="false" ht="14.4" hidden="true" customHeight="false" outlineLevel="0" collapsed="false">
      <c r="A449" s="45" t="n">
        <v>58121</v>
      </c>
      <c r="B449" s="22" t="s">
        <v>521</v>
      </c>
      <c r="C449" s="23" t="n">
        <v>120</v>
      </c>
      <c r="D449" s="22" t="n">
        <v>60</v>
      </c>
      <c r="E449" s="22" t="s">
        <v>72</v>
      </c>
      <c r="F449" s="22" t="n">
        <v>35</v>
      </c>
      <c r="G449" s="22" t="s">
        <v>51</v>
      </c>
      <c r="H449" s="22" t="n">
        <v>4.12</v>
      </c>
      <c r="I449" s="22" t="n">
        <v>41.2</v>
      </c>
      <c r="J449" s="22" t="n">
        <v>0.375</v>
      </c>
      <c r="K449" s="22" t="n">
        <v>9.52</v>
      </c>
      <c r="L449" s="43" t="n">
        <v>0.68</v>
      </c>
      <c r="M449" s="22" t="n">
        <v>17.3</v>
      </c>
      <c r="N449" s="43" t="n">
        <v>0.28</v>
      </c>
      <c r="O449" s="22" t="n">
        <v>7.12</v>
      </c>
      <c r="P449" s="22" t="n">
        <v>0.192</v>
      </c>
      <c r="Q449" s="22" t="n">
        <v>19.2</v>
      </c>
      <c r="R449" s="22" t="n">
        <v>0.791</v>
      </c>
      <c r="S449" s="22" t="n">
        <v>791</v>
      </c>
      <c r="T449" s="22" t="n">
        <v>0.712</v>
      </c>
      <c r="U449" s="22" t="n">
        <f aca="false">C449*1</f>
        <v>120</v>
      </c>
      <c r="V449" s="22" t="n">
        <f aca="false">VLOOKUP(U449,'Powder Core Toroid OD'!$A$2:$B$36,2,0)</f>
        <v>16.6</v>
      </c>
    </row>
    <row r="450" customFormat="false" ht="14.4" hidden="true" customHeight="false" outlineLevel="0" collapsed="false">
      <c r="A450" s="45" t="n">
        <v>58122</v>
      </c>
      <c r="B450" s="22" t="s">
        <v>522</v>
      </c>
      <c r="C450" s="23" t="n">
        <v>120</v>
      </c>
      <c r="D450" s="22" t="n">
        <v>26</v>
      </c>
      <c r="E450" s="22" t="s">
        <v>72</v>
      </c>
      <c r="F450" s="22" t="n">
        <v>15</v>
      </c>
      <c r="G450" s="22" t="s">
        <v>51</v>
      </c>
      <c r="H450" s="22" t="n">
        <v>4.12</v>
      </c>
      <c r="I450" s="22" t="n">
        <v>41.2</v>
      </c>
      <c r="J450" s="22" t="n">
        <v>0.375</v>
      </c>
      <c r="K450" s="22" t="n">
        <v>9.52</v>
      </c>
      <c r="L450" s="43" t="n">
        <v>0.68</v>
      </c>
      <c r="M450" s="22" t="n">
        <v>17.3</v>
      </c>
      <c r="N450" s="43" t="n">
        <v>0.28</v>
      </c>
      <c r="O450" s="22" t="n">
        <v>7.12</v>
      </c>
      <c r="P450" s="22" t="n">
        <v>0.192</v>
      </c>
      <c r="Q450" s="22" t="n">
        <v>19.2</v>
      </c>
      <c r="R450" s="22" t="n">
        <v>0.791</v>
      </c>
      <c r="S450" s="22" t="n">
        <v>791</v>
      </c>
      <c r="T450" s="22" t="n">
        <v>0.712</v>
      </c>
      <c r="U450" s="22" t="n">
        <f aca="false">C450*1</f>
        <v>120</v>
      </c>
      <c r="V450" s="22" t="n">
        <f aca="false">VLOOKUP(U450,'Powder Core Toroid OD'!$A$2:$B$36,2,0)</f>
        <v>16.6</v>
      </c>
    </row>
    <row r="451" customFormat="false" ht="14.4" hidden="true" customHeight="false" outlineLevel="0" collapsed="false">
      <c r="A451" s="45" t="n">
        <v>58123</v>
      </c>
      <c r="B451" s="22" t="s">
        <v>523</v>
      </c>
      <c r="C451" s="23" t="n">
        <v>120</v>
      </c>
      <c r="D451" s="22" t="n">
        <v>14</v>
      </c>
      <c r="E451" s="22" t="s">
        <v>72</v>
      </c>
      <c r="F451" s="22" t="n">
        <v>8</v>
      </c>
      <c r="G451" s="22" t="s">
        <v>51</v>
      </c>
      <c r="H451" s="22" t="n">
        <v>4.12</v>
      </c>
      <c r="I451" s="22" t="n">
        <v>41.2</v>
      </c>
      <c r="J451" s="22" t="n">
        <v>0.375</v>
      </c>
      <c r="K451" s="22" t="n">
        <v>9.52</v>
      </c>
      <c r="L451" s="43" t="n">
        <v>0.68</v>
      </c>
      <c r="M451" s="22" t="n">
        <v>17.3</v>
      </c>
      <c r="N451" s="43" t="n">
        <v>0.28</v>
      </c>
      <c r="O451" s="22" t="n">
        <v>7.12</v>
      </c>
      <c r="P451" s="22" t="n">
        <v>0.192</v>
      </c>
      <c r="Q451" s="22" t="n">
        <v>19.2</v>
      </c>
      <c r="R451" s="22" t="n">
        <v>0.791</v>
      </c>
      <c r="S451" s="22" t="n">
        <v>791</v>
      </c>
      <c r="T451" s="22" t="n">
        <v>0.712</v>
      </c>
      <c r="U451" s="22" t="n">
        <f aca="false">C451*1</f>
        <v>120</v>
      </c>
      <c r="V451" s="22" t="n">
        <f aca="false">VLOOKUP(U451,'Powder Core Toroid OD'!$A$2:$B$36,2,0)</f>
        <v>16.6</v>
      </c>
    </row>
    <row r="452" customFormat="false" ht="14.4" hidden="true" customHeight="false" outlineLevel="0" collapsed="false">
      <c r="A452" s="45" t="n">
        <v>58128</v>
      </c>
      <c r="B452" s="22" t="s">
        <v>524</v>
      </c>
      <c r="C452" s="23" t="n">
        <v>130</v>
      </c>
      <c r="D452" s="22" t="n">
        <v>160</v>
      </c>
      <c r="E452" s="22" t="s">
        <v>72</v>
      </c>
      <c r="F452" s="22" t="n">
        <v>68</v>
      </c>
      <c r="G452" s="22" t="s">
        <v>51</v>
      </c>
      <c r="H452" s="22" t="n">
        <v>2.69</v>
      </c>
      <c r="I452" s="22" t="n">
        <v>26.9</v>
      </c>
      <c r="J452" s="43" t="n">
        <v>0.23</v>
      </c>
      <c r="K452" s="22" t="n">
        <v>5.84</v>
      </c>
      <c r="L452" s="22" t="n">
        <v>0.465</v>
      </c>
      <c r="M452" s="22" t="n">
        <v>11.9</v>
      </c>
      <c r="N452" s="22" t="n">
        <v>0.181</v>
      </c>
      <c r="O452" s="43" t="n">
        <v>4.6</v>
      </c>
      <c r="P452" s="22" t="n">
        <v>0.0906</v>
      </c>
      <c r="Q452" s="22" t="n">
        <v>9.06</v>
      </c>
      <c r="R452" s="22" t="n">
        <v>0.244</v>
      </c>
      <c r="S452" s="22" t="n">
        <v>244</v>
      </c>
      <c r="T452" s="22" t="n">
        <v>0.268</v>
      </c>
      <c r="U452" s="22" t="n">
        <f aca="false">C452*1</f>
        <v>130</v>
      </c>
      <c r="V452" s="22" t="n">
        <f aca="false">VLOOKUP(U452,'Powder Core Toroid OD'!$A$2:$B$36,2,0)</f>
        <v>11.2</v>
      </c>
    </row>
    <row r="453" customFormat="false" ht="14.4" hidden="true" customHeight="false" outlineLevel="0" collapsed="false">
      <c r="A453" s="45" t="n">
        <v>58129</v>
      </c>
      <c r="B453" s="22" t="s">
        <v>525</v>
      </c>
      <c r="C453" s="23" t="n">
        <v>130</v>
      </c>
      <c r="D453" s="22" t="n">
        <v>147</v>
      </c>
      <c r="E453" s="22" t="s">
        <v>72</v>
      </c>
      <c r="F453" s="22" t="n">
        <v>63</v>
      </c>
      <c r="G453" s="22" t="s">
        <v>51</v>
      </c>
      <c r="H453" s="22" t="n">
        <v>2.69</v>
      </c>
      <c r="I453" s="22" t="n">
        <v>26.9</v>
      </c>
      <c r="J453" s="43" t="n">
        <v>0.23</v>
      </c>
      <c r="K453" s="22" t="n">
        <v>5.84</v>
      </c>
      <c r="L453" s="22" t="n">
        <v>0.465</v>
      </c>
      <c r="M453" s="22" t="n">
        <v>11.9</v>
      </c>
      <c r="N453" s="22" t="n">
        <v>0.181</v>
      </c>
      <c r="O453" s="43" t="n">
        <v>4.6</v>
      </c>
      <c r="P453" s="22" t="n">
        <v>0.0906</v>
      </c>
      <c r="Q453" s="22" t="n">
        <v>9.06</v>
      </c>
      <c r="R453" s="22" t="n">
        <v>0.244</v>
      </c>
      <c r="S453" s="22" t="n">
        <v>244</v>
      </c>
      <c r="T453" s="22" t="n">
        <v>0.268</v>
      </c>
      <c r="U453" s="22" t="n">
        <f aca="false">C453*1</f>
        <v>130</v>
      </c>
      <c r="V453" s="22" t="n">
        <f aca="false">VLOOKUP(U453,'Powder Core Toroid OD'!$A$2:$B$36,2,0)</f>
        <v>11.2</v>
      </c>
    </row>
    <row r="454" customFormat="false" ht="14.4" hidden="true" customHeight="false" outlineLevel="0" collapsed="false">
      <c r="A454" s="45" t="n">
        <v>58130</v>
      </c>
      <c r="B454" s="22" t="s">
        <v>526</v>
      </c>
      <c r="C454" s="23" t="n">
        <v>130</v>
      </c>
      <c r="D454" s="22" t="n">
        <v>125</v>
      </c>
      <c r="E454" s="22" t="s">
        <v>72</v>
      </c>
      <c r="F454" s="22" t="n">
        <v>53</v>
      </c>
      <c r="G454" s="22" t="s">
        <v>51</v>
      </c>
      <c r="H454" s="22" t="n">
        <v>2.69</v>
      </c>
      <c r="I454" s="22" t="n">
        <v>26.9</v>
      </c>
      <c r="J454" s="43" t="n">
        <v>0.23</v>
      </c>
      <c r="K454" s="22" t="n">
        <v>5.84</v>
      </c>
      <c r="L454" s="22" t="n">
        <v>0.465</v>
      </c>
      <c r="M454" s="22" t="n">
        <v>11.9</v>
      </c>
      <c r="N454" s="22" t="n">
        <v>0.181</v>
      </c>
      <c r="O454" s="43" t="n">
        <v>4.6</v>
      </c>
      <c r="P454" s="22" t="n">
        <v>0.0906</v>
      </c>
      <c r="Q454" s="22" t="n">
        <v>9.06</v>
      </c>
      <c r="R454" s="22" t="n">
        <v>0.244</v>
      </c>
      <c r="S454" s="22" t="n">
        <v>244</v>
      </c>
      <c r="T454" s="22" t="n">
        <v>0.268</v>
      </c>
      <c r="U454" s="22" t="n">
        <f aca="false">C454*1</f>
        <v>130</v>
      </c>
      <c r="V454" s="22" t="n">
        <f aca="false">VLOOKUP(U454,'Powder Core Toroid OD'!$A$2:$B$36,2,0)</f>
        <v>11.2</v>
      </c>
    </row>
    <row r="455" customFormat="false" ht="14.4" hidden="true" customHeight="false" outlineLevel="0" collapsed="false">
      <c r="A455" s="45" t="n">
        <v>58131</v>
      </c>
      <c r="B455" s="22" t="s">
        <v>527</v>
      </c>
      <c r="C455" s="23" t="n">
        <v>130</v>
      </c>
      <c r="D455" s="22" t="n">
        <v>60</v>
      </c>
      <c r="E455" s="22" t="s">
        <v>72</v>
      </c>
      <c r="F455" s="22" t="n">
        <v>26</v>
      </c>
      <c r="G455" s="22" t="s">
        <v>51</v>
      </c>
      <c r="H455" s="22" t="n">
        <v>2.69</v>
      </c>
      <c r="I455" s="22" t="n">
        <v>26.9</v>
      </c>
      <c r="J455" s="43" t="n">
        <v>0.23</v>
      </c>
      <c r="K455" s="22" t="n">
        <v>5.84</v>
      </c>
      <c r="L455" s="22" t="n">
        <v>0.465</v>
      </c>
      <c r="M455" s="22" t="n">
        <v>11.9</v>
      </c>
      <c r="N455" s="22" t="n">
        <v>0.181</v>
      </c>
      <c r="O455" s="43" t="n">
        <v>4.6</v>
      </c>
      <c r="P455" s="22" t="n">
        <v>0.0906</v>
      </c>
      <c r="Q455" s="22" t="n">
        <v>9.06</v>
      </c>
      <c r="R455" s="22" t="n">
        <v>0.244</v>
      </c>
      <c r="S455" s="22" t="n">
        <v>244</v>
      </c>
      <c r="T455" s="22" t="n">
        <v>0.268</v>
      </c>
      <c r="U455" s="22" t="n">
        <f aca="false">C455*1</f>
        <v>130</v>
      </c>
      <c r="V455" s="22" t="n">
        <f aca="false">VLOOKUP(U455,'Powder Core Toroid OD'!$A$2:$B$36,2,0)</f>
        <v>11.2</v>
      </c>
    </row>
    <row r="456" customFormat="false" ht="14.4" hidden="true" customHeight="false" outlineLevel="0" collapsed="false">
      <c r="A456" s="45" t="n">
        <v>58132</v>
      </c>
      <c r="B456" s="22" t="s">
        <v>528</v>
      </c>
      <c r="C456" s="23" t="n">
        <v>130</v>
      </c>
      <c r="D456" s="22" t="n">
        <v>26</v>
      </c>
      <c r="E456" s="22" t="s">
        <v>72</v>
      </c>
      <c r="F456" s="22" t="n">
        <v>11</v>
      </c>
      <c r="G456" s="22" t="s">
        <v>51</v>
      </c>
      <c r="H456" s="22" t="n">
        <v>2.69</v>
      </c>
      <c r="I456" s="22" t="n">
        <v>26.9</v>
      </c>
      <c r="J456" s="43" t="n">
        <v>0.23</v>
      </c>
      <c r="K456" s="22" t="n">
        <v>5.84</v>
      </c>
      <c r="L456" s="22" t="n">
        <v>0.465</v>
      </c>
      <c r="M456" s="22" t="n">
        <v>11.9</v>
      </c>
      <c r="N456" s="22" t="n">
        <v>0.181</v>
      </c>
      <c r="O456" s="43" t="n">
        <v>4.6</v>
      </c>
      <c r="P456" s="22" t="n">
        <v>0.0906</v>
      </c>
      <c r="Q456" s="22" t="n">
        <v>9.06</v>
      </c>
      <c r="R456" s="22" t="n">
        <v>0.244</v>
      </c>
      <c r="S456" s="22" t="n">
        <v>244</v>
      </c>
      <c r="T456" s="22" t="n">
        <v>0.268</v>
      </c>
      <c r="U456" s="22" t="n">
        <f aca="false">C456*1</f>
        <v>130</v>
      </c>
      <c r="V456" s="22" t="n">
        <f aca="false">VLOOKUP(U456,'Powder Core Toroid OD'!$A$2:$B$36,2,0)</f>
        <v>11.2</v>
      </c>
    </row>
    <row r="457" customFormat="false" ht="14.4" hidden="true" customHeight="false" outlineLevel="0" collapsed="false">
      <c r="A457" s="45" t="n">
        <v>58133</v>
      </c>
      <c r="B457" s="22" t="s">
        <v>529</v>
      </c>
      <c r="C457" s="23" t="n">
        <v>130</v>
      </c>
      <c r="D457" s="22" t="n">
        <v>14</v>
      </c>
      <c r="E457" s="22" t="s">
        <v>72</v>
      </c>
      <c r="F457" s="22" t="n">
        <v>6</v>
      </c>
      <c r="G457" s="22" t="s">
        <v>51</v>
      </c>
      <c r="H457" s="22" t="n">
        <v>2.69</v>
      </c>
      <c r="I457" s="22" t="n">
        <v>26.9</v>
      </c>
      <c r="J457" s="43" t="n">
        <v>0.23</v>
      </c>
      <c r="K457" s="22" t="n">
        <v>5.84</v>
      </c>
      <c r="L457" s="22" t="n">
        <v>0.465</v>
      </c>
      <c r="M457" s="22" t="n">
        <v>11.9</v>
      </c>
      <c r="N457" s="22" t="n">
        <v>0.181</v>
      </c>
      <c r="O457" s="43" t="n">
        <v>4.6</v>
      </c>
      <c r="P457" s="22" t="n">
        <v>0.0906</v>
      </c>
      <c r="Q457" s="22" t="n">
        <v>9.06</v>
      </c>
      <c r="R457" s="22" t="n">
        <v>0.244</v>
      </c>
      <c r="S457" s="22" t="n">
        <v>244</v>
      </c>
      <c r="T457" s="22" t="n">
        <v>0.268</v>
      </c>
      <c r="U457" s="22" t="n">
        <f aca="false">C457*1</f>
        <v>130</v>
      </c>
      <c r="V457" s="22" t="n">
        <f aca="false">VLOOKUP(U457,'Powder Core Toroid OD'!$A$2:$B$36,2,0)</f>
        <v>11.2</v>
      </c>
    </row>
    <row r="458" customFormat="false" ht="14.4" hidden="true" customHeight="false" outlineLevel="0" collapsed="false">
      <c r="A458" s="45" t="n">
        <v>58150</v>
      </c>
      <c r="B458" s="22" t="s">
        <v>530</v>
      </c>
      <c r="C458" s="23" t="n">
        <v>150</v>
      </c>
      <c r="D458" s="22" t="n">
        <v>125</v>
      </c>
      <c r="E458" s="22" t="s">
        <v>72</v>
      </c>
      <c r="F458" s="22" t="n">
        <v>35</v>
      </c>
      <c r="G458" s="22" t="s">
        <v>51</v>
      </c>
      <c r="H458" s="22" t="n">
        <v>0.942</v>
      </c>
      <c r="I458" s="22" t="n">
        <v>9.42</v>
      </c>
      <c r="J458" s="22" t="n">
        <v>0.068</v>
      </c>
      <c r="K458" s="22" t="n">
        <v>1.72</v>
      </c>
      <c r="L458" s="22" t="n">
        <v>0.18</v>
      </c>
      <c r="M458" s="22" t="n">
        <v>4.58</v>
      </c>
      <c r="N458" s="22" t="n">
        <v>0.125</v>
      </c>
      <c r="O458" s="22" t="n">
        <v>3.18</v>
      </c>
      <c r="P458" s="22" t="n">
        <v>0.0211</v>
      </c>
      <c r="Q458" s="22" t="n">
        <v>2.11</v>
      </c>
      <c r="R458" s="22" t="n">
        <v>0.0199</v>
      </c>
      <c r="S458" s="22" t="n">
        <v>19.9</v>
      </c>
      <c r="T458" s="22" t="n">
        <v>0.0232</v>
      </c>
      <c r="U458" s="22" t="n">
        <f aca="false">C458*1</f>
        <v>150</v>
      </c>
      <c r="V458" s="22" t="n">
        <f aca="false">VLOOKUP(U458,'Powder Core Toroid OD'!$A$2:$B$36,2,0)</f>
        <v>3.94</v>
      </c>
    </row>
    <row r="459" customFormat="false" ht="14.4" hidden="true" customHeight="false" outlineLevel="0" collapsed="false">
      <c r="A459" s="45" t="n">
        <v>58181</v>
      </c>
      <c r="B459" s="22" t="s">
        <v>531</v>
      </c>
      <c r="C459" s="23" t="n">
        <v>180</v>
      </c>
      <c r="D459" s="22" t="n">
        <v>60</v>
      </c>
      <c r="E459" s="22" t="s">
        <v>72</v>
      </c>
      <c r="F459" s="22" t="n">
        <v>20</v>
      </c>
      <c r="G459" s="22" t="s">
        <v>51</v>
      </c>
      <c r="H459" s="22" t="n">
        <v>1.06</v>
      </c>
      <c r="I459" s="22" t="n">
        <v>10.6</v>
      </c>
      <c r="J459" s="22" t="n">
        <v>0.073</v>
      </c>
      <c r="K459" s="22" t="n">
        <v>1.85</v>
      </c>
      <c r="L459" s="22" t="n">
        <v>0.208</v>
      </c>
      <c r="M459" s="22" t="n">
        <v>5.29</v>
      </c>
      <c r="N459" s="22" t="n">
        <v>0.125</v>
      </c>
      <c r="O459" s="22" t="n">
        <v>3.18</v>
      </c>
      <c r="P459" s="22" t="n">
        <v>0.0285</v>
      </c>
      <c r="Q459" s="22" t="n">
        <v>2.85</v>
      </c>
      <c r="R459" s="22" t="n">
        <v>0.0303</v>
      </c>
      <c r="S459" s="22" t="n">
        <v>30.3</v>
      </c>
      <c r="T459" s="22" t="n">
        <v>0.0269</v>
      </c>
      <c r="U459" s="22" t="n">
        <f aca="false">C459*1</f>
        <v>180</v>
      </c>
      <c r="V459" s="22" t="n">
        <f aca="false">VLOOKUP(U459,'Powder Core Toroid OD'!$A$2:$B$36,2,0)</f>
        <v>4.65</v>
      </c>
    </row>
    <row r="460" customFormat="false" ht="14.4" hidden="true" customHeight="false" outlineLevel="0" collapsed="false">
      <c r="A460" s="45" t="n">
        <v>58190</v>
      </c>
      <c r="B460" s="22" t="s">
        <v>532</v>
      </c>
      <c r="C460" s="23" t="n">
        <v>195</v>
      </c>
      <c r="D460" s="22" t="n">
        <v>14</v>
      </c>
      <c r="E460" s="22" t="s">
        <v>72</v>
      </c>
      <c r="F460" s="22" t="n">
        <v>32</v>
      </c>
      <c r="G460" s="22" t="s">
        <v>51</v>
      </c>
      <c r="H460" s="22" t="n">
        <v>12.5</v>
      </c>
      <c r="I460" s="22" t="n">
        <v>125</v>
      </c>
      <c r="J460" s="22" t="n">
        <v>1.007</v>
      </c>
      <c r="K460" s="22" t="n">
        <v>25.57</v>
      </c>
      <c r="L460" s="22" t="n">
        <v>2.285</v>
      </c>
      <c r="M460" s="22" t="n">
        <v>58.04</v>
      </c>
      <c r="N460" s="22" t="n">
        <v>0.635</v>
      </c>
      <c r="O460" s="22" t="n">
        <v>16.2</v>
      </c>
      <c r="P460" s="22" t="n">
        <v>2.29</v>
      </c>
      <c r="Q460" s="22" t="n">
        <v>229</v>
      </c>
      <c r="R460" s="22" t="n">
        <v>28.6</v>
      </c>
      <c r="S460" s="22" t="n">
        <v>28600</v>
      </c>
      <c r="T460" s="22" t="n">
        <v>5.14</v>
      </c>
      <c r="U460" s="22" t="n">
        <f aca="false">C460*1</f>
        <v>195</v>
      </c>
      <c r="V460" s="22" t="n">
        <f aca="false">VLOOKUP(U460,'Powder Core Toroid OD'!$A$2:$B$36,2,0)</f>
        <v>57.2</v>
      </c>
    </row>
    <row r="461" customFormat="false" ht="14.4" hidden="true" customHeight="false" outlineLevel="0" collapsed="false">
      <c r="A461" s="45" t="n">
        <v>58191</v>
      </c>
      <c r="B461" s="22" t="s">
        <v>533</v>
      </c>
      <c r="C461" s="23" t="n">
        <v>195</v>
      </c>
      <c r="D461" s="22" t="n">
        <v>26</v>
      </c>
      <c r="E461" s="22" t="s">
        <v>72</v>
      </c>
      <c r="F461" s="22" t="n">
        <v>60</v>
      </c>
      <c r="G461" s="22" t="s">
        <v>51</v>
      </c>
      <c r="H461" s="22" t="n">
        <v>12.5</v>
      </c>
      <c r="I461" s="22" t="n">
        <v>125</v>
      </c>
      <c r="J461" s="22" t="n">
        <v>1.007</v>
      </c>
      <c r="K461" s="22" t="n">
        <v>25.57</v>
      </c>
      <c r="L461" s="22" t="n">
        <v>2.285</v>
      </c>
      <c r="M461" s="22" t="n">
        <v>58.04</v>
      </c>
      <c r="N461" s="22" t="n">
        <v>0.635</v>
      </c>
      <c r="O461" s="22" t="n">
        <v>16.2</v>
      </c>
      <c r="P461" s="22" t="n">
        <v>2.29</v>
      </c>
      <c r="Q461" s="22" t="n">
        <v>229</v>
      </c>
      <c r="R461" s="22" t="n">
        <v>28.6</v>
      </c>
      <c r="S461" s="22" t="n">
        <v>28600</v>
      </c>
      <c r="T461" s="22" t="n">
        <v>5.14</v>
      </c>
      <c r="U461" s="22" t="n">
        <f aca="false">C461*1</f>
        <v>195</v>
      </c>
      <c r="V461" s="22" t="n">
        <f aca="false">VLOOKUP(U461,'Powder Core Toroid OD'!$A$2:$B$36,2,0)</f>
        <v>57.2</v>
      </c>
    </row>
    <row r="462" customFormat="false" ht="14.4" hidden="true" customHeight="false" outlineLevel="0" collapsed="false">
      <c r="A462" s="45" t="n">
        <v>58192</v>
      </c>
      <c r="B462" s="22" t="s">
        <v>534</v>
      </c>
      <c r="C462" s="23" t="n">
        <v>195</v>
      </c>
      <c r="D462" s="22" t="n">
        <v>60</v>
      </c>
      <c r="E462" s="22" t="s">
        <v>72</v>
      </c>
      <c r="F462" s="22" t="n">
        <v>138</v>
      </c>
      <c r="G462" s="22" t="s">
        <v>51</v>
      </c>
      <c r="H462" s="22" t="n">
        <v>12.5</v>
      </c>
      <c r="I462" s="22" t="n">
        <v>125</v>
      </c>
      <c r="J462" s="22" t="n">
        <v>1.007</v>
      </c>
      <c r="K462" s="22" t="n">
        <v>25.57</v>
      </c>
      <c r="L462" s="22" t="n">
        <v>2.285</v>
      </c>
      <c r="M462" s="22" t="n">
        <v>58.04</v>
      </c>
      <c r="N462" s="22" t="n">
        <v>0.635</v>
      </c>
      <c r="O462" s="22" t="n">
        <v>16.2</v>
      </c>
      <c r="P462" s="22" t="n">
        <v>2.29</v>
      </c>
      <c r="Q462" s="22" t="n">
        <v>229</v>
      </c>
      <c r="R462" s="22" t="n">
        <v>28.6</v>
      </c>
      <c r="S462" s="22" t="n">
        <v>28600</v>
      </c>
      <c r="T462" s="22" t="n">
        <v>5.14</v>
      </c>
      <c r="U462" s="22" t="n">
        <f aca="false">C462*1</f>
        <v>195</v>
      </c>
      <c r="V462" s="22" t="n">
        <f aca="false">VLOOKUP(U462,'Powder Core Toroid OD'!$A$2:$B$36,2,0)</f>
        <v>57.2</v>
      </c>
    </row>
    <row r="463" customFormat="false" ht="14.4" hidden="true" customHeight="false" outlineLevel="0" collapsed="false">
      <c r="A463" s="45" t="n">
        <v>58195</v>
      </c>
      <c r="B463" s="22" t="s">
        <v>535</v>
      </c>
      <c r="C463" s="23" t="n">
        <v>195</v>
      </c>
      <c r="D463" s="22" t="n">
        <v>125</v>
      </c>
      <c r="E463" s="22" t="s">
        <v>72</v>
      </c>
      <c r="F463" s="22" t="n">
        <v>287</v>
      </c>
      <c r="G463" s="22" t="s">
        <v>51</v>
      </c>
      <c r="H463" s="22" t="n">
        <v>12.5</v>
      </c>
      <c r="I463" s="22" t="n">
        <v>125</v>
      </c>
      <c r="J463" s="22" t="n">
        <v>1.007</v>
      </c>
      <c r="K463" s="22" t="n">
        <v>25.57</v>
      </c>
      <c r="L463" s="22" t="n">
        <v>2.285</v>
      </c>
      <c r="M463" s="22" t="n">
        <v>58.04</v>
      </c>
      <c r="N463" s="22" t="n">
        <v>0.635</v>
      </c>
      <c r="O463" s="22" t="n">
        <v>16.2</v>
      </c>
      <c r="P463" s="22" t="n">
        <v>2.29</v>
      </c>
      <c r="Q463" s="22" t="n">
        <v>229</v>
      </c>
      <c r="R463" s="22" t="n">
        <v>28.6</v>
      </c>
      <c r="S463" s="22" t="n">
        <v>28600</v>
      </c>
      <c r="T463" s="22" t="n">
        <v>5.14</v>
      </c>
      <c r="U463" s="22" t="n">
        <f aca="false">C463*1</f>
        <v>195</v>
      </c>
      <c r="V463" s="22" t="n">
        <f aca="false">VLOOKUP(U463,'Powder Core Toroid OD'!$A$2:$B$36,2,0)</f>
        <v>57.2</v>
      </c>
    </row>
    <row r="464" customFormat="false" ht="14.4" hidden="true" customHeight="false" outlineLevel="0" collapsed="false">
      <c r="A464" s="45" t="n">
        <v>58204</v>
      </c>
      <c r="B464" s="22" t="s">
        <v>536</v>
      </c>
      <c r="C464" s="23" t="n">
        <v>206</v>
      </c>
      <c r="D464" s="22" t="n">
        <v>160</v>
      </c>
      <c r="E464" s="22" t="s">
        <v>72</v>
      </c>
      <c r="F464" s="22" t="n">
        <v>87</v>
      </c>
      <c r="G464" s="22" t="s">
        <v>51</v>
      </c>
      <c r="H464" s="22" t="n">
        <v>5.09</v>
      </c>
      <c r="I464" s="22" t="n">
        <v>50.9</v>
      </c>
      <c r="J464" s="22" t="n">
        <v>0.475</v>
      </c>
      <c r="K464" s="36" t="n">
        <v>12</v>
      </c>
      <c r="L464" s="43" t="n">
        <v>0.83</v>
      </c>
      <c r="M464" s="22" t="n">
        <v>21.1</v>
      </c>
      <c r="N464" s="43" t="n">
        <v>0.28</v>
      </c>
      <c r="O464" s="22" t="n">
        <v>7.12</v>
      </c>
      <c r="P464" s="22" t="n">
        <v>0.221</v>
      </c>
      <c r="Q464" s="22" t="n">
        <v>22.1</v>
      </c>
      <c r="R464" s="42" t="n">
        <v>1.12</v>
      </c>
      <c r="S464" s="22" t="n">
        <v>1120</v>
      </c>
      <c r="T464" s="22" t="n">
        <v>1.14</v>
      </c>
      <c r="U464" s="22" t="n">
        <f aca="false">C464*1</f>
        <v>206</v>
      </c>
      <c r="V464" s="22" t="n">
        <f aca="false">VLOOKUP(U464,'Powder Core Toroid OD'!$A$2:$B$36,2,0)</f>
        <v>20.3</v>
      </c>
    </row>
    <row r="465" customFormat="false" ht="14.4" hidden="true" customHeight="false" outlineLevel="0" collapsed="false">
      <c r="A465" s="45" t="n">
        <v>58205</v>
      </c>
      <c r="B465" s="22" t="s">
        <v>537</v>
      </c>
      <c r="C465" s="23" t="n">
        <v>206</v>
      </c>
      <c r="D465" s="22" t="n">
        <v>147</v>
      </c>
      <c r="E465" s="22" t="s">
        <v>72</v>
      </c>
      <c r="F465" s="22" t="n">
        <v>81</v>
      </c>
      <c r="G465" s="22" t="s">
        <v>51</v>
      </c>
      <c r="H465" s="22" t="n">
        <v>5.09</v>
      </c>
      <c r="I465" s="22" t="n">
        <v>50.9</v>
      </c>
      <c r="J465" s="22" t="n">
        <v>0.475</v>
      </c>
      <c r="K465" s="36" t="n">
        <v>12</v>
      </c>
      <c r="L465" s="43" t="n">
        <v>0.83</v>
      </c>
      <c r="M465" s="22" t="n">
        <v>21.1</v>
      </c>
      <c r="N465" s="43" t="n">
        <v>0.28</v>
      </c>
      <c r="O465" s="22" t="n">
        <v>7.12</v>
      </c>
      <c r="P465" s="22" t="n">
        <v>0.221</v>
      </c>
      <c r="Q465" s="22" t="n">
        <v>22.1</v>
      </c>
      <c r="R465" s="42" t="n">
        <v>1.12</v>
      </c>
      <c r="S465" s="22" t="n">
        <v>1120</v>
      </c>
      <c r="T465" s="22" t="n">
        <v>1.14</v>
      </c>
      <c r="U465" s="22" t="n">
        <f aca="false">C465*1</f>
        <v>206</v>
      </c>
      <c r="V465" s="22" t="n">
        <f aca="false">VLOOKUP(U465,'Powder Core Toroid OD'!$A$2:$B$36,2,0)</f>
        <v>20.3</v>
      </c>
    </row>
    <row r="466" customFormat="false" ht="14.4" hidden="true" customHeight="false" outlineLevel="0" collapsed="false">
      <c r="A466" s="45" t="n">
        <v>58206</v>
      </c>
      <c r="B466" s="22" t="s">
        <v>538</v>
      </c>
      <c r="C466" s="23" t="n">
        <v>206</v>
      </c>
      <c r="D466" s="22" t="n">
        <v>125</v>
      </c>
      <c r="E466" s="22" t="s">
        <v>72</v>
      </c>
      <c r="F466" s="22" t="n">
        <v>68</v>
      </c>
      <c r="G466" s="22" t="s">
        <v>51</v>
      </c>
      <c r="H466" s="22" t="n">
        <v>5.09</v>
      </c>
      <c r="I466" s="22" t="n">
        <v>50.9</v>
      </c>
      <c r="J466" s="22" t="n">
        <v>0.475</v>
      </c>
      <c r="K466" s="36" t="n">
        <v>12</v>
      </c>
      <c r="L466" s="43" t="n">
        <v>0.83</v>
      </c>
      <c r="M466" s="22" t="n">
        <v>21.1</v>
      </c>
      <c r="N466" s="43" t="n">
        <v>0.28</v>
      </c>
      <c r="O466" s="22" t="n">
        <v>7.12</v>
      </c>
      <c r="P466" s="22" t="n">
        <v>0.221</v>
      </c>
      <c r="Q466" s="22" t="n">
        <v>22.1</v>
      </c>
      <c r="R466" s="42" t="n">
        <v>1.12</v>
      </c>
      <c r="S466" s="22" t="n">
        <v>1120</v>
      </c>
      <c r="T466" s="22" t="n">
        <v>1.14</v>
      </c>
      <c r="U466" s="22" t="n">
        <f aca="false">C466*1</f>
        <v>206</v>
      </c>
      <c r="V466" s="22" t="n">
        <f aca="false">VLOOKUP(U466,'Powder Core Toroid OD'!$A$2:$B$36,2,0)</f>
        <v>20.3</v>
      </c>
    </row>
    <row r="467" customFormat="false" ht="14.4" hidden="true" customHeight="false" outlineLevel="0" collapsed="false">
      <c r="A467" s="45" t="n">
        <v>58208</v>
      </c>
      <c r="B467" s="22" t="s">
        <v>539</v>
      </c>
      <c r="C467" s="23" t="n">
        <v>206</v>
      </c>
      <c r="D467" s="22" t="n">
        <v>26</v>
      </c>
      <c r="E467" s="22" t="s">
        <v>72</v>
      </c>
      <c r="F467" s="22" t="n">
        <v>14</v>
      </c>
      <c r="G467" s="22" t="s">
        <v>51</v>
      </c>
      <c r="H467" s="22" t="n">
        <v>5.09</v>
      </c>
      <c r="I467" s="22" t="n">
        <v>50.9</v>
      </c>
      <c r="J467" s="22" t="n">
        <v>0.475</v>
      </c>
      <c r="K467" s="36" t="n">
        <v>12</v>
      </c>
      <c r="L467" s="43" t="n">
        <v>0.83</v>
      </c>
      <c r="M467" s="22" t="n">
        <v>21.1</v>
      </c>
      <c r="N467" s="43" t="n">
        <v>0.28</v>
      </c>
      <c r="O467" s="22" t="n">
        <v>7.12</v>
      </c>
      <c r="P467" s="22" t="n">
        <v>0.221</v>
      </c>
      <c r="Q467" s="22" t="n">
        <v>22.1</v>
      </c>
      <c r="R467" s="42" t="n">
        <v>1.12</v>
      </c>
      <c r="S467" s="22" t="n">
        <v>1120</v>
      </c>
      <c r="T467" s="22" t="n">
        <v>1.14</v>
      </c>
      <c r="U467" s="22" t="n">
        <f aca="false">C467*1</f>
        <v>206</v>
      </c>
      <c r="V467" s="22" t="n">
        <f aca="false">VLOOKUP(U467,'Powder Core Toroid OD'!$A$2:$B$36,2,0)</f>
        <v>20.3</v>
      </c>
    </row>
    <row r="468" customFormat="false" ht="14.4" hidden="true" customHeight="false" outlineLevel="0" collapsed="false">
      <c r="A468" s="45" t="n">
        <v>58209</v>
      </c>
      <c r="B468" s="22" t="s">
        <v>540</v>
      </c>
      <c r="C468" s="23" t="n">
        <v>206</v>
      </c>
      <c r="D468" s="22" t="n">
        <v>14</v>
      </c>
      <c r="E468" s="22" t="s">
        <v>72</v>
      </c>
      <c r="F468" s="22" t="n">
        <v>7.8</v>
      </c>
      <c r="G468" s="22" t="s">
        <v>51</v>
      </c>
      <c r="H468" s="22" t="n">
        <v>5.09</v>
      </c>
      <c r="I468" s="22" t="n">
        <v>50.9</v>
      </c>
      <c r="J468" s="22" t="n">
        <v>0.475</v>
      </c>
      <c r="K468" s="36" t="n">
        <v>12</v>
      </c>
      <c r="L468" s="43" t="n">
        <v>0.83</v>
      </c>
      <c r="M468" s="22" t="n">
        <v>21.1</v>
      </c>
      <c r="N468" s="43" t="n">
        <v>0.28</v>
      </c>
      <c r="O468" s="22" t="n">
        <v>7.12</v>
      </c>
      <c r="P468" s="22" t="n">
        <v>0.221</v>
      </c>
      <c r="Q468" s="22" t="n">
        <v>22.1</v>
      </c>
      <c r="R468" s="42" t="n">
        <v>1.12</v>
      </c>
      <c r="S468" s="22" t="n">
        <v>1120</v>
      </c>
      <c r="T468" s="22" t="n">
        <v>1.14</v>
      </c>
      <c r="U468" s="22" t="n">
        <f aca="false">C468*1</f>
        <v>206</v>
      </c>
      <c r="V468" s="22" t="n">
        <f aca="false">VLOOKUP(U468,'Powder Core Toroid OD'!$A$2:$B$36,2,0)</f>
        <v>20.3</v>
      </c>
    </row>
    <row r="469" customFormat="false" ht="14.4" hidden="true" customHeight="false" outlineLevel="0" collapsed="false">
      <c r="A469" s="45" t="n">
        <v>58238</v>
      </c>
      <c r="B469" s="22" t="s">
        <v>541</v>
      </c>
      <c r="C469" s="23" t="n">
        <v>240</v>
      </c>
      <c r="D469" s="22" t="n">
        <v>160</v>
      </c>
      <c r="E469" s="22" t="s">
        <v>72</v>
      </c>
      <c r="F469" s="22" t="n">
        <v>69</v>
      </c>
      <c r="G469" s="22" t="s">
        <v>51</v>
      </c>
      <c r="H469" s="22" t="n">
        <v>1.36</v>
      </c>
      <c r="I469" s="22" t="n">
        <v>13.6</v>
      </c>
      <c r="J469" s="22" t="n">
        <v>0.085</v>
      </c>
      <c r="K469" s="22" t="n">
        <v>2.15</v>
      </c>
      <c r="L469" s="22" t="n">
        <v>0.285</v>
      </c>
      <c r="M469" s="22" t="n">
        <v>7.24</v>
      </c>
      <c r="N469" s="22" t="n">
        <v>0.125</v>
      </c>
      <c r="O469" s="22" t="n">
        <v>3.18</v>
      </c>
      <c r="P469" s="22" t="n">
        <v>0.0476</v>
      </c>
      <c r="Q469" s="22" t="n">
        <v>4.76</v>
      </c>
      <c r="R469" s="22" t="n">
        <v>0.0649</v>
      </c>
      <c r="S469" s="22" t="n">
        <v>64.9</v>
      </c>
      <c r="T469" s="22" t="n">
        <v>0.0363</v>
      </c>
      <c r="U469" s="22" t="n">
        <f aca="false">C469*1</f>
        <v>240</v>
      </c>
      <c r="V469" s="22" t="n">
        <f aca="false">VLOOKUP(U469,'Powder Core Toroid OD'!$A$2:$B$36,2,0)</f>
        <v>6.6</v>
      </c>
    </row>
    <row r="470" customFormat="false" ht="14.4" hidden="true" customHeight="false" outlineLevel="0" collapsed="false">
      <c r="A470" s="45" t="n">
        <v>58239</v>
      </c>
      <c r="B470" s="22" t="s">
        <v>542</v>
      </c>
      <c r="C470" s="23" t="n">
        <v>240</v>
      </c>
      <c r="D470" s="22" t="n">
        <v>147</v>
      </c>
      <c r="E470" s="22" t="s">
        <v>72</v>
      </c>
      <c r="F470" s="22" t="n">
        <v>64</v>
      </c>
      <c r="G470" s="22" t="s">
        <v>51</v>
      </c>
      <c r="H470" s="22" t="n">
        <v>1.36</v>
      </c>
      <c r="I470" s="22" t="n">
        <v>13.6</v>
      </c>
      <c r="J470" s="22" t="n">
        <v>0.085</v>
      </c>
      <c r="K470" s="22" t="n">
        <v>2.15</v>
      </c>
      <c r="L470" s="22" t="n">
        <v>0.285</v>
      </c>
      <c r="M470" s="22" t="n">
        <v>7.24</v>
      </c>
      <c r="N470" s="22" t="n">
        <v>0.125</v>
      </c>
      <c r="O470" s="22" t="n">
        <v>3.18</v>
      </c>
      <c r="P470" s="22" t="n">
        <v>0.0476</v>
      </c>
      <c r="Q470" s="22" t="n">
        <v>4.76</v>
      </c>
      <c r="R470" s="22" t="n">
        <v>0.0649</v>
      </c>
      <c r="S470" s="22" t="n">
        <v>64.9</v>
      </c>
      <c r="T470" s="22" t="n">
        <v>0.0363</v>
      </c>
      <c r="U470" s="22" t="n">
        <f aca="false">C470*1</f>
        <v>240</v>
      </c>
      <c r="V470" s="22" t="n">
        <f aca="false">VLOOKUP(U470,'Powder Core Toroid OD'!$A$2:$B$36,2,0)</f>
        <v>6.6</v>
      </c>
    </row>
    <row r="471" customFormat="false" ht="14.4" hidden="true" customHeight="false" outlineLevel="0" collapsed="false">
      <c r="A471" s="45" t="n">
        <v>58240</v>
      </c>
      <c r="B471" s="22" t="s">
        <v>543</v>
      </c>
      <c r="C471" s="23" t="n">
        <v>240</v>
      </c>
      <c r="D471" s="22" t="n">
        <v>125</v>
      </c>
      <c r="E471" s="22" t="s">
        <v>72</v>
      </c>
      <c r="F471" s="22" t="n">
        <v>54</v>
      </c>
      <c r="G471" s="22" t="s">
        <v>51</v>
      </c>
      <c r="H471" s="22" t="n">
        <v>1.36</v>
      </c>
      <c r="I471" s="22" t="n">
        <v>13.6</v>
      </c>
      <c r="J471" s="22" t="n">
        <v>0.085</v>
      </c>
      <c r="K471" s="22" t="n">
        <v>2.15</v>
      </c>
      <c r="L471" s="22" t="n">
        <v>0.285</v>
      </c>
      <c r="M471" s="22" t="n">
        <v>7.24</v>
      </c>
      <c r="N471" s="22" t="n">
        <v>0.125</v>
      </c>
      <c r="O471" s="22" t="n">
        <v>3.18</v>
      </c>
      <c r="P471" s="22" t="n">
        <v>0.0476</v>
      </c>
      <c r="Q471" s="22" t="n">
        <v>4.76</v>
      </c>
      <c r="R471" s="22" t="n">
        <v>0.0649</v>
      </c>
      <c r="S471" s="22" t="n">
        <v>64.9</v>
      </c>
      <c r="T471" s="22" t="n">
        <v>0.0363</v>
      </c>
      <c r="U471" s="22" t="n">
        <f aca="false">C471*1</f>
        <v>240</v>
      </c>
      <c r="V471" s="22" t="n">
        <f aca="false">VLOOKUP(U471,'Powder Core Toroid OD'!$A$2:$B$36,2,0)</f>
        <v>6.6</v>
      </c>
    </row>
    <row r="472" customFormat="false" ht="14.4" hidden="true" customHeight="false" outlineLevel="0" collapsed="false">
      <c r="A472" s="45" t="n">
        <v>58241</v>
      </c>
      <c r="B472" s="22" t="s">
        <v>544</v>
      </c>
      <c r="C472" s="23" t="n">
        <v>240</v>
      </c>
      <c r="D472" s="22" t="n">
        <v>60</v>
      </c>
      <c r="E472" s="22" t="s">
        <v>72</v>
      </c>
      <c r="F472" s="22" t="n">
        <v>26</v>
      </c>
      <c r="G472" s="22" t="s">
        <v>51</v>
      </c>
      <c r="H472" s="22" t="n">
        <v>1.36</v>
      </c>
      <c r="I472" s="22" t="n">
        <v>13.6</v>
      </c>
      <c r="J472" s="22" t="n">
        <v>0.085</v>
      </c>
      <c r="K472" s="22" t="n">
        <v>2.15</v>
      </c>
      <c r="L472" s="22" t="n">
        <v>0.285</v>
      </c>
      <c r="M472" s="22" t="n">
        <v>7.24</v>
      </c>
      <c r="N472" s="22" t="n">
        <v>0.125</v>
      </c>
      <c r="O472" s="22" t="n">
        <v>3.18</v>
      </c>
      <c r="P472" s="22" t="n">
        <v>0.0476</v>
      </c>
      <c r="Q472" s="22" t="n">
        <v>4.76</v>
      </c>
      <c r="R472" s="22" t="n">
        <v>0.0649</v>
      </c>
      <c r="S472" s="22" t="n">
        <v>64.9</v>
      </c>
      <c r="T472" s="22" t="n">
        <v>0.0363</v>
      </c>
      <c r="U472" s="22" t="n">
        <f aca="false">C472*1</f>
        <v>240</v>
      </c>
      <c r="V472" s="22" t="n">
        <f aca="false">VLOOKUP(U472,'Powder Core Toroid OD'!$A$2:$B$36,2,0)</f>
        <v>6.6</v>
      </c>
    </row>
    <row r="473" customFormat="false" ht="14.4" hidden="true" customHeight="false" outlineLevel="0" collapsed="false">
      <c r="A473" s="45" t="n">
        <v>58243</v>
      </c>
      <c r="B473" s="22" t="s">
        <v>545</v>
      </c>
      <c r="C473" s="23" t="n">
        <v>240</v>
      </c>
      <c r="D473" s="22" t="n">
        <v>14</v>
      </c>
      <c r="E473" s="22" t="s">
        <v>72</v>
      </c>
      <c r="F473" s="22" t="n">
        <v>6</v>
      </c>
      <c r="G473" s="22" t="s">
        <v>51</v>
      </c>
      <c r="H473" s="22" t="n">
        <v>1.36</v>
      </c>
      <c r="I473" s="22" t="n">
        <v>13.6</v>
      </c>
      <c r="J473" s="22" t="n">
        <v>0.085</v>
      </c>
      <c r="K473" s="22" t="n">
        <v>2.15</v>
      </c>
      <c r="L473" s="22" t="n">
        <v>0.285</v>
      </c>
      <c r="M473" s="22" t="n">
        <v>7.24</v>
      </c>
      <c r="N473" s="22" t="n">
        <v>0.125</v>
      </c>
      <c r="O473" s="22" t="n">
        <v>3.18</v>
      </c>
      <c r="P473" s="22" t="n">
        <v>0.0476</v>
      </c>
      <c r="Q473" s="22" t="n">
        <v>4.76</v>
      </c>
      <c r="R473" s="22" t="n">
        <v>0.0649</v>
      </c>
      <c r="S473" s="22" t="n">
        <v>64.9</v>
      </c>
      <c r="T473" s="22" t="n">
        <v>0.0363</v>
      </c>
      <c r="U473" s="22" t="n">
        <f aca="false">C473*1</f>
        <v>240</v>
      </c>
      <c r="V473" s="22" t="n">
        <f aca="false">VLOOKUP(U473,'Powder Core Toroid OD'!$A$2:$B$36,2,0)</f>
        <v>6.6</v>
      </c>
    </row>
    <row r="474" customFormat="false" ht="14.4" hidden="true" customHeight="false" outlineLevel="0" collapsed="false">
      <c r="A474" s="45" t="n">
        <v>58252</v>
      </c>
      <c r="B474" s="22" t="s">
        <v>546</v>
      </c>
      <c r="C474" s="23" t="n">
        <v>254</v>
      </c>
      <c r="D474" s="22" t="n">
        <v>160</v>
      </c>
      <c r="E474" s="22" t="s">
        <v>72</v>
      </c>
      <c r="F474" s="22" t="n">
        <v>215</v>
      </c>
      <c r="G474" s="22" t="s">
        <v>51</v>
      </c>
      <c r="H474" s="22" t="n">
        <v>9.84</v>
      </c>
      <c r="I474" s="22" t="n">
        <v>98.4</v>
      </c>
      <c r="J474" s="22" t="n">
        <v>0.918</v>
      </c>
      <c r="K474" s="22" t="n">
        <v>23.3</v>
      </c>
      <c r="L474" s="22" t="n">
        <v>1.605</v>
      </c>
      <c r="M474" s="22" t="n">
        <v>40.77</v>
      </c>
      <c r="N474" s="22" t="n">
        <v>0.605</v>
      </c>
      <c r="O474" s="22" t="n">
        <v>15.4</v>
      </c>
      <c r="P474" s="22" t="n">
        <v>1.07</v>
      </c>
      <c r="Q474" s="22" t="n">
        <v>107</v>
      </c>
      <c r="R474" s="36" t="n">
        <v>10.6</v>
      </c>
      <c r="S474" s="22" t="n">
        <v>10600</v>
      </c>
      <c r="T474" s="22" t="n">
        <v>4.27</v>
      </c>
      <c r="U474" s="22" t="n">
        <f aca="false">C474*1</f>
        <v>254</v>
      </c>
      <c r="V474" s="22" t="n">
        <f aca="false">VLOOKUP(U474,'Powder Core Toroid OD'!$A$2:$B$36,2,0)</f>
        <v>39.9</v>
      </c>
    </row>
    <row r="475" customFormat="false" ht="14.4" hidden="true" customHeight="false" outlineLevel="0" collapsed="false">
      <c r="A475" s="45" t="n">
        <v>58253</v>
      </c>
      <c r="B475" s="22" t="s">
        <v>547</v>
      </c>
      <c r="C475" s="23" t="n">
        <v>254</v>
      </c>
      <c r="D475" s="22" t="n">
        <v>147</v>
      </c>
      <c r="E475" s="22" t="s">
        <v>72</v>
      </c>
      <c r="F475" s="22" t="n">
        <v>198</v>
      </c>
      <c r="G475" s="22" t="s">
        <v>51</v>
      </c>
      <c r="H475" s="22" t="n">
        <v>9.84</v>
      </c>
      <c r="I475" s="22" t="n">
        <v>98.4</v>
      </c>
      <c r="J475" s="22" t="n">
        <v>0.918</v>
      </c>
      <c r="K475" s="22" t="n">
        <v>23.3</v>
      </c>
      <c r="L475" s="22" t="n">
        <v>1.605</v>
      </c>
      <c r="M475" s="22" t="n">
        <v>40.77</v>
      </c>
      <c r="N475" s="22" t="n">
        <v>0.605</v>
      </c>
      <c r="O475" s="22" t="n">
        <v>15.4</v>
      </c>
      <c r="P475" s="22" t="n">
        <v>1.07</v>
      </c>
      <c r="Q475" s="22" t="n">
        <v>107</v>
      </c>
      <c r="R475" s="36" t="n">
        <v>10.6</v>
      </c>
      <c r="S475" s="22" t="n">
        <v>10600</v>
      </c>
      <c r="T475" s="22" t="n">
        <v>4.27</v>
      </c>
      <c r="U475" s="22" t="n">
        <f aca="false">C475*1</f>
        <v>254</v>
      </c>
      <c r="V475" s="22" t="n">
        <f aca="false">VLOOKUP(U475,'Powder Core Toroid OD'!$A$2:$B$36,2,0)</f>
        <v>39.9</v>
      </c>
    </row>
    <row r="476" customFormat="false" ht="14.4" hidden="true" customHeight="false" outlineLevel="0" collapsed="false">
      <c r="A476" s="45" t="n">
        <v>58254</v>
      </c>
      <c r="B476" s="22" t="s">
        <v>548</v>
      </c>
      <c r="C476" s="23" t="n">
        <v>254</v>
      </c>
      <c r="D476" s="22" t="n">
        <v>125</v>
      </c>
      <c r="E476" s="22" t="s">
        <v>72</v>
      </c>
      <c r="F476" s="22" t="n">
        <v>168</v>
      </c>
      <c r="G476" s="22" t="s">
        <v>51</v>
      </c>
      <c r="H476" s="22" t="n">
        <v>9.84</v>
      </c>
      <c r="I476" s="22" t="n">
        <v>98.4</v>
      </c>
      <c r="J476" s="22" t="n">
        <v>0.918</v>
      </c>
      <c r="K476" s="22" t="n">
        <v>23.3</v>
      </c>
      <c r="L476" s="22" t="n">
        <v>1.605</v>
      </c>
      <c r="M476" s="22" t="n">
        <v>40.77</v>
      </c>
      <c r="N476" s="22" t="n">
        <v>0.605</v>
      </c>
      <c r="O476" s="22" t="n">
        <v>15.4</v>
      </c>
      <c r="P476" s="22" t="n">
        <v>1.07</v>
      </c>
      <c r="Q476" s="22" t="n">
        <v>107</v>
      </c>
      <c r="R476" s="36" t="n">
        <v>10.6</v>
      </c>
      <c r="S476" s="22" t="n">
        <v>10600</v>
      </c>
      <c r="T476" s="22" t="n">
        <v>4.27</v>
      </c>
      <c r="U476" s="22" t="n">
        <f aca="false">C476*1</f>
        <v>254</v>
      </c>
      <c r="V476" s="22" t="n">
        <f aca="false">VLOOKUP(U476,'Powder Core Toroid OD'!$A$2:$B$36,2,0)</f>
        <v>39.9</v>
      </c>
    </row>
    <row r="477" customFormat="false" ht="14.4" hidden="true" customHeight="false" outlineLevel="0" collapsed="false">
      <c r="A477" s="45" t="n">
        <v>58256</v>
      </c>
      <c r="B477" s="22" t="s">
        <v>549</v>
      </c>
      <c r="C477" s="23" t="n">
        <v>254</v>
      </c>
      <c r="D477" s="22" t="n">
        <v>26</v>
      </c>
      <c r="E477" s="22" t="s">
        <v>72</v>
      </c>
      <c r="F477" s="22" t="n">
        <v>35</v>
      </c>
      <c r="G477" s="22" t="s">
        <v>51</v>
      </c>
      <c r="H477" s="22" t="n">
        <v>9.84</v>
      </c>
      <c r="I477" s="22" t="n">
        <v>98.4</v>
      </c>
      <c r="J477" s="22" t="n">
        <v>0.918</v>
      </c>
      <c r="K477" s="22" t="n">
        <v>23.3</v>
      </c>
      <c r="L477" s="22" t="n">
        <v>1.605</v>
      </c>
      <c r="M477" s="22" t="n">
        <v>40.77</v>
      </c>
      <c r="N477" s="22" t="n">
        <v>0.605</v>
      </c>
      <c r="O477" s="22" t="n">
        <v>15.4</v>
      </c>
      <c r="P477" s="22" t="n">
        <v>1.07</v>
      </c>
      <c r="Q477" s="22" t="n">
        <v>107</v>
      </c>
      <c r="R477" s="36" t="n">
        <v>10.6</v>
      </c>
      <c r="S477" s="22" t="n">
        <v>10600</v>
      </c>
      <c r="T477" s="22" t="n">
        <v>4.27</v>
      </c>
      <c r="U477" s="22" t="n">
        <f aca="false">C477*1</f>
        <v>254</v>
      </c>
      <c r="V477" s="22" t="n">
        <f aca="false">VLOOKUP(U477,'Powder Core Toroid OD'!$A$2:$B$36,2,0)</f>
        <v>39.9</v>
      </c>
    </row>
    <row r="478" customFormat="false" ht="14.4" hidden="true" customHeight="false" outlineLevel="0" collapsed="false">
      <c r="A478" s="45" t="n">
        <v>58257</v>
      </c>
      <c r="B478" s="22" t="s">
        <v>550</v>
      </c>
      <c r="C478" s="23" t="n">
        <v>254</v>
      </c>
      <c r="D478" s="22" t="n">
        <v>14</v>
      </c>
      <c r="E478" s="22" t="s">
        <v>72</v>
      </c>
      <c r="F478" s="22" t="n">
        <v>19</v>
      </c>
      <c r="G478" s="22" t="s">
        <v>51</v>
      </c>
      <c r="H478" s="22" t="n">
        <v>9.84</v>
      </c>
      <c r="I478" s="22" t="n">
        <v>98.4</v>
      </c>
      <c r="J478" s="22" t="n">
        <v>0.918</v>
      </c>
      <c r="K478" s="22" t="n">
        <v>23.3</v>
      </c>
      <c r="L478" s="22" t="n">
        <v>1.605</v>
      </c>
      <c r="M478" s="22" t="n">
        <v>40.77</v>
      </c>
      <c r="N478" s="22" t="n">
        <v>0.605</v>
      </c>
      <c r="O478" s="22" t="n">
        <v>15.4</v>
      </c>
      <c r="P478" s="22" t="n">
        <v>1.07</v>
      </c>
      <c r="Q478" s="22" t="n">
        <v>107</v>
      </c>
      <c r="R478" s="36" t="n">
        <v>10.6</v>
      </c>
      <c r="S478" s="22" t="n">
        <v>10600</v>
      </c>
      <c r="T478" s="22" t="n">
        <v>4.27</v>
      </c>
      <c r="U478" s="22" t="n">
        <f aca="false">C478*1</f>
        <v>254</v>
      </c>
      <c r="V478" s="22" t="n">
        <f aca="false">VLOOKUP(U478,'Powder Core Toroid OD'!$A$2:$B$36,2,0)</f>
        <v>39.9</v>
      </c>
    </row>
    <row r="479" customFormat="false" ht="14.4" hidden="true" customHeight="false" outlineLevel="0" collapsed="false">
      <c r="A479" s="45" t="n">
        <v>58268</v>
      </c>
      <c r="B479" s="22" t="s">
        <v>551</v>
      </c>
      <c r="C479" s="23" t="n">
        <v>270</v>
      </c>
      <c r="D479" s="22" t="n">
        <v>160</v>
      </c>
      <c r="E479" s="22" t="s">
        <v>72</v>
      </c>
      <c r="F479" s="22" t="n">
        <v>132</v>
      </c>
      <c r="G479" s="22" t="s">
        <v>51</v>
      </c>
      <c r="H479" s="22" t="n">
        <v>1.36</v>
      </c>
      <c r="I479" s="22" t="n">
        <v>13.6</v>
      </c>
      <c r="J479" s="22" t="n">
        <v>0.085</v>
      </c>
      <c r="K479" s="22" t="n">
        <v>2.15</v>
      </c>
      <c r="L479" s="22" t="n">
        <v>0.285</v>
      </c>
      <c r="M479" s="22" t="n">
        <v>7.24</v>
      </c>
      <c r="N479" s="22" t="n">
        <v>0.213</v>
      </c>
      <c r="O479" s="22" t="n">
        <v>5.42</v>
      </c>
      <c r="P479" s="22" t="n">
        <v>0.092</v>
      </c>
      <c r="Q479" s="22" t="n">
        <v>9.2</v>
      </c>
      <c r="R479" s="22" t="n">
        <v>0.125</v>
      </c>
      <c r="S479" s="22" t="n">
        <v>125</v>
      </c>
      <c r="T479" s="22" t="n">
        <v>0.0363</v>
      </c>
      <c r="U479" s="22" t="n">
        <f aca="false">C479*1</f>
        <v>270</v>
      </c>
      <c r="V479" s="22" t="n">
        <f aca="false">VLOOKUP(U479,'Powder Core Toroid OD'!$A$2:$B$36,2,0)</f>
        <v>6.6</v>
      </c>
    </row>
    <row r="480" customFormat="false" ht="14.4" hidden="true" customHeight="false" outlineLevel="0" collapsed="false">
      <c r="A480" s="45" t="n">
        <v>58270</v>
      </c>
      <c r="B480" s="22" t="s">
        <v>552</v>
      </c>
      <c r="C480" s="23" t="n">
        <v>270</v>
      </c>
      <c r="D480" s="22" t="n">
        <v>125</v>
      </c>
      <c r="E480" s="22" t="s">
        <v>72</v>
      </c>
      <c r="F480" s="22" t="n">
        <v>103</v>
      </c>
      <c r="G480" s="22" t="s">
        <v>51</v>
      </c>
      <c r="H480" s="22" t="n">
        <v>1.36</v>
      </c>
      <c r="I480" s="22" t="n">
        <v>13.6</v>
      </c>
      <c r="J480" s="22" t="n">
        <v>0.085</v>
      </c>
      <c r="K480" s="22" t="n">
        <v>2.15</v>
      </c>
      <c r="L480" s="22" t="n">
        <v>0.285</v>
      </c>
      <c r="M480" s="22" t="n">
        <v>7.24</v>
      </c>
      <c r="N480" s="22" t="n">
        <v>0.213</v>
      </c>
      <c r="O480" s="22" t="n">
        <v>5.42</v>
      </c>
      <c r="P480" s="22" t="n">
        <v>0.092</v>
      </c>
      <c r="Q480" s="22" t="n">
        <v>9.2</v>
      </c>
      <c r="R480" s="22" t="n">
        <v>0.125</v>
      </c>
      <c r="S480" s="22" t="n">
        <v>125</v>
      </c>
      <c r="T480" s="22" t="n">
        <v>0.0363</v>
      </c>
      <c r="U480" s="22" t="n">
        <f aca="false">C480*1</f>
        <v>270</v>
      </c>
      <c r="V480" s="22" t="n">
        <f aca="false">VLOOKUP(U480,'Powder Core Toroid OD'!$A$2:$B$36,2,0)</f>
        <v>6.6</v>
      </c>
    </row>
    <row r="481" customFormat="false" ht="14.4" hidden="true" customHeight="false" outlineLevel="0" collapsed="false">
      <c r="A481" s="45" t="n">
        <v>58271</v>
      </c>
      <c r="B481" s="22" t="s">
        <v>553</v>
      </c>
      <c r="C481" s="23" t="n">
        <v>270</v>
      </c>
      <c r="D481" s="22" t="n">
        <v>60</v>
      </c>
      <c r="E481" s="22" t="s">
        <v>72</v>
      </c>
      <c r="F481" s="22" t="n">
        <v>50</v>
      </c>
      <c r="G481" s="22" t="s">
        <v>51</v>
      </c>
      <c r="H481" s="22" t="n">
        <v>1.36</v>
      </c>
      <c r="I481" s="22" t="n">
        <v>13.6</v>
      </c>
      <c r="J481" s="22" t="n">
        <v>0.085</v>
      </c>
      <c r="K481" s="22" t="n">
        <v>2.15</v>
      </c>
      <c r="L481" s="22" t="n">
        <v>0.285</v>
      </c>
      <c r="M481" s="22" t="n">
        <v>7.24</v>
      </c>
      <c r="N481" s="22" t="n">
        <v>0.213</v>
      </c>
      <c r="O481" s="22" t="n">
        <v>5.42</v>
      </c>
      <c r="P481" s="22" t="n">
        <v>0.092</v>
      </c>
      <c r="Q481" s="22" t="n">
        <v>9.2</v>
      </c>
      <c r="R481" s="22" t="n">
        <v>0.125</v>
      </c>
      <c r="S481" s="22" t="n">
        <v>125</v>
      </c>
      <c r="T481" s="22" t="n">
        <v>0.0363</v>
      </c>
      <c r="U481" s="22" t="n">
        <f aca="false">C481*1</f>
        <v>270</v>
      </c>
      <c r="V481" s="22" t="n">
        <f aca="false">VLOOKUP(U481,'Powder Core Toroid OD'!$A$2:$B$36,2,0)</f>
        <v>6.6</v>
      </c>
    </row>
    <row r="482" customFormat="false" ht="14.4" hidden="true" customHeight="false" outlineLevel="0" collapsed="false">
      <c r="A482" s="45" t="n">
        <v>58273</v>
      </c>
      <c r="B482" s="22" t="s">
        <v>554</v>
      </c>
      <c r="C482" s="23" t="n">
        <v>270</v>
      </c>
      <c r="D482" s="22" t="n">
        <v>14</v>
      </c>
      <c r="E482" s="22" t="s">
        <v>72</v>
      </c>
      <c r="F482" s="22" t="n">
        <v>12</v>
      </c>
      <c r="G482" s="22" t="s">
        <v>51</v>
      </c>
      <c r="H482" s="22" t="n">
        <v>1.36</v>
      </c>
      <c r="I482" s="22" t="n">
        <v>13.6</v>
      </c>
      <c r="J482" s="22" t="n">
        <v>0.085</v>
      </c>
      <c r="K482" s="22" t="n">
        <v>2.15</v>
      </c>
      <c r="L482" s="22" t="n">
        <v>0.285</v>
      </c>
      <c r="M482" s="22" t="n">
        <v>7.24</v>
      </c>
      <c r="N482" s="22" t="n">
        <v>0.213</v>
      </c>
      <c r="O482" s="22" t="n">
        <v>5.42</v>
      </c>
      <c r="P482" s="22" t="n">
        <v>0.092</v>
      </c>
      <c r="Q482" s="22" t="n">
        <v>9.2</v>
      </c>
      <c r="R482" s="22" t="n">
        <v>0.125</v>
      </c>
      <c r="S482" s="22" t="n">
        <v>125</v>
      </c>
      <c r="T482" s="22" t="n">
        <v>0.0363</v>
      </c>
      <c r="U482" s="22" t="n">
        <f aca="false">C482*1</f>
        <v>270</v>
      </c>
      <c r="V482" s="22" t="n">
        <f aca="false">VLOOKUP(U482,'Powder Core Toroid OD'!$A$2:$B$36,2,0)</f>
        <v>6.6</v>
      </c>
    </row>
    <row r="483" customFormat="false" ht="14.4" hidden="true" customHeight="false" outlineLevel="0" collapsed="false">
      <c r="A483" s="45" t="n">
        <v>58278</v>
      </c>
      <c r="B483" s="22" t="s">
        <v>555</v>
      </c>
      <c r="C483" s="23" t="n">
        <v>280</v>
      </c>
      <c r="D483" s="22" t="n">
        <v>160</v>
      </c>
      <c r="E483" s="22" t="s">
        <v>72</v>
      </c>
      <c r="F483" s="22" t="n">
        <v>68</v>
      </c>
      <c r="G483" s="22" t="s">
        <v>51</v>
      </c>
      <c r="H483" s="22" t="n">
        <v>2.18</v>
      </c>
      <c r="I483" s="22" t="n">
        <v>21.8</v>
      </c>
      <c r="J483" s="22" t="n">
        <v>0.168</v>
      </c>
      <c r="K483" s="22" t="n">
        <v>4.26</v>
      </c>
      <c r="L483" s="22" t="n">
        <v>0.405</v>
      </c>
      <c r="M483" s="22" t="n">
        <v>10.3</v>
      </c>
      <c r="N483" s="43" t="n">
        <v>0.15</v>
      </c>
      <c r="O483" s="22" t="n">
        <v>3.81</v>
      </c>
      <c r="P483" s="22" t="n">
        <v>0.0752</v>
      </c>
      <c r="Q483" s="22" t="n">
        <v>7.52</v>
      </c>
      <c r="R483" s="22" t="n">
        <v>0.164</v>
      </c>
      <c r="S483" s="22" t="n">
        <v>164</v>
      </c>
      <c r="T483" s="22" t="n">
        <v>0.143</v>
      </c>
      <c r="U483" s="22" t="n">
        <f aca="false">C483*1</f>
        <v>280</v>
      </c>
      <c r="V483" s="22" t="n">
        <f aca="false">VLOOKUP(U483,'Powder Core Toroid OD'!$A$2:$B$36,2,0)</f>
        <v>9.65</v>
      </c>
    </row>
    <row r="484" customFormat="false" ht="14.4" hidden="true" customHeight="false" outlineLevel="0" collapsed="false">
      <c r="A484" s="45" t="n">
        <v>58279</v>
      </c>
      <c r="B484" s="22" t="s">
        <v>556</v>
      </c>
      <c r="C484" s="23" t="n">
        <v>280</v>
      </c>
      <c r="D484" s="22" t="n">
        <v>147</v>
      </c>
      <c r="E484" s="22" t="s">
        <v>72</v>
      </c>
      <c r="F484" s="22" t="n">
        <v>63</v>
      </c>
      <c r="G484" s="22" t="s">
        <v>51</v>
      </c>
      <c r="H484" s="22" t="n">
        <v>2.18</v>
      </c>
      <c r="I484" s="22" t="n">
        <v>21.8</v>
      </c>
      <c r="J484" s="22" t="n">
        <v>0.168</v>
      </c>
      <c r="K484" s="22" t="n">
        <v>4.26</v>
      </c>
      <c r="L484" s="22" t="n">
        <v>0.405</v>
      </c>
      <c r="M484" s="22" t="n">
        <v>10.3</v>
      </c>
      <c r="N484" s="43" t="n">
        <v>0.15</v>
      </c>
      <c r="O484" s="22" t="n">
        <v>3.81</v>
      </c>
      <c r="P484" s="22" t="n">
        <v>0.0752</v>
      </c>
      <c r="Q484" s="22" t="n">
        <v>7.52</v>
      </c>
      <c r="R484" s="22" t="n">
        <v>0.164</v>
      </c>
      <c r="S484" s="22" t="n">
        <v>164</v>
      </c>
      <c r="T484" s="22" t="n">
        <v>0.143</v>
      </c>
      <c r="U484" s="22" t="n">
        <f aca="false">C484*1</f>
        <v>280</v>
      </c>
      <c r="V484" s="22" t="n">
        <f aca="false">VLOOKUP(U484,'Powder Core Toroid OD'!$A$2:$B$36,2,0)</f>
        <v>9.65</v>
      </c>
    </row>
    <row r="485" customFormat="false" ht="14.4" hidden="true" customHeight="false" outlineLevel="0" collapsed="false">
      <c r="A485" s="45" t="n">
        <v>58280</v>
      </c>
      <c r="B485" s="22" t="s">
        <v>557</v>
      </c>
      <c r="C485" s="23" t="n">
        <v>280</v>
      </c>
      <c r="D485" s="22" t="n">
        <v>125</v>
      </c>
      <c r="E485" s="22" t="s">
        <v>72</v>
      </c>
      <c r="F485" s="22" t="n">
        <v>53</v>
      </c>
      <c r="G485" s="22" t="s">
        <v>51</v>
      </c>
      <c r="H485" s="22" t="n">
        <v>2.18</v>
      </c>
      <c r="I485" s="22" t="n">
        <v>21.8</v>
      </c>
      <c r="J485" s="22" t="n">
        <v>0.168</v>
      </c>
      <c r="K485" s="22" t="n">
        <v>4.26</v>
      </c>
      <c r="L485" s="22" t="n">
        <v>0.405</v>
      </c>
      <c r="M485" s="22" t="n">
        <v>10.3</v>
      </c>
      <c r="N485" s="43" t="n">
        <v>0.15</v>
      </c>
      <c r="O485" s="22" t="n">
        <v>3.81</v>
      </c>
      <c r="P485" s="22" t="n">
        <v>0.0752</v>
      </c>
      <c r="Q485" s="22" t="n">
        <v>7.52</v>
      </c>
      <c r="R485" s="22" t="n">
        <v>0.164</v>
      </c>
      <c r="S485" s="22" t="n">
        <v>164</v>
      </c>
      <c r="T485" s="22" t="n">
        <v>0.143</v>
      </c>
      <c r="U485" s="22" t="n">
        <f aca="false">C485*1</f>
        <v>280</v>
      </c>
      <c r="V485" s="22" t="n">
        <f aca="false">VLOOKUP(U485,'Powder Core Toroid OD'!$A$2:$B$36,2,0)</f>
        <v>9.65</v>
      </c>
    </row>
    <row r="486" customFormat="false" ht="14.4" hidden="true" customHeight="false" outlineLevel="0" collapsed="false">
      <c r="A486" s="45" t="n">
        <v>58281</v>
      </c>
      <c r="B486" s="22" t="s">
        <v>558</v>
      </c>
      <c r="C486" s="23" t="n">
        <v>280</v>
      </c>
      <c r="D486" s="22" t="n">
        <v>60</v>
      </c>
      <c r="E486" s="22" t="s">
        <v>72</v>
      </c>
      <c r="F486" s="22" t="n">
        <v>25</v>
      </c>
      <c r="G486" s="22" t="s">
        <v>51</v>
      </c>
      <c r="H486" s="22" t="n">
        <v>2.18</v>
      </c>
      <c r="I486" s="22" t="n">
        <v>21.8</v>
      </c>
      <c r="J486" s="22" t="n">
        <v>0.168</v>
      </c>
      <c r="K486" s="22" t="n">
        <v>4.26</v>
      </c>
      <c r="L486" s="22" t="n">
        <v>0.405</v>
      </c>
      <c r="M486" s="22" t="n">
        <v>10.3</v>
      </c>
      <c r="N486" s="43" t="n">
        <v>0.15</v>
      </c>
      <c r="O486" s="22" t="n">
        <v>3.81</v>
      </c>
      <c r="P486" s="22" t="n">
        <v>0.0752</v>
      </c>
      <c r="Q486" s="22" t="n">
        <v>7.52</v>
      </c>
      <c r="R486" s="22" t="n">
        <v>0.164</v>
      </c>
      <c r="S486" s="22" t="n">
        <v>164</v>
      </c>
      <c r="T486" s="22" t="n">
        <v>0.143</v>
      </c>
      <c r="U486" s="22" t="n">
        <f aca="false">C486*1</f>
        <v>280</v>
      </c>
      <c r="V486" s="22" t="n">
        <f aca="false">VLOOKUP(U486,'Powder Core Toroid OD'!$A$2:$B$36,2,0)</f>
        <v>9.65</v>
      </c>
    </row>
    <row r="487" customFormat="false" ht="14.4" hidden="true" customHeight="false" outlineLevel="0" collapsed="false">
      <c r="A487" s="45" t="n">
        <v>58282</v>
      </c>
      <c r="B487" s="22" t="s">
        <v>559</v>
      </c>
      <c r="C487" s="23" t="n">
        <v>280</v>
      </c>
      <c r="D487" s="22" t="n">
        <v>26</v>
      </c>
      <c r="E487" s="22" t="s">
        <v>72</v>
      </c>
      <c r="F487" s="22" t="n">
        <v>11</v>
      </c>
      <c r="G487" s="22" t="s">
        <v>51</v>
      </c>
      <c r="H487" s="22" t="n">
        <v>2.18</v>
      </c>
      <c r="I487" s="22" t="n">
        <v>21.8</v>
      </c>
      <c r="J487" s="22" t="n">
        <v>0.168</v>
      </c>
      <c r="K487" s="22" t="n">
        <v>4.26</v>
      </c>
      <c r="L487" s="22" t="n">
        <v>0.405</v>
      </c>
      <c r="M487" s="22" t="n">
        <v>10.3</v>
      </c>
      <c r="N487" s="43" t="n">
        <v>0.15</v>
      </c>
      <c r="O487" s="22" t="n">
        <v>3.81</v>
      </c>
      <c r="P487" s="22" t="n">
        <v>0.0752</v>
      </c>
      <c r="Q487" s="22" t="n">
        <v>7.52</v>
      </c>
      <c r="R487" s="22" t="n">
        <v>0.164</v>
      </c>
      <c r="S487" s="22" t="n">
        <v>164</v>
      </c>
      <c r="T487" s="22" t="n">
        <v>0.143</v>
      </c>
      <c r="U487" s="22" t="n">
        <f aca="false">C487*1</f>
        <v>280</v>
      </c>
      <c r="V487" s="22" t="n">
        <f aca="false">VLOOKUP(U487,'Powder Core Toroid OD'!$A$2:$B$36,2,0)</f>
        <v>9.65</v>
      </c>
    </row>
    <row r="488" customFormat="false" ht="14.4" hidden="true" customHeight="false" outlineLevel="0" collapsed="false">
      <c r="A488" s="45" t="n">
        <v>58288</v>
      </c>
      <c r="B488" s="22" t="s">
        <v>560</v>
      </c>
      <c r="C488" s="23" t="n">
        <v>290</v>
      </c>
      <c r="D488" s="22" t="n">
        <v>160</v>
      </c>
      <c r="E488" s="22" t="s">
        <v>72</v>
      </c>
      <c r="F488" s="22" t="n">
        <v>84</v>
      </c>
      <c r="G488" s="22" t="s">
        <v>51</v>
      </c>
      <c r="H488" s="22" t="n">
        <v>2.18</v>
      </c>
      <c r="I488" s="22" t="n">
        <v>21.8</v>
      </c>
      <c r="J488" s="22" t="n">
        <v>0.168</v>
      </c>
      <c r="K488" s="22" t="n">
        <v>4.26</v>
      </c>
      <c r="L488" s="22" t="n">
        <v>0.405</v>
      </c>
      <c r="M488" s="22" t="n">
        <v>10.3</v>
      </c>
      <c r="N488" s="22" t="n">
        <v>0.181</v>
      </c>
      <c r="O488" s="42" t="n">
        <v>4.6</v>
      </c>
      <c r="P488" s="22" t="n">
        <v>0.0945</v>
      </c>
      <c r="Q488" s="22" t="n">
        <v>9.45</v>
      </c>
      <c r="R488" s="22" t="n">
        <v>0.206</v>
      </c>
      <c r="S488" s="22" t="n">
        <v>206</v>
      </c>
      <c r="T488" s="22" t="n">
        <v>0.143</v>
      </c>
      <c r="U488" s="22" t="n">
        <f aca="false">C488*1</f>
        <v>290</v>
      </c>
      <c r="V488" s="22" t="n">
        <f aca="false">VLOOKUP(U488,'Powder Core Toroid OD'!$A$2:$B$36,2,0)</f>
        <v>9.65</v>
      </c>
    </row>
    <row r="489" customFormat="false" ht="14.4" hidden="true" customHeight="false" outlineLevel="0" collapsed="false">
      <c r="A489" s="45" t="n">
        <v>58289</v>
      </c>
      <c r="B489" s="22" t="s">
        <v>561</v>
      </c>
      <c r="C489" s="23" t="n">
        <v>290</v>
      </c>
      <c r="D489" s="22" t="n">
        <v>147</v>
      </c>
      <c r="E489" s="22" t="s">
        <v>72</v>
      </c>
      <c r="F489" s="22" t="n">
        <v>78</v>
      </c>
      <c r="G489" s="22" t="s">
        <v>51</v>
      </c>
      <c r="H489" s="22" t="n">
        <v>2.18</v>
      </c>
      <c r="I489" s="22" t="n">
        <v>21.8</v>
      </c>
      <c r="J489" s="22" t="n">
        <v>0.168</v>
      </c>
      <c r="K489" s="22" t="n">
        <v>4.26</v>
      </c>
      <c r="L489" s="22" t="n">
        <v>0.405</v>
      </c>
      <c r="M489" s="22" t="n">
        <v>10.3</v>
      </c>
      <c r="N489" s="22" t="n">
        <v>0.181</v>
      </c>
      <c r="O489" s="42" t="n">
        <v>4.6</v>
      </c>
      <c r="P489" s="22" t="n">
        <v>0.0945</v>
      </c>
      <c r="Q489" s="22" t="n">
        <v>9.45</v>
      </c>
      <c r="R489" s="22" t="n">
        <v>0.206</v>
      </c>
      <c r="S489" s="22" t="n">
        <v>206</v>
      </c>
      <c r="T489" s="22" t="n">
        <v>0.143</v>
      </c>
      <c r="U489" s="22" t="n">
        <f aca="false">C489*1</f>
        <v>290</v>
      </c>
      <c r="V489" s="22" t="n">
        <f aca="false">VLOOKUP(U489,'Powder Core Toroid OD'!$A$2:$B$36,2,0)</f>
        <v>9.65</v>
      </c>
    </row>
    <row r="490" customFormat="false" ht="14.4" hidden="true" customHeight="false" outlineLevel="0" collapsed="false">
      <c r="A490" s="45" t="n">
        <v>58290</v>
      </c>
      <c r="B490" s="22" t="s">
        <v>562</v>
      </c>
      <c r="C490" s="23" t="n">
        <v>290</v>
      </c>
      <c r="D490" s="22" t="n">
        <v>125</v>
      </c>
      <c r="E490" s="22" t="s">
        <v>72</v>
      </c>
      <c r="F490" s="22" t="n">
        <v>66</v>
      </c>
      <c r="G490" s="22" t="s">
        <v>51</v>
      </c>
      <c r="H490" s="22" t="n">
        <v>2.18</v>
      </c>
      <c r="I490" s="22" t="n">
        <v>21.8</v>
      </c>
      <c r="J490" s="22" t="n">
        <v>0.168</v>
      </c>
      <c r="K490" s="22" t="n">
        <v>4.26</v>
      </c>
      <c r="L490" s="22" t="n">
        <v>0.405</v>
      </c>
      <c r="M490" s="22" t="n">
        <v>10.3</v>
      </c>
      <c r="N490" s="22" t="n">
        <v>0.181</v>
      </c>
      <c r="O490" s="42" t="n">
        <v>4.6</v>
      </c>
      <c r="P490" s="22" t="n">
        <v>0.0945</v>
      </c>
      <c r="Q490" s="22" t="n">
        <v>9.45</v>
      </c>
      <c r="R490" s="22" t="n">
        <v>0.206</v>
      </c>
      <c r="S490" s="22" t="n">
        <v>206</v>
      </c>
      <c r="T490" s="22" t="n">
        <v>0.143</v>
      </c>
      <c r="U490" s="22" t="n">
        <f aca="false">C490*1</f>
        <v>290</v>
      </c>
      <c r="V490" s="22" t="n">
        <f aca="false">VLOOKUP(U490,'Powder Core Toroid OD'!$A$2:$B$36,2,0)</f>
        <v>9.65</v>
      </c>
    </row>
    <row r="491" customFormat="false" ht="14.4" hidden="true" customHeight="false" outlineLevel="0" collapsed="false">
      <c r="A491" s="45" t="n">
        <v>58291</v>
      </c>
      <c r="B491" s="22" t="s">
        <v>563</v>
      </c>
      <c r="C491" s="23" t="n">
        <v>290</v>
      </c>
      <c r="D491" s="22" t="n">
        <v>60</v>
      </c>
      <c r="E491" s="22" t="s">
        <v>72</v>
      </c>
      <c r="F491" s="22" t="n">
        <v>32</v>
      </c>
      <c r="G491" s="22" t="s">
        <v>51</v>
      </c>
      <c r="H491" s="22" t="n">
        <v>2.18</v>
      </c>
      <c r="I491" s="22" t="n">
        <v>21.8</v>
      </c>
      <c r="J491" s="22" t="n">
        <v>0.168</v>
      </c>
      <c r="K491" s="22" t="n">
        <v>4.26</v>
      </c>
      <c r="L491" s="22" t="n">
        <v>0.405</v>
      </c>
      <c r="M491" s="22" t="n">
        <v>10.3</v>
      </c>
      <c r="N491" s="22" t="n">
        <v>0.181</v>
      </c>
      <c r="O491" s="42" t="n">
        <v>4.6</v>
      </c>
      <c r="P491" s="22" t="n">
        <v>0.0945</v>
      </c>
      <c r="Q491" s="22" t="n">
        <v>9.45</v>
      </c>
      <c r="R491" s="22" t="n">
        <v>0.206</v>
      </c>
      <c r="S491" s="22" t="n">
        <v>206</v>
      </c>
      <c r="T491" s="22" t="n">
        <v>0.143</v>
      </c>
      <c r="U491" s="22" t="n">
        <f aca="false">C491*1</f>
        <v>290</v>
      </c>
      <c r="V491" s="22" t="n">
        <f aca="false">VLOOKUP(U491,'Powder Core Toroid OD'!$A$2:$B$36,2,0)</f>
        <v>9.65</v>
      </c>
    </row>
    <row r="492" customFormat="false" ht="14.4" hidden="true" customHeight="false" outlineLevel="0" collapsed="false">
      <c r="A492" s="45" t="n">
        <v>58292</v>
      </c>
      <c r="B492" s="22" t="s">
        <v>564</v>
      </c>
      <c r="C492" s="23" t="n">
        <v>290</v>
      </c>
      <c r="D492" s="22" t="n">
        <v>26</v>
      </c>
      <c r="E492" s="22" t="s">
        <v>72</v>
      </c>
      <c r="F492" s="22" t="n">
        <v>14</v>
      </c>
      <c r="G492" s="22" t="s">
        <v>51</v>
      </c>
      <c r="H492" s="22" t="n">
        <v>2.18</v>
      </c>
      <c r="I492" s="22" t="n">
        <v>21.8</v>
      </c>
      <c r="J492" s="22" t="n">
        <v>0.168</v>
      </c>
      <c r="K492" s="22" t="n">
        <v>4.26</v>
      </c>
      <c r="L492" s="22" t="n">
        <v>0.405</v>
      </c>
      <c r="M492" s="22" t="n">
        <v>10.3</v>
      </c>
      <c r="N492" s="22" t="n">
        <v>0.181</v>
      </c>
      <c r="O492" s="42" t="n">
        <v>4.6</v>
      </c>
      <c r="P492" s="22" t="n">
        <v>0.0945</v>
      </c>
      <c r="Q492" s="22" t="n">
        <v>9.45</v>
      </c>
      <c r="R492" s="22" t="n">
        <v>0.206</v>
      </c>
      <c r="S492" s="22" t="n">
        <v>206</v>
      </c>
      <c r="T492" s="22" t="n">
        <v>0.143</v>
      </c>
      <c r="U492" s="22" t="n">
        <f aca="false">C492*1</f>
        <v>290</v>
      </c>
      <c r="V492" s="22" t="n">
        <f aca="false">VLOOKUP(U492,'Powder Core Toroid OD'!$A$2:$B$36,2,0)</f>
        <v>9.65</v>
      </c>
    </row>
    <row r="493" customFormat="false" ht="14.4" hidden="true" customHeight="false" outlineLevel="0" collapsed="false">
      <c r="A493" s="45" t="n">
        <v>58293</v>
      </c>
      <c r="B493" s="22" t="s">
        <v>565</v>
      </c>
      <c r="C493" s="23" t="n">
        <v>290</v>
      </c>
      <c r="D493" s="22" t="n">
        <v>14</v>
      </c>
      <c r="E493" s="22" t="s">
        <v>72</v>
      </c>
      <c r="F493" s="22" t="n">
        <v>7</v>
      </c>
      <c r="G493" s="22" t="s">
        <v>51</v>
      </c>
      <c r="H493" s="22" t="n">
        <v>2.18</v>
      </c>
      <c r="I493" s="22" t="n">
        <v>21.8</v>
      </c>
      <c r="J493" s="22" t="n">
        <v>0.168</v>
      </c>
      <c r="K493" s="22" t="n">
        <v>4.26</v>
      </c>
      <c r="L493" s="22" t="n">
        <v>0.405</v>
      </c>
      <c r="M493" s="22" t="n">
        <v>10.3</v>
      </c>
      <c r="N493" s="22" t="n">
        <v>0.181</v>
      </c>
      <c r="O493" s="42" t="n">
        <v>4.6</v>
      </c>
      <c r="P493" s="22" t="n">
        <v>0.0945</v>
      </c>
      <c r="Q493" s="22" t="n">
        <v>9.45</v>
      </c>
      <c r="R493" s="22" t="n">
        <v>0.206</v>
      </c>
      <c r="S493" s="22" t="n">
        <v>206</v>
      </c>
      <c r="T493" s="22" t="n">
        <v>0.143</v>
      </c>
      <c r="U493" s="22" t="n">
        <f aca="false">C493*1</f>
        <v>290</v>
      </c>
      <c r="V493" s="22" t="n">
        <f aca="false">VLOOKUP(U493,'Powder Core Toroid OD'!$A$2:$B$36,2,0)</f>
        <v>9.65</v>
      </c>
    </row>
    <row r="494" customFormat="false" ht="14.4" hidden="true" customHeight="false" outlineLevel="0" collapsed="false">
      <c r="A494" s="45" t="n">
        <v>58308</v>
      </c>
      <c r="B494" s="22" t="s">
        <v>566</v>
      </c>
      <c r="C494" s="23" t="n">
        <v>310</v>
      </c>
      <c r="D494" s="22" t="n">
        <v>160</v>
      </c>
      <c r="E494" s="22" t="s">
        <v>72</v>
      </c>
      <c r="F494" s="22" t="n">
        <v>115</v>
      </c>
      <c r="G494" s="22" t="s">
        <v>51</v>
      </c>
      <c r="H494" s="22" t="n">
        <v>5.67</v>
      </c>
      <c r="I494" s="22" t="n">
        <v>56.7</v>
      </c>
      <c r="J494" s="22" t="n">
        <v>0.525</v>
      </c>
      <c r="K494" s="22" t="n">
        <v>13.3</v>
      </c>
      <c r="L494" s="43" t="n">
        <v>0.93</v>
      </c>
      <c r="M494" s="22" t="n">
        <v>23.7</v>
      </c>
      <c r="N494" s="43" t="n">
        <v>0.33</v>
      </c>
      <c r="O494" s="22" t="n">
        <v>8.39</v>
      </c>
      <c r="P494" s="22" t="n">
        <v>0.317</v>
      </c>
      <c r="Q494" s="22" t="n">
        <v>31.7</v>
      </c>
      <c r="R494" s="42" t="n">
        <v>1.8</v>
      </c>
      <c r="S494" s="22" t="n">
        <v>1800</v>
      </c>
      <c r="T494" s="22" t="n">
        <v>1.39</v>
      </c>
      <c r="U494" s="22" t="n">
        <f aca="false">C494*1</f>
        <v>310</v>
      </c>
      <c r="V494" s="22" t="n">
        <f aca="false">VLOOKUP(U494,'Powder Core Toroid OD'!$A$2:$B$36,2,0)</f>
        <v>22.9</v>
      </c>
    </row>
    <row r="495" customFormat="false" ht="14.4" hidden="true" customHeight="false" outlineLevel="0" collapsed="false">
      <c r="A495" s="45" t="n">
        <v>58309</v>
      </c>
      <c r="B495" s="22" t="s">
        <v>567</v>
      </c>
      <c r="C495" s="23" t="n">
        <v>310</v>
      </c>
      <c r="D495" s="22" t="n">
        <v>147</v>
      </c>
      <c r="E495" s="22" t="s">
        <v>72</v>
      </c>
      <c r="F495" s="22" t="n">
        <v>106</v>
      </c>
      <c r="G495" s="22" t="s">
        <v>51</v>
      </c>
      <c r="H495" s="22" t="n">
        <v>5.67</v>
      </c>
      <c r="I495" s="22" t="n">
        <v>56.7</v>
      </c>
      <c r="J495" s="22" t="n">
        <v>0.525</v>
      </c>
      <c r="K495" s="22" t="n">
        <v>13.3</v>
      </c>
      <c r="L495" s="43" t="n">
        <v>0.93</v>
      </c>
      <c r="M495" s="22" t="n">
        <v>23.7</v>
      </c>
      <c r="N495" s="43" t="n">
        <v>0.33</v>
      </c>
      <c r="O495" s="22" t="n">
        <v>8.39</v>
      </c>
      <c r="P495" s="22" t="n">
        <v>0.317</v>
      </c>
      <c r="Q495" s="22" t="n">
        <v>31.7</v>
      </c>
      <c r="R495" s="42" t="n">
        <v>1.8</v>
      </c>
      <c r="S495" s="22" t="n">
        <v>1800</v>
      </c>
      <c r="T495" s="22" t="n">
        <v>1.39</v>
      </c>
      <c r="U495" s="22" t="n">
        <f aca="false">C495*1</f>
        <v>310</v>
      </c>
      <c r="V495" s="22" t="n">
        <f aca="false">VLOOKUP(U495,'Powder Core Toroid OD'!$A$2:$B$36,2,0)</f>
        <v>22.9</v>
      </c>
    </row>
    <row r="496" customFormat="false" ht="14.4" hidden="true" customHeight="false" outlineLevel="0" collapsed="false">
      <c r="A496" s="45" t="n">
        <v>58310</v>
      </c>
      <c r="B496" s="22" t="s">
        <v>568</v>
      </c>
      <c r="C496" s="23" t="n">
        <v>310</v>
      </c>
      <c r="D496" s="22" t="n">
        <v>125</v>
      </c>
      <c r="E496" s="22" t="s">
        <v>72</v>
      </c>
      <c r="F496" s="22" t="n">
        <v>90</v>
      </c>
      <c r="G496" s="22" t="s">
        <v>51</v>
      </c>
      <c r="H496" s="22" t="n">
        <v>5.67</v>
      </c>
      <c r="I496" s="22" t="n">
        <v>56.7</v>
      </c>
      <c r="J496" s="22" t="n">
        <v>0.525</v>
      </c>
      <c r="K496" s="22" t="n">
        <v>13.3</v>
      </c>
      <c r="L496" s="43" t="n">
        <v>0.93</v>
      </c>
      <c r="M496" s="22" t="n">
        <v>23.7</v>
      </c>
      <c r="N496" s="43" t="n">
        <v>0.33</v>
      </c>
      <c r="O496" s="22" t="n">
        <v>8.39</v>
      </c>
      <c r="P496" s="22" t="n">
        <v>0.317</v>
      </c>
      <c r="Q496" s="22" t="n">
        <v>31.7</v>
      </c>
      <c r="R496" s="42" t="n">
        <v>1.8</v>
      </c>
      <c r="S496" s="22" t="n">
        <v>1800</v>
      </c>
      <c r="T496" s="22" t="n">
        <v>1.39</v>
      </c>
      <c r="U496" s="22" t="n">
        <f aca="false">C496*1</f>
        <v>310</v>
      </c>
      <c r="V496" s="22" t="n">
        <f aca="false">VLOOKUP(U496,'Powder Core Toroid OD'!$A$2:$B$36,2,0)</f>
        <v>22.9</v>
      </c>
    </row>
    <row r="497" customFormat="false" ht="14.4" hidden="true" customHeight="false" outlineLevel="0" collapsed="false">
      <c r="A497" s="45" t="n">
        <v>58312</v>
      </c>
      <c r="B497" s="22" t="s">
        <v>569</v>
      </c>
      <c r="C497" s="23" t="n">
        <v>310</v>
      </c>
      <c r="D497" s="22" t="n">
        <v>26</v>
      </c>
      <c r="E497" s="22" t="s">
        <v>72</v>
      </c>
      <c r="F497" s="22" t="n">
        <v>19</v>
      </c>
      <c r="G497" s="22" t="s">
        <v>51</v>
      </c>
      <c r="H497" s="22" t="n">
        <v>5.67</v>
      </c>
      <c r="I497" s="22" t="n">
        <v>56.7</v>
      </c>
      <c r="J497" s="22" t="n">
        <v>0.525</v>
      </c>
      <c r="K497" s="22" t="n">
        <v>13.3</v>
      </c>
      <c r="L497" s="43" t="n">
        <v>0.93</v>
      </c>
      <c r="M497" s="22" t="n">
        <v>23.7</v>
      </c>
      <c r="N497" s="43" t="n">
        <v>0.33</v>
      </c>
      <c r="O497" s="22" t="n">
        <v>8.39</v>
      </c>
      <c r="P497" s="22" t="n">
        <v>0.317</v>
      </c>
      <c r="Q497" s="22" t="n">
        <v>31.7</v>
      </c>
      <c r="R497" s="42" t="n">
        <v>1.8</v>
      </c>
      <c r="S497" s="22" t="n">
        <v>1800</v>
      </c>
      <c r="T497" s="22" t="n">
        <v>1.39</v>
      </c>
      <c r="U497" s="22" t="n">
        <f aca="false">C497*1</f>
        <v>310</v>
      </c>
      <c r="V497" s="22" t="n">
        <f aca="false">VLOOKUP(U497,'Powder Core Toroid OD'!$A$2:$B$36,2,0)</f>
        <v>22.9</v>
      </c>
    </row>
    <row r="498" customFormat="false" ht="14.4" hidden="true" customHeight="false" outlineLevel="0" collapsed="false">
      <c r="A498" s="45" t="n">
        <v>58313</v>
      </c>
      <c r="B498" s="22" t="s">
        <v>570</v>
      </c>
      <c r="C498" s="23" t="n">
        <v>310</v>
      </c>
      <c r="D498" s="22" t="n">
        <v>14</v>
      </c>
      <c r="E498" s="22" t="s">
        <v>72</v>
      </c>
      <c r="F498" s="22" t="n">
        <v>9.9</v>
      </c>
      <c r="G498" s="22" t="s">
        <v>51</v>
      </c>
      <c r="H498" s="22" t="n">
        <v>5.67</v>
      </c>
      <c r="I498" s="22" t="n">
        <v>56.7</v>
      </c>
      <c r="J498" s="22" t="n">
        <v>0.525</v>
      </c>
      <c r="K498" s="22" t="n">
        <v>13.3</v>
      </c>
      <c r="L498" s="43" t="n">
        <v>0.93</v>
      </c>
      <c r="M498" s="22" t="n">
        <v>23.7</v>
      </c>
      <c r="N498" s="43" t="n">
        <v>0.33</v>
      </c>
      <c r="O498" s="22" t="n">
        <v>8.39</v>
      </c>
      <c r="P498" s="22" t="n">
        <v>0.317</v>
      </c>
      <c r="Q498" s="22" t="n">
        <v>31.7</v>
      </c>
      <c r="R498" s="42" t="n">
        <v>1.8</v>
      </c>
      <c r="S498" s="22" t="n">
        <v>1800</v>
      </c>
      <c r="T498" s="22" t="n">
        <v>1.39</v>
      </c>
      <c r="U498" s="22" t="n">
        <f aca="false">C498*1</f>
        <v>310</v>
      </c>
      <c r="V498" s="22" t="n">
        <f aca="false">VLOOKUP(U498,'Powder Core Toroid OD'!$A$2:$B$36,2,0)</f>
        <v>22.9</v>
      </c>
    </row>
    <row r="499" customFormat="false" ht="14.4" hidden="true" customHeight="false" outlineLevel="0" collapsed="false">
      <c r="A499" s="45" t="n">
        <v>58322</v>
      </c>
      <c r="B499" s="22" t="s">
        <v>571</v>
      </c>
      <c r="C499" s="23" t="n">
        <v>324</v>
      </c>
      <c r="D499" s="22" t="n">
        <v>160</v>
      </c>
      <c r="E499" s="22" t="s">
        <v>72</v>
      </c>
      <c r="F499" s="22" t="n">
        <v>150</v>
      </c>
      <c r="G499" s="22" t="s">
        <v>51</v>
      </c>
      <c r="H499" s="22" t="n">
        <v>8.98</v>
      </c>
      <c r="I499" s="22" t="n">
        <v>89.8</v>
      </c>
      <c r="J499" s="22" t="n">
        <v>0.848</v>
      </c>
      <c r="K499" s="22" t="n">
        <v>21.5</v>
      </c>
      <c r="L499" s="22" t="n">
        <v>1.445</v>
      </c>
      <c r="M499" s="22" t="n">
        <v>36.71</v>
      </c>
      <c r="N499" s="22" t="n">
        <v>0.447</v>
      </c>
      <c r="O499" s="22" t="n">
        <v>11.4</v>
      </c>
      <c r="P499" s="22" t="n">
        <v>0.678</v>
      </c>
      <c r="Q499" s="22" t="n">
        <v>67.8</v>
      </c>
      <c r="R499" s="42" t="n">
        <v>6.09</v>
      </c>
      <c r="S499" s="22" t="n">
        <v>6090</v>
      </c>
      <c r="T499" s="22" t="n">
        <v>3.64</v>
      </c>
      <c r="U499" s="22" t="n">
        <f aca="false">C499*1</f>
        <v>324</v>
      </c>
      <c r="V499" s="22" t="n">
        <f aca="false">VLOOKUP(U499,'Powder Core Toroid OD'!$A$2:$B$36,2,0)</f>
        <v>35.8</v>
      </c>
    </row>
    <row r="500" customFormat="false" ht="14.4" hidden="true" customHeight="false" outlineLevel="0" collapsed="false">
      <c r="A500" s="45" t="n">
        <v>58324</v>
      </c>
      <c r="B500" s="22" t="s">
        <v>572</v>
      </c>
      <c r="C500" s="23" t="n">
        <v>324</v>
      </c>
      <c r="D500" s="22" t="n">
        <v>125</v>
      </c>
      <c r="E500" s="22" t="s">
        <v>72</v>
      </c>
      <c r="F500" s="22" t="n">
        <v>117</v>
      </c>
      <c r="G500" s="22" t="s">
        <v>51</v>
      </c>
      <c r="H500" s="22" t="n">
        <v>8.98</v>
      </c>
      <c r="I500" s="22" t="n">
        <v>89.8</v>
      </c>
      <c r="J500" s="22" t="n">
        <v>0.848</v>
      </c>
      <c r="K500" s="22" t="n">
        <v>21.5</v>
      </c>
      <c r="L500" s="22" t="n">
        <v>1.445</v>
      </c>
      <c r="M500" s="22" t="n">
        <v>36.71</v>
      </c>
      <c r="N500" s="22" t="n">
        <v>0.447</v>
      </c>
      <c r="O500" s="22" t="n">
        <v>11.4</v>
      </c>
      <c r="P500" s="22" t="n">
        <v>0.678</v>
      </c>
      <c r="Q500" s="22" t="n">
        <v>67.8</v>
      </c>
      <c r="R500" s="42" t="n">
        <v>6.09</v>
      </c>
      <c r="S500" s="22" t="n">
        <v>6090</v>
      </c>
      <c r="T500" s="22" t="n">
        <v>3.64</v>
      </c>
      <c r="U500" s="22" t="n">
        <f aca="false">C500*1</f>
        <v>324</v>
      </c>
      <c r="V500" s="22" t="n">
        <f aca="false">VLOOKUP(U500,'Powder Core Toroid OD'!$A$2:$B$36,2,0)</f>
        <v>35.8</v>
      </c>
    </row>
    <row r="501" customFormat="false" ht="14.4" hidden="true" customHeight="false" outlineLevel="0" collapsed="false">
      <c r="A501" s="45" t="n">
        <v>58326</v>
      </c>
      <c r="B501" s="22" t="s">
        <v>573</v>
      </c>
      <c r="C501" s="23" t="n">
        <v>324</v>
      </c>
      <c r="D501" s="22" t="n">
        <v>26</v>
      </c>
      <c r="E501" s="22" t="s">
        <v>72</v>
      </c>
      <c r="F501" s="22" t="n">
        <v>24</v>
      </c>
      <c r="G501" s="22" t="s">
        <v>51</v>
      </c>
      <c r="H501" s="22" t="n">
        <v>8.98</v>
      </c>
      <c r="I501" s="22" t="n">
        <v>89.8</v>
      </c>
      <c r="J501" s="22" t="n">
        <v>0.848</v>
      </c>
      <c r="K501" s="22" t="n">
        <v>21.5</v>
      </c>
      <c r="L501" s="22" t="n">
        <v>1.445</v>
      </c>
      <c r="M501" s="22" t="n">
        <v>36.71</v>
      </c>
      <c r="N501" s="22" t="n">
        <v>0.447</v>
      </c>
      <c r="O501" s="22" t="n">
        <v>11.4</v>
      </c>
      <c r="P501" s="22" t="n">
        <v>0.678</v>
      </c>
      <c r="Q501" s="22" t="n">
        <v>67.8</v>
      </c>
      <c r="R501" s="42" t="n">
        <v>6.09</v>
      </c>
      <c r="S501" s="22" t="n">
        <v>6090</v>
      </c>
      <c r="T501" s="22" t="n">
        <v>3.64</v>
      </c>
      <c r="U501" s="22" t="n">
        <f aca="false">C501*1</f>
        <v>324</v>
      </c>
      <c r="V501" s="22" t="n">
        <f aca="false">VLOOKUP(U501,'Powder Core Toroid OD'!$A$2:$B$36,2,0)</f>
        <v>35.8</v>
      </c>
    </row>
    <row r="502" customFormat="false" ht="14.4" hidden="true" customHeight="false" outlineLevel="0" collapsed="false">
      <c r="A502" s="45" t="n">
        <v>58327</v>
      </c>
      <c r="B502" s="22" t="s">
        <v>574</v>
      </c>
      <c r="C502" s="23" t="n">
        <v>324</v>
      </c>
      <c r="D502" s="22" t="n">
        <v>14</v>
      </c>
      <c r="E502" s="22" t="s">
        <v>72</v>
      </c>
      <c r="F502" s="22" t="n">
        <v>13</v>
      </c>
      <c r="G502" s="22" t="s">
        <v>51</v>
      </c>
      <c r="H502" s="22" t="n">
        <v>8.98</v>
      </c>
      <c r="I502" s="22" t="n">
        <v>89.8</v>
      </c>
      <c r="J502" s="22" t="n">
        <v>0.848</v>
      </c>
      <c r="K502" s="22" t="n">
        <v>21.5</v>
      </c>
      <c r="L502" s="22" t="n">
        <v>1.445</v>
      </c>
      <c r="M502" s="22" t="n">
        <v>36.71</v>
      </c>
      <c r="N502" s="22" t="n">
        <v>0.447</v>
      </c>
      <c r="O502" s="22" t="n">
        <v>11.4</v>
      </c>
      <c r="P502" s="22" t="n">
        <v>0.678</v>
      </c>
      <c r="Q502" s="22" t="n">
        <v>67.8</v>
      </c>
      <c r="R502" s="42" t="n">
        <v>6.09</v>
      </c>
      <c r="S502" s="22" t="n">
        <v>6090</v>
      </c>
      <c r="T502" s="22" t="n">
        <v>3.64</v>
      </c>
      <c r="U502" s="22" t="n">
        <f aca="false">C502*1</f>
        <v>324</v>
      </c>
      <c r="V502" s="22" t="n">
        <f aca="false">VLOOKUP(U502,'Powder Core Toroid OD'!$A$2:$B$36,2,0)</f>
        <v>35.8</v>
      </c>
    </row>
    <row r="503" customFormat="false" ht="14.4" hidden="true" customHeight="false" outlineLevel="0" collapsed="false">
      <c r="A503" s="45" t="n">
        <v>58348</v>
      </c>
      <c r="B503" s="22" t="s">
        <v>575</v>
      </c>
      <c r="C503" s="23" t="n">
        <v>350</v>
      </c>
      <c r="D503" s="22" t="n">
        <v>160</v>
      </c>
      <c r="E503" s="22" t="s">
        <v>72</v>
      </c>
      <c r="F503" s="22" t="n">
        <v>135</v>
      </c>
      <c r="G503" s="22" t="s">
        <v>51</v>
      </c>
      <c r="H503" s="22" t="n">
        <v>5.88</v>
      </c>
      <c r="I503" s="22" t="n">
        <v>58.8</v>
      </c>
      <c r="J503" s="22" t="n">
        <v>0.542</v>
      </c>
      <c r="K503" s="22" t="n">
        <v>13.7</v>
      </c>
      <c r="L503" s="22" t="n">
        <v>0.958</v>
      </c>
      <c r="M503" s="22" t="n">
        <v>24.4</v>
      </c>
      <c r="N503" s="43" t="n">
        <v>0.38</v>
      </c>
      <c r="O503" s="22" t="n">
        <v>9.66</v>
      </c>
      <c r="P503" s="22" t="n">
        <v>0.388</v>
      </c>
      <c r="Q503" s="22" t="n">
        <v>38.8</v>
      </c>
      <c r="R503" s="42" t="n">
        <v>2.28</v>
      </c>
      <c r="S503" s="22" t="n">
        <v>2280</v>
      </c>
      <c r="T503" s="22" t="n">
        <v>1.49</v>
      </c>
      <c r="U503" s="22" t="n">
        <f aca="false">C503*1</f>
        <v>350</v>
      </c>
      <c r="V503" s="22" t="n">
        <f aca="false">VLOOKUP(U503,'Powder Core Toroid OD'!$A$2:$B$36,2,0)</f>
        <v>23.6</v>
      </c>
    </row>
    <row r="504" customFormat="false" ht="14.4" hidden="true" customHeight="false" outlineLevel="0" collapsed="false">
      <c r="A504" s="45" t="n">
        <v>58349</v>
      </c>
      <c r="B504" s="22" t="s">
        <v>576</v>
      </c>
      <c r="C504" s="23" t="n">
        <v>350</v>
      </c>
      <c r="D504" s="22" t="n">
        <v>147</v>
      </c>
      <c r="E504" s="22" t="s">
        <v>72</v>
      </c>
      <c r="F504" s="22" t="n">
        <v>124</v>
      </c>
      <c r="G504" s="22" t="s">
        <v>51</v>
      </c>
      <c r="H504" s="22" t="n">
        <v>5.88</v>
      </c>
      <c r="I504" s="22" t="n">
        <v>58.8</v>
      </c>
      <c r="J504" s="22" t="n">
        <v>0.542</v>
      </c>
      <c r="K504" s="22" t="n">
        <v>13.7</v>
      </c>
      <c r="L504" s="22" t="n">
        <v>0.958</v>
      </c>
      <c r="M504" s="22" t="n">
        <v>24.4</v>
      </c>
      <c r="N504" s="43" t="n">
        <v>0.38</v>
      </c>
      <c r="O504" s="22" t="n">
        <v>9.66</v>
      </c>
      <c r="P504" s="22" t="n">
        <v>0.388</v>
      </c>
      <c r="Q504" s="22" t="n">
        <v>38.8</v>
      </c>
      <c r="R504" s="42" t="n">
        <v>2.28</v>
      </c>
      <c r="S504" s="22" t="n">
        <v>2280</v>
      </c>
      <c r="T504" s="22" t="n">
        <v>1.49</v>
      </c>
      <c r="U504" s="22" t="n">
        <f aca="false">C504*1</f>
        <v>350</v>
      </c>
      <c r="V504" s="22" t="n">
        <f aca="false">VLOOKUP(U504,'Powder Core Toroid OD'!$A$2:$B$36,2,0)</f>
        <v>23.6</v>
      </c>
    </row>
    <row r="505" customFormat="false" ht="14.4" hidden="true" customHeight="false" outlineLevel="0" collapsed="false">
      <c r="A505" s="45" t="n">
        <v>58350</v>
      </c>
      <c r="B505" s="22" t="s">
        <v>577</v>
      </c>
      <c r="C505" s="23" t="n">
        <v>350</v>
      </c>
      <c r="D505" s="22" t="n">
        <v>125</v>
      </c>
      <c r="E505" s="22" t="s">
        <v>72</v>
      </c>
      <c r="F505" s="22" t="n">
        <v>105</v>
      </c>
      <c r="G505" s="22" t="s">
        <v>51</v>
      </c>
      <c r="H505" s="22" t="n">
        <v>5.88</v>
      </c>
      <c r="I505" s="22" t="n">
        <v>58.8</v>
      </c>
      <c r="J505" s="22" t="n">
        <v>0.542</v>
      </c>
      <c r="K505" s="22" t="n">
        <v>13.7</v>
      </c>
      <c r="L505" s="22" t="n">
        <v>0.958</v>
      </c>
      <c r="M505" s="22" t="n">
        <v>24.4</v>
      </c>
      <c r="N505" s="43" t="n">
        <v>0.38</v>
      </c>
      <c r="O505" s="22" t="n">
        <v>9.66</v>
      </c>
      <c r="P505" s="22" t="n">
        <v>0.388</v>
      </c>
      <c r="Q505" s="22" t="n">
        <v>38.8</v>
      </c>
      <c r="R505" s="42" t="n">
        <v>2.28</v>
      </c>
      <c r="S505" s="22" t="n">
        <v>2280</v>
      </c>
      <c r="T505" s="22" t="n">
        <v>1.49</v>
      </c>
      <c r="U505" s="22" t="n">
        <f aca="false">C505*1</f>
        <v>350</v>
      </c>
      <c r="V505" s="22" t="n">
        <f aca="false">VLOOKUP(U505,'Powder Core Toroid OD'!$A$2:$B$36,2,0)</f>
        <v>23.6</v>
      </c>
    </row>
    <row r="506" customFormat="false" ht="14.4" hidden="true" customHeight="false" outlineLevel="0" collapsed="false">
      <c r="A506" s="45" t="n">
        <v>58351</v>
      </c>
      <c r="B506" s="22" t="s">
        <v>578</v>
      </c>
      <c r="C506" s="23" t="n">
        <v>350</v>
      </c>
      <c r="D506" s="22" t="n">
        <v>60</v>
      </c>
      <c r="E506" s="22" t="s">
        <v>72</v>
      </c>
      <c r="F506" s="22" t="n">
        <v>51</v>
      </c>
      <c r="G506" s="22" t="s">
        <v>51</v>
      </c>
      <c r="H506" s="22" t="n">
        <v>5.88</v>
      </c>
      <c r="I506" s="22" t="n">
        <v>58.8</v>
      </c>
      <c r="J506" s="22" t="n">
        <v>0.542</v>
      </c>
      <c r="K506" s="22" t="n">
        <v>13.7</v>
      </c>
      <c r="L506" s="22" t="n">
        <v>0.958</v>
      </c>
      <c r="M506" s="22" t="n">
        <v>24.4</v>
      </c>
      <c r="N506" s="43" t="n">
        <v>0.38</v>
      </c>
      <c r="O506" s="22" t="n">
        <v>9.66</v>
      </c>
      <c r="P506" s="22" t="n">
        <v>0.388</v>
      </c>
      <c r="Q506" s="22" t="n">
        <v>38.8</v>
      </c>
      <c r="R506" s="42" t="n">
        <v>2.28</v>
      </c>
      <c r="S506" s="22" t="n">
        <v>2280</v>
      </c>
      <c r="T506" s="22" t="n">
        <v>1.49</v>
      </c>
      <c r="U506" s="22" t="n">
        <f aca="false">C506*1</f>
        <v>350</v>
      </c>
      <c r="V506" s="22" t="n">
        <f aca="false">VLOOKUP(U506,'Powder Core Toroid OD'!$A$2:$B$36,2,0)</f>
        <v>23.6</v>
      </c>
    </row>
    <row r="507" customFormat="false" ht="14.4" hidden="true" customHeight="false" outlineLevel="0" collapsed="false">
      <c r="A507" s="45" t="n">
        <v>58352</v>
      </c>
      <c r="B507" s="22" t="s">
        <v>579</v>
      </c>
      <c r="C507" s="23" t="n">
        <v>350</v>
      </c>
      <c r="D507" s="22" t="n">
        <v>26</v>
      </c>
      <c r="E507" s="22" t="s">
        <v>72</v>
      </c>
      <c r="F507" s="22" t="n">
        <v>22</v>
      </c>
      <c r="G507" s="22" t="s">
        <v>51</v>
      </c>
      <c r="H507" s="22" t="n">
        <v>5.88</v>
      </c>
      <c r="I507" s="22" t="n">
        <v>58.8</v>
      </c>
      <c r="J507" s="22" t="n">
        <v>0.542</v>
      </c>
      <c r="K507" s="22" t="n">
        <v>13.7</v>
      </c>
      <c r="L507" s="22" t="n">
        <v>0.958</v>
      </c>
      <c r="M507" s="22" t="n">
        <v>24.4</v>
      </c>
      <c r="N507" s="43" t="n">
        <v>0.38</v>
      </c>
      <c r="O507" s="22" t="n">
        <v>9.66</v>
      </c>
      <c r="P507" s="22" t="n">
        <v>0.388</v>
      </c>
      <c r="Q507" s="22" t="n">
        <v>38.8</v>
      </c>
      <c r="R507" s="42" t="n">
        <v>2.28</v>
      </c>
      <c r="S507" s="22" t="n">
        <v>2280</v>
      </c>
      <c r="T507" s="22" t="n">
        <v>1.49</v>
      </c>
      <c r="U507" s="22" t="n">
        <f aca="false">C507*1</f>
        <v>350</v>
      </c>
      <c r="V507" s="22" t="n">
        <f aca="false">VLOOKUP(U507,'Powder Core Toroid OD'!$A$2:$B$36,2,0)</f>
        <v>23.6</v>
      </c>
    </row>
    <row r="508" customFormat="false" ht="14.4" hidden="true" customHeight="false" outlineLevel="0" collapsed="false">
      <c r="A508" s="45" t="n">
        <v>58353</v>
      </c>
      <c r="B508" s="22" t="s">
        <v>580</v>
      </c>
      <c r="C508" s="23" t="n">
        <v>350</v>
      </c>
      <c r="D508" s="22" t="n">
        <v>14</v>
      </c>
      <c r="E508" s="22" t="s">
        <v>72</v>
      </c>
      <c r="F508" s="22" t="n">
        <v>12</v>
      </c>
      <c r="G508" s="22" t="s">
        <v>51</v>
      </c>
      <c r="H508" s="22" t="n">
        <v>5.88</v>
      </c>
      <c r="I508" s="22" t="n">
        <v>58.8</v>
      </c>
      <c r="J508" s="22" t="n">
        <v>0.542</v>
      </c>
      <c r="K508" s="22" t="n">
        <v>13.7</v>
      </c>
      <c r="L508" s="22" t="n">
        <v>0.958</v>
      </c>
      <c r="M508" s="22" t="n">
        <v>24.4</v>
      </c>
      <c r="N508" s="43" t="n">
        <v>0.38</v>
      </c>
      <c r="O508" s="22" t="n">
        <v>9.66</v>
      </c>
      <c r="P508" s="22" t="n">
        <v>0.388</v>
      </c>
      <c r="Q508" s="22" t="n">
        <v>38.8</v>
      </c>
      <c r="R508" s="42" t="n">
        <v>2.28</v>
      </c>
      <c r="S508" s="22" t="n">
        <v>2280</v>
      </c>
      <c r="T508" s="22" t="n">
        <v>1.49</v>
      </c>
      <c r="U508" s="22" t="n">
        <f aca="false">C508*1</f>
        <v>350</v>
      </c>
      <c r="V508" s="22" t="n">
        <f aca="false">VLOOKUP(U508,'Powder Core Toroid OD'!$A$2:$B$36,2,0)</f>
        <v>23.6</v>
      </c>
    </row>
    <row r="509" customFormat="false" ht="14.4" hidden="true" customHeight="false" outlineLevel="0" collapsed="false">
      <c r="A509" s="45" t="n">
        <v>58378</v>
      </c>
      <c r="B509" s="22" t="s">
        <v>581</v>
      </c>
      <c r="C509" s="23" t="n">
        <v>380</v>
      </c>
      <c r="D509" s="22" t="n">
        <v>160</v>
      </c>
      <c r="E509" s="22" t="s">
        <v>72</v>
      </c>
      <c r="F509" s="22" t="n">
        <v>114</v>
      </c>
      <c r="G509" s="22" t="s">
        <v>51</v>
      </c>
      <c r="H509" s="22" t="n">
        <v>4.14</v>
      </c>
      <c r="I509" s="22" t="n">
        <v>41.4</v>
      </c>
      <c r="J509" s="22" t="n">
        <v>0.355</v>
      </c>
      <c r="K509" s="22" t="n">
        <v>9.01</v>
      </c>
      <c r="L509" s="43" t="n">
        <v>0.71</v>
      </c>
      <c r="M509" s="22" t="n">
        <v>18.1</v>
      </c>
      <c r="N509" s="43" t="n">
        <v>0.28</v>
      </c>
      <c r="O509" s="22" t="n">
        <v>7.12</v>
      </c>
      <c r="P509" s="22" t="n">
        <v>0.232</v>
      </c>
      <c r="Q509" s="22" t="n">
        <v>23.2</v>
      </c>
      <c r="R509" s="43" t="n">
        <v>0.96</v>
      </c>
      <c r="S509" s="22" t="n">
        <v>960</v>
      </c>
      <c r="T509" s="22" t="n">
        <v>0.638</v>
      </c>
      <c r="U509" s="22" t="n">
        <f aca="false">C509*1</f>
        <v>380</v>
      </c>
      <c r="V509" s="22" t="n">
        <f aca="false">VLOOKUP(U509,'Powder Core Toroid OD'!$A$2:$B$36,2,0)</f>
        <v>17.3</v>
      </c>
    </row>
    <row r="510" customFormat="false" ht="14.4" hidden="true" customHeight="false" outlineLevel="0" collapsed="false">
      <c r="A510" s="45" t="n">
        <v>58379</v>
      </c>
      <c r="B510" s="22" t="s">
        <v>582</v>
      </c>
      <c r="C510" s="23" t="n">
        <v>380</v>
      </c>
      <c r="D510" s="22" t="n">
        <v>147</v>
      </c>
      <c r="E510" s="22" t="s">
        <v>72</v>
      </c>
      <c r="F510" s="22" t="n">
        <v>105</v>
      </c>
      <c r="G510" s="22" t="s">
        <v>51</v>
      </c>
      <c r="H510" s="22" t="n">
        <v>4.14</v>
      </c>
      <c r="I510" s="22" t="n">
        <v>41.4</v>
      </c>
      <c r="J510" s="22" t="n">
        <v>0.355</v>
      </c>
      <c r="K510" s="22" t="n">
        <v>9.01</v>
      </c>
      <c r="L510" s="43" t="n">
        <v>0.71</v>
      </c>
      <c r="M510" s="22" t="n">
        <v>18.1</v>
      </c>
      <c r="N510" s="43" t="n">
        <v>0.28</v>
      </c>
      <c r="O510" s="22" t="n">
        <v>7.12</v>
      </c>
      <c r="P510" s="22" t="n">
        <v>0.232</v>
      </c>
      <c r="Q510" s="22" t="n">
        <v>23.2</v>
      </c>
      <c r="R510" s="43" t="n">
        <v>0.96</v>
      </c>
      <c r="S510" s="22" t="n">
        <v>960</v>
      </c>
      <c r="T510" s="22" t="n">
        <v>0.638</v>
      </c>
      <c r="U510" s="22" t="n">
        <f aca="false">C510*1</f>
        <v>380</v>
      </c>
      <c r="V510" s="22" t="n">
        <f aca="false">VLOOKUP(U510,'Powder Core Toroid OD'!$A$2:$B$36,2,0)</f>
        <v>17.3</v>
      </c>
    </row>
    <row r="511" customFormat="false" ht="14.4" hidden="true" customHeight="false" outlineLevel="0" collapsed="false">
      <c r="A511" s="45" t="n">
        <v>58380</v>
      </c>
      <c r="B511" s="22" t="s">
        <v>583</v>
      </c>
      <c r="C511" s="23" t="n">
        <v>380</v>
      </c>
      <c r="D511" s="22" t="n">
        <v>125</v>
      </c>
      <c r="E511" s="22" t="s">
        <v>72</v>
      </c>
      <c r="F511" s="22" t="n">
        <v>89</v>
      </c>
      <c r="G511" s="22" t="s">
        <v>51</v>
      </c>
      <c r="H511" s="22" t="n">
        <v>4.14</v>
      </c>
      <c r="I511" s="22" t="n">
        <v>41.4</v>
      </c>
      <c r="J511" s="22" t="n">
        <v>0.355</v>
      </c>
      <c r="K511" s="22" t="n">
        <v>9.01</v>
      </c>
      <c r="L511" s="43" t="n">
        <v>0.71</v>
      </c>
      <c r="M511" s="22" t="n">
        <v>18.1</v>
      </c>
      <c r="N511" s="43" t="n">
        <v>0.28</v>
      </c>
      <c r="O511" s="22" t="n">
        <v>7.12</v>
      </c>
      <c r="P511" s="22" t="n">
        <v>0.232</v>
      </c>
      <c r="Q511" s="22" t="n">
        <v>23.2</v>
      </c>
      <c r="R511" s="43" t="n">
        <v>0.96</v>
      </c>
      <c r="S511" s="22" t="n">
        <v>960</v>
      </c>
      <c r="T511" s="22" t="n">
        <v>0.638</v>
      </c>
      <c r="U511" s="22" t="n">
        <f aca="false">C511*1</f>
        <v>380</v>
      </c>
      <c r="V511" s="22" t="n">
        <f aca="false">VLOOKUP(U511,'Powder Core Toroid OD'!$A$2:$B$36,2,0)</f>
        <v>17.3</v>
      </c>
    </row>
    <row r="512" customFormat="false" ht="14.4" hidden="true" customHeight="false" outlineLevel="0" collapsed="false">
      <c r="A512" s="45" t="n">
        <v>58381</v>
      </c>
      <c r="B512" s="22" t="s">
        <v>584</v>
      </c>
      <c r="C512" s="23" t="n">
        <v>380</v>
      </c>
      <c r="D512" s="22" t="n">
        <v>60</v>
      </c>
      <c r="E512" s="22" t="s">
        <v>72</v>
      </c>
      <c r="F512" s="22" t="n">
        <v>43</v>
      </c>
      <c r="G512" s="22" t="s">
        <v>51</v>
      </c>
      <c r="H512" s="22" t="n">
        <v>4.14</v>
      </c>
      <c r="I512" s="22" t="n">
        <v>41.4</v>
      </c>
      <c r="J512" s="22" t="n">
        <v>0.355</v>
      </c>
      <c r="K512" s="22" t="n">
        <v>9.01</v>
      </c>
      <c r="L512" s="43" t="n">
        <v>0.71</v>
      </c>
      <c r="M512" s="22" t="n">
        <v>18.1</v>
      </c>
      <c r="N512" s="43" t="n">
        <v>0.28</v>
      </c>
      <c r="O512" s="22" t="n">
        <v>7.12</v>
      </c>
      <c r="P512" s="22" t="n">
        <v>0.232</v>
      </c>
      <c r="Q512" s="22" t="n">
        <v>23.2</v>
      </c>
      <c r="R512" s="43" t="n">
        <v>0.96</v>
      </c>
      <c r="S512" s="22" t="n">
        <v>960</v>
      </c>
      <c r="T512" s="22" t="n">
        <v>0.638</v>
      </c>
      <c r="U512" s="22" t="n">
        <f aca="false">C512*1</f>
        <v>380</v>
      </c>
      <c r="V512" s="22" t="n">
        <f aca="false">VLOOKUP(U512,'Powder Core Toroid OD'!$A$2:$B$36,2,0)</f>
        <v>17.3</v>
      </c>
    </row>
    <row r="513" customFormat="false" ht="14.4" hidden="true" customHeight="false" outlineLevel="0" collapsed="false">
      <c r="A513" s="45" t="n">
        <v>58382</v>
      </c>
      <c r="B513" s="22" t="s">
        <v>585</v>
      </c>
      <c r="C513" s="23" t="n">
        <v>380</v>
      </c>
      <c r="D513" s="22" t="n">
        <v>26</v>
      </c>
      <c r="E513" s="22" t="s">
        <v>72</v>
      </c>
      <c r="F513" s="22" t="n">
        <v>19</v>
      </c>
      <c r="G513" s="22" t="s">
        <v>51</v>
      </c>
      <c r="H513" s="22" t="n">
        <v>4.14</v>
      </c>
      <c r="I513" s="22" t="n">
        <v>41.4</v>
      </c>
      <c r="J513" s="22" t="n">
        <v>0.355</v>
      </c>
      <c r="K513" s="22" t="n">
        <v>9.01</v>
      </c>
      <c r="L513" s="43" t="n">
        <v>0.71</v>
      </c>
      <c r="M513" s="22" t="n">
        <v>18.1</v>
      </c>
      <c r="N513" s="43" t="n">
        <v>0.28</v>
      </c>
      <c r="O513" s="22" t="n">
        <v>7.12</v>
      </c>
      <c r="P513" s="22" t="n">
        <v>0.232</v>
      </c>
      <c r="Q513" s="22" t="n">
        <v>23.2</v>
      </c>
      <c r="R513" s="43" t="n">
        <v>0.96</v>
      </c>
      <c r="S513" s="22" t="n">
        <v>960</v>
      </c>
      <c r="T513" s="22" t="n">
        <v>0.638</v>
      </c>
      <c r="U513" s="22" t="n">
        <f aca="false">C513*1</f>
        <v>380</v>
      </c>
      <c r="V513" s="22" t="n">
        <f aca="false">VLOOKUP(U513,'Powder Core Toroid OD'!$A$2:$B$36,2,0)</f>
        <v>17.3</v>
      </c>
    </row>
    <row r="514" customFormat="false" ht="14.4" hidden="true" customHeight="false" outlineLevel="0" collapsed="false">
      <c r="A514" s="45" t="n">
        <v>58383</v>
      </c>
      <c r="B514" s="22" t="s">
        <v>586</v>
      </c>
      <c r="C514" s="23" t="n">
        <v>380</v>
      </c>
      <c r="D514" s="22" t="n">
        <v>14</v>
      </c>
      <c r="E514" s="22" t="s">
        <v>72</v>
      </c>
      <c r="F514" s="22" t="n">
        <v>10</v>
      </c>
      <c r="G514" s="22" t="s">
        <v>51</v>
      </c>
      <c r="H514" s="22" t="n">
        <v>4.14</v>
      </c>
      <c r="I514" s="22" t="n">
        <v>41.4</v>
      </c>
      <c r="J514" s="22" t="n">
        <v>0.355</v>
      </c>
      <c r="K514" s="22" t="n">
        <v>9.01</v>
      </c>
      <c r="L514" s="43" t="n">
        <v>0.71</v>
      </c>
      <c r="M514" s="22" t="n">
        <v>18.1</v>
      </c>
      <c r="N514" s="43" t="n">
        <v>0.28</v>
      </c>
      <c r="O514" s="22" t="n">
        <v>7.12</v>
      </c>
      <c r="P514" s="22" t="n">
        <v>0.232</v>
      </c>
      <c r="Q514" s="22" t="n">
        <v>23.2</v>
      </c>
      <c r="R514" s="43" t="n">
        <v>0.96</v>
      </c>
      <c r="S514" s="22" t="n">
        <v>960</v>
      </c>
      <c r="T514" s="22" t="n">
        <v>0.638</v>
      </c>
      <c r="U514" s="22" t="n">
        <f aca="false">C514*1</f>
        <v>380</v>
      </c>
      <c r="V514" s="22" t="n">
        <f aca="false">VLOOKUP(U514,'Powder Core Toroid OD'!$A$2:$B$36,2,0)</f>
        <v>17.3</v>
      </c>
    </row>
    <row r="515" customFormat="false" ht="14.4" hidden="true" customHeight="false" outlineLevel="0" collapsed="false">
      <c r="A515" s="45" t="n">
        <v>58408</v>
      </c>
      <c r="B515" s="22" t="s">
        <v>587</v>
      </c>
      <c r="C515" s="23" t="n">
        <v>410</v>
      </c>
      <c r="D515" s="22" t="n">
        <v>160</v>
      </c>
      <c r="E515" s="22" t="s">
        <v>72</v>
      </c>
      <c r="F515" s="22" t="n">
        <v>89</v>
      </c>
      <c r="G515" s="22" t="s">
        <v>51</v>
      </c>
      <c r="H515" s="22" t="n">
        <v>1.65</v>
      </c>
      <c r="I515" s="22" t="n">
        <v>16.5</v>
      </c>
      <c r="J515" s="22" t="n">
        <v>0.136</v>
      </c>
      <c r="K515" s="22" t="n">
        <v>3.45</v>
      </c>
      <c r="L515" s="22" t="n">
        <v>0.295</v>
      </c>
      <c r="M515" s="42" t="n">
        <v>7.5</v>
      </c>
      <c r="N515" s="22" t="n">
        <v>0.225</v>
      </c>
      <c r="O515" s="22" t="n">
        <v>5.72</v>
      </c>
      <c r="P515" s="22" t="n">
        <v>0.0725</v>
      </c>
      <c r="Q515" s="22" t="n">
        <v>7.25</v>
      </c>
      <c r="R515" s="22" t="n">
        <v>0.12</v>
      </c>
      <c r="S515" s="22" t="n">
        <v>120</v>
      </c>
      <c r="T515" s="22" t="n">
        <v>0.0935</v>
      </c>
      <c r="U515" s="22" t="n">
        <f aca="false">C515*1</f>
        <v>410</v>
      </c>
      <c r="V515" s="22" t="n">
        <f aca="false">VLOOKUP(U515,'Powder Core Toroid OD'!$A$2:$B$36,2,0)</f>
        <v>6.86</v>
      </c>
    </row>
    <row r="516" customFormat="false" ht="14.4" hidden="true" customHeight="false" outlineLevel="0" collapsed="false">
      <c r="A516" s="45" t="n">
        <v>58410</v>
      </c>
      <c r="B516" s="22" t="s">
        <v>588</v>
      </c>
      <c r="C516" s="23" t="n">
        <v>410</v>
      </c>
      <c r="D516" s="22" t="n">
        <v>125</v>
      </c>
      <c r="E516" s="22" t="s">
        <v>72</v>
      </c>
      <c r="F516" s="22" t="n">
        <v>70</v>
      </c>
      <c r="G516" s="22" t="s">
        <v>51</v>
      </c>
      <c r="H516" s="22" t="n">
        <v>1.65</v>
      </c>
      <c r="I516" s="22" t="n">
        <v>16.5</v>
      </c>
      <c r="J516" s="22" t="n">
        <v>0.136</v>
      </c>
      <c r="K516" s="22" t="n">
        <v>3.45</v>
      </c>
      <c r="L516" s="22" t="n">
        <v>0.295</v>
      </c>
      <c r="M516" s="42" t="n">
        <v>7.5</v>
      </c>
      <c r="N516" s="22" t="n">
        <v>0.225</v>
      </c>
      <c r="O516" s="22" t="n">
        <v>5.72</v>
      </c>
      <c r="P516" s="22" t="n">
        <v>0.0725</v>
      </c>
      <c r="Q516" s="22" t="n">
        <v>7.25</v>
      </c>
      <c r="R516" s="22" t="n">
        <v>0.12</v>
      </c>
      <c r="S516" s="22" t="n">
        <v>120</v>
      </c>
      <c r="T516" s="22" t="n">
        <v>0.0935</v>
      </c>
      <c r="U516" s="22" t="n">
        <f aca="false">C516*1</f>
        <v>410</v>
      </c>
      <c r="V516" s="22" t="n">
        <f aca="false">VLOOKUP(U516,'Powder Core Toroid OD'!$A$2:$B$36,2,0)</f>
        <v>6.86</v>
      </c>
    </row>
    <row r="517" customFormat="false" ht="14.4" hidden="true" customHeight="false" outlineLevel="0" collapsed="false">
      <c r="A517" s="45" t="n">
        <v>58438</v>
      </c>
      <c r="B517" s="22" t="s">
        <v>589</v>
      </c>
      <c r="C517" s="23" t="n">
        <v>438</v>
      </c>
      <c r="D517" s="22" t="n">
        <v>125</v>
      </c>
      <c r="E517" s="22" t="s">
        <v>72</v>
      </c>
      <c r="F517" s="22" t="n">
        <v>281</v>
      </c>
      <c r="G517" s="22" t="s">
        <v>51</v>
      </c>
      <c r="H517" s="22" t="n">
        <v>10.7</v>
      </c>
      <c r="I517" s="22" t="n">
        <v>107</v>
      </c>
      <c r="J517" s="22" t="n">
        <v>0.918</v>
      </c>
      <c r="K517" s="22" t="n">
        <v>23.3</v>
      </c>
      <c r="L517" s="22" t="n">
        <v>1.875</v>
      </c>
      <c r="M517" s="22" t="n">
        <v>47.63</v>
      </c>
      <c r="N517" s="22" t="n">
        <v>0.745</v>
      </c>
      <c r="O517" s="36" t="n">
        <v>19</v>
      </c>
      <c r="P517" s="22" t="n">
        <v>1.99</v>
      </c>
      <c r="Q517" s="22" t="n">
        <v>199</v>
      </c>
      <c r="R517" s="22" t="n">
        <v>21.3</v>
      </c>
      <c r="S517" s="22" t="n">
        <v>21300</v>
      </c>
      <c r="T517" s="22" t="n">
        <v>4.27</v>
      </c>
      <c r="U517" s="22" t="n">
        <f aca="false">C517*1</f>
        <v>438</v>
      </c>
      <c r="V517" s="22" t="n">
        <f aca="false">VLOOKUP(U517,'Powder Core Toroid OD'!$A$2:$B$36,2,0)</f>
        <v>46.7</v>
      </c>
    </row>
    <row r="518" customFormat="false" ht="14.4" hidden="true" customHeight="false" outlineLevel="0" collapsed="false">
      <c r="A518" s="45" t="n">
        <v>58439</v>
      </c>
      <c r="B518" s="22" t="s">
        <v>590</v>
      </c>
      <c r="C518" s="23" t="n">
        <v>438</v>
      </c>
      <c r="D518" s="22" t="n">
        <v>60</v>
      </c>
      <c r="E518" s="22" t="s">
        <v>72</v>
      </c>
      <c r="F518" s="22" t="n">
        <v>135</v>
      </c>
      <c r="G518" s="22" t="s">
        <v>51</v>
      </c>
      <c r="H518" s="22" t="n">
        <v>10.7</v>
      </c>
      <c r="I518" s="22" t="n">
        <v>107</v>
      </c>
      <c r="J518" s="22" t="n">
        <v>0.918</v>
      </c>
      <c r="K518" s="22" t="n">
        <v>23.3</v>
      </c>
      <c r="L518" s="22" t="n">
        <v>1.875</v>
      </c>
      <c r="M518" s="22" t="n">
        <v>47.63</v>
      </c>
      <c r="N518" s="22" t="n">
        <v>0.745</v>
      </c>
      <c r="O518" s="36" t="n">
        <v>19</v>
      </c>
      <c r="P518" s="22" t="n">
        <v>1.99</v>
      </c>
      <c r="Q518" s="22" t="n">
        <v>199</v>
      </c>
      <c r="R518" s="22" t="n">
        <v>21.3</v>
      </c>
      <c r="S518" s="22" t="n">
        <v>21300</v>
      </c>
      <c r="T518" s="22" t="n">
        <v>4.27</v>
      </c>
      <c r="U518" s="22" t="n">
        <f aca="false">C518*1</f>
        <v>438</v>
      </c>
      <c r="V518" s="22" t="n">
        <f aca="false">VLOOKUP(U518,'Powder Core Toroid OD'!$A$2:$B$36,2,0)</f>
        <v>46.7</v>
      </c>
    </row>
    <row r="519" customFormat="false" ht="14.4" hidden="true" customHeight="false" outlineLevel="0" collapsed="false">
      <c r="A519" s="45" t="n">
        <v>58440</v>
      </c>
      <c r="B519" s="22" t="s">
        <v>591</v>
      </c>
      <c r="C519" s="23" t="n">
        <v>438</v>
      </c>
      <c r="D519" s="22" t="n">
        <v>26</v>
      </c>
      <c r="E519" s="22" t="s">
        <v>72</v>
      </c>
      <c r="F519" s="22" t="n">
        <v>59</v>
      </c>
      <c r="G519" s="22" t="s">
        <v>51</v>
      </c>
      <c r="H519" s="22" t="n">
        <v>10.7</v>
      </c>
      <c r="I519" s="22" t="n">
        <v>107</v>
      </c>
      <c r="J519" s="22" t="n">
        <v>0.918</v>
      </c>
      <c r="K519" s="22" t="n">
        <v>23.3</v>
      </c>
      <c r="L519" s="22" t="n">
        <v>1.875</v>
      </c>
      <c r="M519" s="22" t="n">
        <v>47.63</v>
      </c>
      <c r="N519" s="22" t="n">
        <v>0.745</v>
      </c>
      <c r="O519" s="36" t="n">
        <v>19</v>
      </c>
      <c r="P519" s="22" t="n">
        <v>1.99</v>
      </c>
      <c r="Q519" s="22" t="n">
        <v>199</v>
      </c>
      <c r="R519" s="22" t="n">
        <v>21.3</v>
      </c>
      <c r="S519" s="22" t="n">
        <v>21300</v>
      </c>
      <c r="T519" s="22" t="n">
        <v>4.27</v>
      </c>
      <c r="U519" s="22" t="n">
        <f aca="false">C519*1</f>
        <v>438</v>
      </c>
      <c r="V519" s="22" t="n">
        <f aca="false">VLOOKUP(U519,'Powder Core Toroid OD'!$A$2:$B$36,2,0)</f>
        <v>46.7</v>
      </c>
    </row>
    <row r="520" customFormat="false" ht="14.4" hidden="true" customHeight="false" outlineLevel="0" collapsed="false">
      <c r="A520" s="45" t="n">
        <v>58441</v>
      </c>
      <c r="B520" s="22" t="s">
        <v>592</v>
      </c>
      <c r="C520" s="23" t="n">
        <v>438</v>
      </c>
      <c r="D520" s="22" t="n">
        <v>14</v>
      </c>
      <c r="E520" s="22" t="s">
        <v>72</v>
      </c>
      <c r="F520" s="22" t="n">
        <v>32</v>
      </c>
      <c r="G520" s="22" t="s">
        <v>51</v>
      </c>
      <c r="H520" s="22" t="n">
        <v>10.7</v>
      </c>
      <c r="I520" s="22" t="n">
        <v>107</v>
      </c>
      <c r="J520" s="22" t="n">
        <v>0.918</v>
      </c>
      <c r="K520" s="22" t="n">
        <v>23.3</v>
      </c>
      <c r="L520" s="22" t="n">
        <v>1.875</v>
      </c>
      <c r="M520" s="22" t="n">
        <v>47.63</v>
      </c>
      <c r="N520" s="22" t="n">
        <v>0.745</v>
      </c>
      <c r="O520" s="36" t="n">
        <v>19</v>
      </c>
      <c r="P520" s="22" t="n">
        <v>1.99</v>
      </c>
      <c r="Q520" s="22" t="n">
        <v>199</v>
      </c>
      <c r="R520" s="22" t="n">
        <v>21.3</v>
      </c>
      <c r="S520" s="22" t="n">
        <v>21300</v>
      </c>
      <c r="T520" s="22" t="n">
        <v>4.27</v>
      </c>
      <c r="U520" s="22" t="n">
        <f aca="false">C520*1</f>
        <v>438</v>
      </c>
      <c r="V520" s="22" t="n">
        <f aca="false">VLOOKUP(U520,'Powder Core Toroid OD'!$A$2:$B$36,2,0)</f>
        <v>46.7</v>
      </c>
    </row>
    <row r="521" customFormat="false" ht="14.4" hidden="true" customHeight="false" outlineLevel="0" collapsed="false">
      <c r="A521" s="45" t="n">
        <v>58546</v>
      </c>
      <c r="B521" s="22" t="s">
        <v>593</v>
      </c>
      <c r="C521" s="23" t="n">
        <v>548</v>
      </c>
      <c r="D521" s="22" t="n">
        <v>160</v>
      </c>
      <c r="E521" s="22" t="s">
        <v>72</v>
      </c>
      <c r="F521" s="22" t="n">
        <v>163</v>
      </c>
      <c r="G521" s="22" t="s">
        <v>51</v>
      </c>
      <c r="H521" s="22" t="n">
        <v>8.14</v>
      </c>
      <c r="I521" s="22" t="n">
        <v>81.4</v>
      </c>
      <c r="J521" s="22" t="n">
        <v>0.766</v>
      </c>
      <c r="K521" s="22" t="n">
        <v>19.4</v>
      </c>
      <c r="L521" s="22" t="n">
        <v>1.325</v>
      </c>
      <c r="M521" s="22" t="n">
        <v>33.66</v>
      </c>
      <c r="N521" s="43" t="n">
        <v>0.45</v>
      </c>
      <c r="O521" s="22" t="n">
        <v>11.5</v>
      </c>
      <c r="P521" s="22" t="n">
        <v>0.656</v>
      </c>
      <c r="Q521" s="22" t="n">
        <v>65.6</v>
      </c>
      <c r="R521" s="42" t="n">
        <v>5.34</v>
      </c>
      <c r="S521" s="22" t="n">
        <v>5340</v>
      </c>
      <c r="T521" s="22" t="n">
        <v>2.97</v>
      </c>
      <c r="U521" s="22" t="n">
        <f aca="false">C521*1</f>
        <v>548</v>
      </c>
      <c r="V521" s="22" t="n">
        <f aca="false">VLOOKUP(U521,'Powder Core Toroid OD'!$A$2:$B$36,2,0)</f>
        <v>32.8</v>
      </c>
    </row>
    <row r="522" customFormat="false" ht="14.4" hidden="true" customHeight="false" outlineLevel="0" collapsed="false">
      <c r="A522" s="45" t="n">
        <v>58547</v>
      </c>
      <c r="B522" s="22" t="s">
        <v>594</v>
      </c>
      <c r="C522" s="23" t="n">
        <v>548</v>
      </c>
      <c r="D522" s="22" t="n">
        <v>147</v>
      </c>
      <c r="E522" s="22" t="s">
        <v>72</v>
      </c>
      <c r="F522" s="22" t="n">
        <v>150</v>
      </c>
      <c r="G522" s="22" t="s">
        <v>51</v>
      </c>
      <c r="H522" s="22" t="n">
        <v>8.14</v>
      </c>
      <c r="I522" s="22" t="n">
        <v>81.4</v>
      </c>
      <c r="J522" s="22" t="n">
        <v>0.766</v>
      </c>
      <c r="K522" s="22" t="n">
        <v>19.4</v>
      </c>
      <c r="L522" s="22" t="n">
        <v>1.325</v>
      </c>
      <c r="M522" s="22" t="n">
        <v>33.66</v>
      </c>
      <c r="N522" s="43" t="n">
        <v>0.45</v>
      </c>
      <c r="O522" s="22" t="n">
        <v>11.5</v>
      </c>
      <c r="P522" s="22" t="n">
        <v>0.656</v>
      </c>
      <c r="Q522" s="22" t="n">
        <v>65.6</v>
      </c>
      <c r="R522" s="42" t="n">
        <v>5.34</v>
      </c>
      <c r="S522" s="22" t="n">
        <v>5340</v>
      </c>
      <c r="T522" s="22" t="n">
        <v>2.97</v>
      </c>
      <c r="U522" s="22" t="n">
        <f aca="false">C522*1</f>
        <v>548</v>
      </c>
      <c r="V522" s="22" t="n">
        <f aca="false">VLOOKUP(U522,'Powder Core Toroid OD'!$A$2:$B$36,2,0)</f>
        <v>32.8</v>
      </c>
    </row>
    <row r="523" customFormat="false" ht="14.4" hidden="true" customHeight="false" outlineLevel="0" collapsed="false">
      <c r="A523" s="45" t="n">
        <v>58548</v>
      </c>
      <c r="B523" s="22" t="s">
        <v>595</v>
      </c>
      <c r="C523" s="23" t="n">
        <v>548</v>
      </c>
      <c r="D523" s="22" t="n">
        <v>125</v>
      </c>
      <c r="E523" s="22" t="s">
        <v>72</v>
      </c>
      <c r="F523" s="22" t="n">
        <v>127</v>
      </c>
      <c r="G523" s="22" t="s">
        <v>51</v>
      </c>
      <c r="H523" s="22" t="n">
        <v>8.14</v>
      </c>
      <c r="I523" s="22" t="n">
        <v>81.4</v>
      </c>
      <c r="J523" s="22" t="n">
        <v>0.766</v>
      </c>
      <c r="K523" s="22" t="n">
        <v>19.4</v>
      </c>
      <c r="L523" s="22" t="n">
        <v>1.325</v>
      </c>
      <c r="M523" s="22" t="n">
        <v>33.66</v>
      </c>
      <c r="N523" s="43" t="n">
        <v>0.45</v>
      </c>
      <c r="O523" s="22" t="n">
        <v>11.5</v>
      </c>
      <c r="P523" s="22" t="n">
        <v>0.656</v>
      </c>
      <c r="Q523" s="22" t="n">
        <v>65.6</v>
      </c>
      <c r="R523" s="42" t="n">
        <v>5.34</v>
      </c>
      <c r="S523" s="22" t="n">
        <v>5340</v>
      </c>
      <c r="T523" s="22" t="n">
        <v>2.97</v>
      </c>
      <c r="U523" s="22" t="n">
        <f aca="false">C523*1</f>
        <v>548</v>
      </c>
      <c r="V523" s="22" t="n">
        <f aca="false">VLOOKUP(U523,'Powder Core Toroid OD'!$A$2:$B$36,2,0)</f>
        <v>32.8</v>
      </c>
    </row>
    <row r="524" customFormat="false" ht="14.4" hidden="true" customHeight="false" outlineLevel="0" collapsed="false">
      <c r="A524" s="45" t="n">
        <v>58550</v>
      </c>
      <c r="B524" s="22" t="s">
        <v>596</v>
      </c>
      <c r="C524" s="23" t="n">
        <v>548</v>
      </c>
      <c r="D524" s="22" t="n">
        <v>26</v>
      </c>
      <c r="E524" s="22" t="s">
        <v>72</v>
      </c>
      <c r="F524" s="22" t="n">
        <v>28</v>
      </c>
      <c r="G524" s="22" t="s">
        <v>51</v>
      </c>
      <c r="H524" s="22" t="n">
        <v>8.14</v>
      </c>
      <c r="I524" s="22" t="n">
        <v>81.4</v>
      </c>
      <c r="J524" s="22" t="n">
        <v>0.766</v>
      </c>
      <c r="K524" s="22" t="n">
        <v>19.4</v>
      </c>
      <c r="L524" s="22" t="n">
        <v>1.325</v>
      </c>
      <c r="M524" s="22" t="n">
        <v>33.66</v>
      </c>
      <c r="N524" s="43" t="n">
        <v>0.45</v>
      </c>
      <c r="O524" s="22" t="n">
        <v>11.5</v>
      </c>
      <c r="P524" s="22" t="n">
        <v>0.656</v>
      </c>
      <c r="Q524" s="22" t="n">
        <v>65.6</v>
      </c>
      <c r="R524" s="42" t="n">
        <v>5.34</v>
      </c>
      <c r="S524" s="22" t="n">
        <v>5340</v>
      </c>
      <c r="T524" s="22" t="n">
        <v>2.97</v>
      </c>
      <c r="U524" s="22" t="n">
        <f aca="false">C524*1</f>
        <v>548</v>
      </c>
      <c r="V524" s="22" t="n">
        <f aca="false">VLOOKUP(U524,'Powder Core Toroid OD'!$A$2:$B$36,2,0)</f>
        <v>32.8</v>
      </c>
    </row>
    <row r="525" customFormat="false" ht="14.4" hidden="true" customHeight="false" outlineLevel="0" collapsed="false">
      <c r="A525" s="45" t="n">
        <v>58551</v>
      </c>
      <c r="B525" s="22" t="s">
        <v>597</v>
      </c>
      <c r="C525" s="23" t="n">
        <v>548</v>
      </c>
      <c r="D525" s="22" t="n">
        <v>14</v>
      </c>
      <c r="E525" s="22" t="s">
        <v>72</v>
      </c>
      <c r="F525" s="22" t="n">
        <v>14</v>
      </c>
      <c r="G525" s="22" t="s">
        <v>51</v>
      </c>
      <c r="H525" s="22" t="n">
        <v>8.14</v>
      </c>
      <c r="I525" s="22" t="n">
        <v>81.4</v>
      </c>
      <c r="J525" s="22" t="n">
        <v>0.766</v>
      </c>
      <c r="K525" s="22" t="n">
        <v>19.4</v>
      </c>
      <c r="L525" s="22" t="n">
        <v>1.325</v>
      </c>
      <c r="M525" s="22" t="n">
        <v>33.66</v>
      </c>
      <c r="N525" s="43" t="n">
        <v>0.45</v>
      </c>
      <c r="O525" s="22" t="n">
        <v>11.5</v>
      </c>
      <c r="P525" s="22" t="n">
        <v>0.656</v>
      </c>
      <c r="Q525" s="22" t="n">
        <v>65.6</v>
      </c>
      <c r="R525" s="42" t="n">
        <v>5.34</v>
      </c>
      <c r="S525" s="22" t="n">
        <v>5340</v>
      </c>
      <c r="T525" s="22" t="n">
        <v>2.97</v>
      </c>
      <c r="U525" s="22" t="n">
        <f aca="false">C525*1</f>
        <v>548</v>
      </c>
      <c r="V525" s="22" t="n">
        <f aca="false">VLOOKUP(U525,'Powder Core Toroid OD'!$A$2:$B$36,2,0)</f>
        <v>32.8</v>
      </c>
    </row>
    <row r="526" customFormat="false" ht="14.4" hidden="true" customHeight="false" outlineLevel="0" collapsed="false">
      <c r="A526" s="45" t="n">
        <v>58583</v>
      </c>
      <c r="B526" s="22" t="s">
        <v>598</v>
      </c>
      <c r="C526" s="23" t="n">
        <v>585</v>
      </c>
      <c r="D526" s="22" t="n">
        <v>160</v>
      </c>
      <c r="E526" s="22" t="s">
        <v>72</v>
      </c>
      <c r="F526" s="22" t="n">
        <v>101</v>
      </c>
      <c r="G526" s="22" t="s">
        <v>51</v>
      </c>
      <c r="H526" s="22" t="n">
        <v>8.95</v>
      </c>
      <c r="I526" s="22" t="n">
        <v>89.5</v>
      </c>
      <c r="J526" s="22" t="n">
        <v>0.888</v>
      </c>
      <c r="K526" s="22" t="n">
        <v>22.5</v>
      </c>
      <c r="L526" s="22" t="n">
        <v>1.385</v>
      </c>
      <c r="M526" s="22" t="n">
        <v>35.18</v>
      </c>
      <c r="N526" s="22" t="n">
        <v>0.385</v>
      </c>
      <c r="O526" s="22" t="n">
        <v>9.78</v>
      </c>
      <c r="P526" s="22" t="n">
        <v>0.464</v>
      </c>
      <c r="Q526" s="22" t="n">
        <v>46.4</v>
      </c>
      <c r="R526" s="42" t="n">
        <v>4.15</v>
      </c>
      <c r="S526" s="22" t="n">
        <v>4150</v>
      </c>
      <c r="T526" s="22" t="n">
        <v>3.99</v>
      </c>
      <c r="U526" s="22" t="n">
        <f aca="false">C526*1</f>
        <v>585</v>
      </c>
      <c r="V526" s="22" t="n">
        <f aca="false">VLOOKUP(U526,'Powder Core Toroid OD'!$A$2:$B$36,2,0)</f>
        <v>34.3</v>
      </c>
    </row>
    <row r="527" customFormat="false" ht="14.4" hidden="true" customHeight="false" outlineLevel="0" collapsed="false">
      <c r="A527" s="45" t="n">
        <v>58585</v>
      </c>
      <c r="B527" s="22" t="s">
        <v>599</v>
      </c>
      <c r="C527" s="23" t="n">
        <v>585</v>
      </c>
      <c r="D527" s="22" t="n">
        <v>125</v>
      </c>
      <c r="E527" s="22" t="s">
        <v>72</v>
      </c>
      <c r="F527" s="22" t="n">
        <v>79</v>
      </c>
      <c r="G527" s="22" t="s">
        <v>51</v>
      </c>
      <c r="H527" s="22" t="n">
        <v>8.95</v>
      </c>
      <c r="I527" s="22" t="n">
        <v>89.5</v>
      </c>
      <c r="J527" s="22" t="n">
        <v>0.888</v>
      </c>
      <c r="K527" s="22" t="n">
        <v>22.5</v>
      </c>
      <c r="L527" s="22" t="n">
        <v>1.385</v>
      </c>
      <c r="M527" s="22" t="n">
        <v>35.18</v>
      </c>
      <c r="N527" s="22" t="n">
        <v>0.385</v>
      </c>
      <c r="O527" s="22" t="n">
        <v>9.78</v>
      </c>
      <c r="P527" s="22" t="n">
        <v>0.464</v>
      </c>
      <c r="Q527" s="22" t="n">
        <v>46.4</v>
      </c>
      <c r="R527" s="42" t="n">
        <v>4.15</v>
      </c>
      <c r="S527" s="22" t="n">
        <v>4150</v>
      </c>
      <c r="T527" s="22" t="n">
        <v>3.99</v>
      </c>
      <c r="U527" s="22" t="n">
        <f aca="false">C527*1</f>
        <v>585</v>
      </c>
      <c r="V527" s="22" t="n">
        <f aca="false">VLOOKUP(U527,'Powder Core Toroid OD'!$A$2:$B$36,2,0)</f>
        <v>34.3</v>
      </c>
    </row>
    <row r="528" customFormat="false" ht="14.4" hidden="true" customHeight="false" outlineLevel="0" collapsed="false">
      <c r="A528" s="45" t="n">
        <v>58586</v>
      </c>
      <c r="B528" s="22" t="s">
        <v>600</v>
      </c>
      <c r="C528" s="23" t="n">
        <v>585</v>
      </c>
      <c r="D528" s="22" t="n">
        <v>60</v>
      </c>
      <c r="E528" s="22" t="s">
        <v>72</v>
      </c>
      <c r="F528" s="22" t="n">
        <v>38</v>
      </c>
      <c r="G528" s="22" t="s">
        <v>51</v>
      </c>
      <c r="H528" s="22" t="n">
        <v>8.95</v>
      </c>
      <c r="I528" s="22" t="n">
        <v>89.5</v>
      </c>
      <c r="J528" s="22" t="n">
        <v>0.888</v>
      </c>
      <c r="K528" s="22" t="n">
        <v>22.5</v>
      </c>
      <c r="L528" s="22" t="n">
        <v>1.385</v>
      </c>
      <c r="M528" s="22" t="n">
        <v>35.18</v>
      </c>
      <c r="N528" s="22" t="n">
        <v>0.385</v>
      </c>
      <c r="O528" s="22" t="n">
        <v>9.78</v>
      </c>
      <c r="P528" s="22" t="n">
        <v>0.464</v>
      </c>
      <c r="Q528" s="22" t="n">
        <v>46.4</v>
      </c>
      <c r="R528" s="42" t="n">
        <v>4.15</v>
      </c>
      <c r="S528" s="22" t="n">
        <v>4150</v>
      </c>
      <c r="T528" s="22" t="n">
        <v>3.99</v>
      </c>
      <c r="U528" s="22" t="n">
        <f aca="false">C528*1</f>
        <v>585</v>
      </c>
      <c r="V528" s="22" t="n">
        <f aca="false">VLOOKUP(U528,'Powder Core Toroid OD'!$A$2:$B$36,2,0)</f>
        <v>34.3</v>
      </c>
    </row>
    <row r="529" customFormat="false" ht="14.4" hidden="true" customHeight="false" outlineLevel="0" collapsed="false">
      <c r="A529" s="45" t="n">
        <v>58714</v>
      </c>
      <c r="B529" s="22" t="s">
        <v>601</v>
      </c>
      <c r="C529" s="23" t="n">
        <v>715</v>
      </c>
      <c r="D529" s="22" t="n">
        <v>147</v>
      </c>
      <c r="E529" s="22" t="s">
        <v>72</v>
      </c>
      <c r="F529" s="22" t="n">
        <v>179</v>
      </c>
      <c r="G529" s="22" t="s">
        <v>51</v>
      </c>
      <c r="H529" s="22" t="n">
        <v>12.7</v>
      </c>
      <c r="I529" s="22" t="n">
        <v>127</v>
      </c>
      <c r="J529" s="22" t="n">
        <v>1.218</v>
      </c>
      <c r="K529" s="22" t="n">
        <v>30.93</v>
      </c>
      <c r="L529" s="22" t="n">
        <v>2.035</v>
      </c>
      <c r="M529" s="22" t="n">
        <v>51.69</v>
      </c>
      <c r="N529" s="22" t="n">
        <v>0.565</v>
      </c>
      <c r="O529" s="22" t="n">
        <v>14.4</v>
      </c>
      <c r="P529" s="22" t="n">
        <v>1.25</v>
      </c>
      <c r="Q529" s="22" t="n">
        <v>125</v>
      </c>
      <c r="R529" s="22" t="n">
        <v>15.9</v>
      </c>
      <c r="S529" s="22" t="n">
        <v>15900</v>
      </c>
      <c r="T529" s="22" t="n">
        <v>7.51</v>
      </c>
      <c r="U529" s="22" t="n">
        <f aca="false">C529*1</f>
        <v>715</v>
      </c>
      <c r="V529" s="22" t="n">
        <f aca="false">VLOOKUP(U529,'Powder Core Toroid OD'!$A$2:$B$36,2,0)</f>
        <v>50.8</v>
      </c>
    </row>
    <row r="530" customFormat="false" ht="14.4" hidden="true" customHeight="false" outlineLevel="0" collapsed="false">
      <c r="A530" s="45" t="n">
        <v>58715</v>
      </c>
      <c r="B530" s="22" t="s">
        <v>602</v>
      </c>
      <c r="C530" s="23" t="n">
        <v>715</v>
      </c>
      <c r="D530" s="22" t="n">
        <v>125</v>
      </c>
      <c r="E530" s="22" t="s">
        <v>72</v>
      </c>
      <c r="F530" s="22" t="n">
        <v>152</v>
      </c>
      <c r="G530" s="22" t="s">
        <v>51</v>
      </c>
      <c r="H530" s="22" t="n">
        <v>12.7</v>
      </c>
      <c r="I530" s="22" t="n">
        <v>127</v>
      </c>
      <c r="J530" s="22" t="n">
        <v>1.218</v>
      </c>
      <c r="K530" s="22" t="n">
        <v>30.93</v>
      </c>
      <c r="L530" s="22" t="n">
        <v>2.035</v>
      </c>
      <c r="M530" s="22" t="n">
        <v>51.69</v>
      </c>
      <c r="N530" s="22" t="n">
        <v>0.565</v>
      </c>
      <c r="O530" s="22" t="n">
        <v>14.4</v>
      </c>
      <c r="P530" s="22" t="n">
        <v>1.25</v>
      </c>
      <c r="Q530" s="22" t="n">
        <v>125</v>
      </c>
      <c r="R530" s="22" t="n">
        <v>15.9</v>
      </c>
      <c r="S530" s="22" t="n">
        <v>15900</v>
      </c>
      <c r="T530" s="22" t="n">
        <v>7.51</v>
      </c>
      <c r="U530" s="22" t="n">
        <f aca="false">C530*1</f>
        <v>715</v>
      </c>
      <c r="V530" s="22" t="n">
        <f aca="false">VLOOKUP(U530,'Powder Core Toroid OD'!$A$2:$B$36,2,0)</f>
        <v>50.8</v>
      </c>
    </row>
    <row r="531" customFormat="false" ht="14.4" hidden="true" customHeight="false" outlineLevel="0" collapsed="false">
      <c r="A531" s="45" t="n">
        <v>58716</v>
      </c>
      <c r="B531" s="22" t="s">
        <v>603</v>
      </c>
      <c r="C531" s="23" t="n">
        <v>715</v>
      </c>
      <c r="D531" s="22" t="n">
        <v>60</v>
      </c>
      <c r="E531" s="22" t="s">
        <v>72</v>
      </c>
      <c r="F531" s="22" t="n">
        <v>73</v>
      </c>
      <c r="G531" s="22" t="s">
        <v>51</v>
      </c>
      <c r="H531" s="22" t="n">
        <v>12.7</v>
      </c>
      <c r="I531" s="22" t="n">
        <v>127</v>
      </c>
      <c r="J531" s="22" t="n">
        <v>1.218</v>
      </c>
      <c r="K531" s="22" t="n">
        <v>30.93</v>
      </c>
      <c r="L531" s="22" t="n">
        <v>2.035</v>
      </c>
      <c r="M531" s="22" t="n">
        <v>51.69</v>
      </c>
      <c r="N531" s="22" t="n">
        <v>0.565</v>
      </c>
      <c r="O531" s="22" t="n">
        <v>14.4</v>
      </c>
      <c r="P531" s="22" t="n">
        <v>1.25</v>
      </c>
      <c r="Q531" s="22" t="n">
        <v>125</v>
      </c>
      <c r="R531" s="22" t="n">
        <v>15.9</v>
      </c>
      <c r="S531" s="22" t="n">
        <v>15900</v>
      </c>
      <c r="T531" s="22" t="n">
        <v>7.51</v>
      </c>
      <c r="U531" s="22" t="n">
        <f aca="false">C531*1</f>
        <v>715</v>
      </c>
      <c r="V531" s="22" t="n">
        <f aca="false">VLOOKUP(U531,'Powder Core Toroid OD'!$A$2:$B$36,2,0)</f>
        <v>50.8</v>
      </c>
    </row>
    <row r="532" customFormat="false" ht="14.4" hidden="true" customHeight="false" outlineLevel="0" collapsed="false">
      <c r="A532" s="45" t="n">
        <v>58717</v>
      </c>
      <c r="B532" s="22" t="s">
        <v>604</v>
      </c>
      <c r="C532" s="23" t="n">
        <v>715</v>
      </c>
      <c r="D532" s="22" t="n">
        <v>26</v>
      </c>
      <c r="E532" s="22" t="s">
        <v>72</v>
      </c>
      <c r="F532" s="22" t="n">
        <v>32</v>
      </c>
      <c r="G532" s="22" t="s">
        <v>51</v>
      </c>
      <c r="H532" s="22" t="n">
        <v>12.7</v>
      </c>
      <c r="I532" s="22" t="n">
        <v>127</v>
      </c>
      <c r="J532" s="22" t="n">
        <v>1.218</v>
      </c>
      <c r="K532" s="22" t="n">
        <v>30.93</v>
      </c>
      <c r="L532" s="22" t="n">
        <v>2.035</v>
      </c>
      <c r="M532" s="22" t="n">
        <v>51.69</v>
      </c>
      <c r="N532" s="22" t="n">
        <v>0.565</v>
      </c>
      <c r="O532" s="22" t="n">
        <v>14.4</v>
      </c>
      <c r="P532" s="22" t="n">
        <v>1.25</v>
      </c>
      <c r="Q532" s="22" t="n">
        <v>125</v>
      </c>
      <c r="R532" s="22" t="n">
        <v>15.9</v>
      </c>
      <c r="S532" s="22" t="n">
        <v>15900</v>
      </c>
      <c r="T532" s="22" t="n">
        <v>7.51</v>
      </c>
      <c r="U532" s="22" t="n">
        <f aca="false">C532*1</f>
        <v>715</v>
      </c>
      <c r="V532" s="22" t="n">
        <f aca="false">VLOOKUP(U532,'Powder Core Toroid OD'!$A$2:$B$36,2,0)</f>
        <v>50.8</v>
      </c>
    </row>
    <row r="533" customFormat="false" ht="14.4" hidden="true" customHeight="false" outlineLevel="0" collapsed="false">
      <c r="A533" s="45" t="n">
        <v>58718</v>
      </c>
      <c r="B533" s="22" t="s">
        <v>605</v>
      </c>
      <c r="C533" s="23" t="n">
        <v>715</v>
      </c>
      <c r="D533" s="22" t="n">
        <v>14</v>
      </c>
      <c r="E533" s="22" t="s">
        <v>72</v>
      </c>
      <c r="F533" s="22" t="n">
        <v>17</v>
      </c>
      <c r="G533" s="22" t="s">
        <v>51</v>
      </c>
      <c r="H533" s="22" t="n">
        <v>12.7</v>
      </c>
      <c r="I533" s="22" t="n">
        <v>127</v>
      </c>
      <c r="J533" s="22" t="n">
        <v>1.218</v>
      </c>
      <c r="K533" s="22" t="n">
        <v>30.93</v>
      </c>
      <c r="L533" s="22" t="n">
        <v>2.035</v>
      </c>
      <c r="M533" s="22" t="n">
        <v>51.69</v>
      </c>
      <c r="N533" s="22" t="n">
        <v>0.565</v>
      </c>
      <c r="O533" s="22" t="n">
        <v>14.4</v>
      </c>
      <c r="P533" s="22" t="n">
        <v>1.25</v>
      </c>
      <c r="Q533" s="22" t="n">
        <v>125</v>
      </c>
      <c r="R533" s="22" t="n">
        <v>15.9</v>
      </c>
      <c r="S533" s="22" t="n">
        <v>15900</v>
      </c>
      <c r="T533" s="22" t="n">
        <v>7.51</v>
      </c>
      <c r="U533" s="22" t="n">
        <f aca="false">C533*1</f>
        <v>715</v>
      </c>
      <c r="V533" s="22" t="n">
        <f aca="false">VLOOKUP(U533,'Powder Core Toroid OD'!$A$2:$B$36,2,0)</f>
        <v>50.8</v>
      </c>
    </row>
    <row r="534" customFormat="false" ht="14.4" hidden="true" customHeight="false" outlineLevel="0" collapsed="false">
      <c r="A534" s="45" t="n">
        <v>58848</v>
      </c>
      <c r="B534" s="22" t="s">
        <v>606</v>
      </c>
      <c r="C534" s="23" t="n">
        <v>206</v>
      </c>
      <c r="D534" s="22" t="n">
        <v>60</v>
      </c>
      <c r="E534" s="22" t="s">
        <v>72</v>
      </c>
      <c r="F534" s="22" t="n">
        <v>32</v>
      </c>
      <c r="G534" s="22" t="s">
        <v>51</v>
      </c>
      <c r="H534" s="22" t="n">
        <v>5.09</v>
      </c>
      <c r="I534" s="22" t="n">
        <v>50.9</v>
      </c>
      <c r="J534" s="22" t="n">
        <v>0.475</v>
      </c>
      <c r="K534" s="36" t="n">
        <v>12</v>
      </c>
      <c r="L534" s="43" t="n">
        <v>0.83</v>
      </c>
      <c r="M534" s="22" t="n">
        <v>21.1</v>
      </c>
      <c r="N534" s="43" t="n">
        <v>0.28</v>
      </c>
      <c r="O534" s="22" t="n">
        <v>7.12</v>
      </c>
      <c r="P534" s="22" t="n">
        <v>0.221</v>
      </c>
      <c r="Q534" s="22" t="n">
        <v>22.1</v>
      </c>
      <c r="R534" s="42" t="n">
        <v>1.12</v>
      </c>
      <c r="S534" s="22" t="n">
        <v>1120</v>
      </c>
      <c r="T534" s="22" t="n">
        <v>1.14</v>
      </c>
      <c r="U534" s="22" t="n">
        <f aca="false">C534*1</f>
        <v>206</v>
      </c>
      <c r="V534" s="22" t="n">
        <f aca="false">VLOOKUP(U534,'Powder Core Toroid OD'!$A$2:$B$36,2,0)</f>
        <v>20.3</v>
      </c>
    </row>
    <row r="535" customFormat="false" ht="14.4" hidden="true" customHeight="false" outlineLevel="0" collapsed="false">
      <c r="A535" s="45" t="n">
        <v>58866</v>
      </c>
      <c r="B535" s="22" t="s">
        <v>607</v>
      </c>
      <c r="C535" s="23" t="n">
        <v>866</v>
      </c>
      <c r="D535" s="22" t="n">
        <v>125</v>
      </c>
      <c r="E535" s="22" t="s">
        <v>72</v>
      </c>
      <c r="F535" s="22" t="n">
        <v>142</v>
      </c>
      <c r="G535" s="22" t="s">
        <v>51</v>
      </c>
      <c r="H535" s="22" t="n">
        <v>19.6</v>
      </c>
      <c r="I535" s="22" t="n">
        <v>196</v>
      </c>
      <c r="J535" s="22" t="n">
        <v>1.898</v>
      </c>
      <c r="K535" s="42" t="n">
        <v>48.2</v>
      </c>
      <c r="L535" s="22" t="n">
        <v>3.108</v>
      </c>
      <c r="M535" s="22" t="n">
        <v>78.95</v>
      </c>
      <c r="N535" s="22" t="n">
        <v>0.545</v>
      </c>
      <c r="O535" s="22" t="n">
        <v>13.9</v>
      </c>
      <c r="P535" s="22" t="n">
        <v>1.76</v>
      </c>
      <c r="Q535" s="22" t="n">
        <v>176</v>
      </c>
      <c r="R535" s="22" t="n">
        <v>34.5</v>
      </c>
      <c r="S535" s="22" t="n">
        <v>34500</v>
      </c>
      <c r="T535" s="22" t="n">
        <v>18.2</v>
      </c>
      <c r="U535" s="22" t="n">
        <f aca="false">C535*1</f>
        <v>866</v>
      </c>
      <c r="V535" s="22" t="n">
        <f aca="false">VLOOKUP(U535,'Powder Core Toroid OD'!$A$2:$B$36,2,0)</f>
        <v>77.8</v>
      </c>
    </row>
    <row r="536" customFormat="false" ht="14.4" hidden="true" customHeight="false" outlineLevel="0" collapsed="false">
      <c r="A536" s="45" t="n">
        <v>58867</v>
      </c>
      <c r="B536" s="22" t="s">
        <v>608</v>
      </c>
      <c r="C536" s="23" t="n">
        <v>866</v>
      </c>
      <c r="D536" s="22" t="n">
        <v>60</v>
      </c>
      <c r="E536" s="22" t="s">
        <v>72</v>
      </c>
      <c r="F536" s="22" t="n">
        <v>68</v>
      </c>
      <c r="G536" s="22" t="s">
        <v>51</v>
      </c>
      <c r="H536" s="22" t="n">
        <v>19.6</v>
      </c>
      <c r="I536" s="22" t="n">
        <v>196</v>
      </c>
      <c r="J536" s="22" t="n">
        <v>1.898</v>
      </c>
      <c r="K536" s="42" t="n">
        <v>48.2</v>
      </c>
      <c r="L536" s="22" t="n">
        <v>3.108</v>
      </c>
      <c r="M536" s="22" t="n">
        <v>78.95</v>
      </c>
      <c r="N536" s="22" t="n">
        <v>0.545</v>
      </c>
      <c r="O536" s="22" t="n">
        <v>13.9</v>
      </c>
      <c r="P536" s="22" t="n">
        <v>1.76</v>
      </c>
      <c r="Q536" s="22" t="n">
        <v>176</v>
      </c>
      <c r="R536" s="22" t="n">
        <v>34.5</v>
      </c>
      <c r="S536" s="22" t="n">
        <v>34500</v>
      </c>
      <c r="T536" s="22" t="n">
        <v>18.2</v>
      </c>
      <c r="U536" s="22" t="n">
        <f aca="false">C536*1</f>
        <v>866</v>
      </c>
      <c r="V536" s="22" t="n">
        <f aca="false">VLOOKUP(U536,'Powder Core Toroid OD'!$A$2:$B$36,2,0)</f>
        <v>77.8</v>
      </c>
    </row>
    <row r="537" customFormat="false" ht="14.4" hidden="true" customHeight="false" outlineLevel="0" collapsed="false">
      <c r="A537" s="45" t="n">
        <v>58868</v>
      </c>
      <c r="B537" s="22" t="s">
        <v>609</v>
      </c>
      <c r="C537" s="23" t="n">
        <v>866</v>
      </c>
      <c r="D537" s="22" t="n">
        <v>26</v>
      </c>
      <c r="E537" s="22" t="s">
        <v>72</v>
      </c>
      <c r="F537" s="22" t="n">
        <v>30</v>
      </c>
      <c r="G537" s="22" t="s">
        <v>51</v>
      </c>
      <c r="H537" s="22" t="n">
        <v>19.6</v>
      </c>
      <c r="I537" s="22" t="n">
        <v>196</v>
      </c>
      <c r="J537" s="22" t="n">
        <v>1.898</v>
      </c>
      <c r="K537" s="42" t="n">
        <v>48.2</v>
      </c>
      <c r="L537" s="22" t="n">
        <v>3.108</v>
      </c>
      <c r="M537" s="22" t="n">
        <v>78.95</v>
      </c>
      <c r="N537" s="22" t="n">
        <v>0.545</v>
      </c>
      <c r="O537" s="22" t="n">
        <v>13.9</v>
      </c>
      <c r="P537" s="22" t="n">
        <v>1.76</v>
      </c>
      <c r="Q537" s="22" t="n">
        <v>176</v>
      </c>
      <c r="R537" s="22" t="n">
        <v>34.5</v>
      </c>
      <c r="S537" s="22" t="n">
        <v>34500</v>
      </c>
      <c r="T537" s="22" t="n">
        <v>18.2</v>
      </c>
      <c r="U537" s="22" t="n">
        <f aca="false">C537*1</f>
        <v>866</v>
      </c>
      <c r="V537" s="22" t="n">
        <f aca="false">VLOOKUP(U537,'Powder Core Toroid OD'!$A$2:$B$36,2,0)</f>
        <v>77.8</v>
      </c>
    </row>
    <row r="538" customFormat="false" ht="14.4" hidden="true" customHeight="false" outlineLevel="0" collapsed="false">
      <c r="A538" s="45" t="n">
        <v>58869</v>
      </c>
      <c r="B538" s="22" t="s">
        <v>610</v>
      </c>
      <c r="C538" s="23" t="n">
        <v>866</v>
      </c>
      <c r="D538" s="22" t="n">
        <v>14</v>
      </c>
      <c r="E538" s="22" t="s">
        <v>72</v>
      </c>
      <c r="F538" s="22" t="n">
        <v>16</v>
      </c>
      <c r="G538" s="22" t="s">
        <v>51</v>
      </c>
      <c r="H538" s="22" t="n">
        <v>19.6</v>
      </c>
      <c r="I538" s="22" t="n">
        <v>196</v>
      </c>
      <c r="J538" s="22" t="n">
        <v>1.898</v>
      </c>
      <c r="K538" s="42" t="n">
        <v>48.2</v>
      </c>
      <c r="L538" s="22" t="n">
        <v>3.108</v>
      </c>
      <c r="M538" s="22" t="n">
        <v>78.95</v>
      </c>
      <c r="N538" s="22" t="n">
        <v>0.545</v>
      </c>
      <c r="O538" s="22" t="n">
        <v>13.9</v>
      </c>
      <c r="P538" s="22" t="n">
        <v>1.76</v>
      </c>
      <c r="Q538" s="22" t="n">
        <v>176</v>
      </c>
      <c r="R538" s="22" t="n">
        <v>34.5</v>
      </c>
      <c r="S538" s="22" t="n">
        <v>34500</v>
      </c>
      <c r="T538" s="22" t="n">
        <v>18.2</v>
      </c>
      <c r="U538" s="22" t="n">
        <f aca="false">C538*1</f>
        <v>866</v>
      </c>
      <c r="V538" s="22" t="n">
        <f aca="false">VLOOKUP(U538,'Powder Core Toroid OD'!$A$2:$B$36,2,0)</f>
        <v>77.8</v>
      </c>
    </row>
    <row r="539" customFormat="false" ht="14.4" hidden="true" customHeight="false" outlineLevel="0" collapsed="false">
      <c r="A539" s="45" t="n">
        <v>58894</v>
      </c>
      <c r="B539" s="22" t="s">
        <v>611</v>
      </c>
      <c r="C539" s="23" t="n">
        <v>930</v>
      </c>
      <c r="D539" s="22" t="n">
        <v>60</v>
      </c>
      <c r="E539" s="22" t="s">
        <v>72</v>
      </c>
      <c r="F539" s="22" t="n">
        <v>75</v>
      </c>
      <c r="G539" s="22" t="s">
        <v>51</v>
      </c>
      <c r="H539" s="22" t="n">
        <v>6.35</v>
      </c>
      <c r="I539" s="22" t="n">
        <v>63.5</v>
      </c>
      <c r="J539" s="22" t="n">
        <v>0.555</v>
      </c>
      <c r="K539" s="22" t="n">
        <v>14.1</v>
      </c>
      <c r="L539" s="43" t="n">
        <v>1.09</v>
      </c>
      <c r="M539" s="22" t="n">
        <v>27.69</v>
      </c>
      <c r="N539" s="43" t="n">
        <v>0.47</v>
      </c>
      <c r="O539" s="36" t="n">
        <v>12</v>
      </c>
      <c r="P539" s="22" t="n">
        <v>0.654</v>
      </c>
      <c r="Q539" s="22" t="n">
        <v>65.4</v>
      </c>
      <c r="R539" s="22" t="n">
        <v>4.15</v>
      </c>
      <c r="S539" s="22" t="n">
        <v>4150</v>
      </c>
      <c r="T539" s="22" t="n">
        <v>1.56</v>
      </c>
      <c r="U539" s="22" t="n">
        <f aca="false">C539*1</f>
        <v>930</v>
      </c>
      <c r="V539" s="22" t="n">
        <f aca="false">VLOOKUP(U539,'Powder Core Toroid OD'!$A$2:$B$36,2,0)</f>
        <v>26.9</v>
      </c>
    </row>
    <row r="540" customFormat="false" ht="14.4" hidden="true" customHeight="false" outlineLevel="0" collapsed="false">
      <c r="A540" s="45" t="n">
        <v>58906</v>
      </c>
      <c r="B540" s="22" t="s">
        <v>612</v>
      </c>
      <c r="C540" s="23" t="n">
        <v>906</v>
      </c>
      <c r="D540" s="22" t="n">
        <v>125</v>
      </c>
      <c r="E540" s="22" t="s">
        <v>72</v>
      </c>
      <c r="F540" s="22" t="n">
        <v>178</v>
      </c>
      <c r="G540" s="22" t="s">
        <v>51</v>
      </c>
      <c r="H540" s="22" t="n">
        <v>19.6</v>
      </c>
      <c r="I540" s="22" t="n">
        <v>196</v>
      </c>
      <c r="J540" s="22" t="n">
        <v>1.898</v>
      </c>
      <c r="K540" s="42" t="n">
        <v>48.2</v>
      </c>
      <c r="L540" s="22" t="n">
        <v>3.108</v>
      </c>
      <c r="M540" s="22" t="n">
        <v>78.95</v>
      </c>
      <c r="N540" s="43" t="n">
        <v>0.67</v>
      </c>
      <c r="O540" s="22" t="n">
        <v>17.1</v>
      </c>
      <c r="P540" s="22" t="n">
        <v>2.21</v>
      </c>
      <c r="Q540" s="22" t="n">
        <v>221</v>
      </c>
      <c r="R540" s="22" t="n">
        <v>43.4</v>
      </c>
      <c r="S540" s="22" t="n">
        <v>43400</v>
      </c>
      <c r="T540" s="22" t="n">
        <v>18.2</v>
      </c>
      <c r="U540" s="22" t="n">
        <f aca="false">C540*1</f>
        <v>906</v>
      </c>
      <c r="V540" s="22" t="n">
        <f aca="false">VLOOKUP(U540,'Powder Core Toroid OD'!$A$2:$B$36,2,0)</f>
        <v>77.8</v>
      </c>
    </row>
    <row r="541" customFormat="false" ht="14.4" hidden="true" customHeight="false" outlineLevel="0" collapsed="false">
      <c r="A541" s="45" t="n">
        <v>58907</v>
      </c>
      <c r="B541" s="22" t="s">
        <v>613</v>
      </c>
      <c r="C541" s="23" t="n">
        <v>906</v>
      </c>
      <c r="D541" s="22" t="n">
        <v>60</v>
      </c>
      <c r="E541" s="22" t="s">
        <v>72</v>
      </c>
      <c r="F541" s="22" t="n">
        <v>85</v>
      </c>
      <c r="G541" s="22" t="s">
        <v>51</v>
      </c>
      <c r="H541" s="22" t="n">
        <v>19.6</v>
      </c>
      <c r="I541" s="22" t="n">
        <v>196</v>
      </c>
      <c r="J541" s="22" t="n">
        <v>1.898</v>
      </c>
      <c r="K541" s="42" t="n">
        <v>48.2</v>
      </c>
      <c r="L541" s="22" t="n">
        <v>3.108</v>
      </c>
      <c r="M541" s="22" t="n">
        <v>78.95</v>
      </c>
      <c r="N541" s="43" t="n">
        <v>0.67</v>
      </c>
      <c r="O541" s="22" t="n">
        <v>17.1</v>
      </c>
      <c r="P541" s="22" t="n">
        <v>2.21</v>
      </c>
      <c r="Q541" s="22" t="n">
        <v>221</v>
      </c>
      <c r="R541" s="22" t="n">
        <v>43.4</v>
      </c>
      <c r="S541" s="22" t="n">
        <v>43400</v>
      </c>
      <c r="T541" s="22" t="n">
        <v>18.2</v>
      </c>
      <c r="U541" s="22" t="n">
        <f aca="false">C541*1</f>
        <v>906</v>
      </c>
      <c r="V541" s="22" t="n">
        <f aca="false">VLOOKUP(U541,'Powder Core Toroid OD'!$A$2:$B$36,2,0)</f>
        <v>77.8</v>
      </c>
    </row>
    <row r="542" customFormat="false" ht="14.4" hidden="true" customHeight="false" outlineLevel="0" collapsed="false">
      <c r="A542" s="45" t="n">
        <v>58908</v>
      </c>
      <c r="B542" s="22" t="s">
        <v>614</v>
      </c>
      <c r="C542" s="23" t="n">
        <v>906</v>
      </c>
      <c r="D542" s="22" t="n">
        <v>26</v>
      </c>
      <c r="E542" s="22" t="s">
        <v>72</v>
      </c>
      <c r="F542" s="22" t="n">
        <v>37</v>
      </c>
      <c r="G542" s="22" t="s">
        <v>51</v>
      </c>
      <c r="H542" s="22" t="n">
        <v>19.6</v>
      </c>
      <c r="I542" s="22" t="n">
        <v>196</v>
      </c>
      <c r="J542" s="22" t="n">
        <v>1.898</v>
      </c>
      <c r="K542" s="42" t="n">
        <v>48.2</v>
      </c>
      <c r="L542" s="22" t="n">
        <v>3.108</v>
      </c>
      <c r="M542" s="22" t="n">
        <v>78.95</v>
      </c>
      <c r="N542" s="43" t="n">
        <v>0.67</v>
      </c>
      <c r="O542" s="22" t="n">
        <v>17.1</v>
      </c>
      <c r="P542" s="22" t="n">
        <v>2.21</v>
      </c>
      <c r="Q542" s="22" t="n">
        <v>221</v>
      </c>
      <c r="R542" s="22" t="n">
        <v>43.4</v>
      </c>
      <c r="S542" s="22" t="n">
        <v>43400</v>
      </c>
      <c r="T542" s="22" t="n">
        <v>18.2</v>
      </c>
      <c r="U542" s="22" t="n">
        <f aca="false">C542*1</f>
        <v>906</v>
      </c>
      <c r="V542" s="22" t="n">
        <f aca="false">VLOOKUP(U542,'Powder Core Toroid OD'!$A$2:$B$36,2,0)</f>
        <v>77.8</v>
      </c>
    </row>
    <row r="543" customFormat="false" ht="14.4" hidden="true" customHeight="false" outlineLevel="0" collapsed="false">
      <c r="A543" s="45" t="n">
        <v>58909</v>
      </c>
      <c r="B543" s="22" t="s">
        <v>615</v>
      </c>
      <c r="C543" s="23" t="n">
        <v>906</v>
      </c>
      <c r="D543" s="22" t="n">
        <v>14</v>
      </c>
      <c r="E543" s="22" t="s">
        <v>72</v>
      </c>
      <c r="F543" s="22" t="n">
        <v>20</v>
      </c>
      <c r="G543" s="22" t="s">
        <v>51</v>
      </c>
      <c r="H543" s="22" t="n">
        <v>19.6</v>
      </c>
      <c r="I543" s="22" t="n">
        <v>196</v>
      </c>
      <c r="J543" s="22" t="n">
        <v>1.898</v>
      </c>
      <c r="K543" s="42" t="n">
        <v>48.2</v>
      </c>
      <c r="L543" s="22" t="n">
        <v>3.108</v>
      </c>
      <c r="M543" s="22" t="n">
        <v>78.95</v>
      </c>
      <c r="N543" s="43" t="n">
        <v>0.67</v>
      </c>
      <c r="O543" s="22" t="n">
        <v>17.1</v>
      </c>
      <c r="P543" s="22" t="n">
        <v>2.21</v>
      </c>
      <c r="Q543" s="22" t="n">
        <v>221</v>
      </c>
      <c r="R543" s="22" t="n">
        <v>43.4</v>
      </c>
      <c r="S543" s="22" t="n">
        <v>43400</v>
      </c>
      <c r="T543" s="22" t="n">
        <v>18.2</v>
      </c>
      <c r="U543" s="22" t="n">
        <f aca="false">C543*1</f>
        <v>906</v>
      </c>
      <c r="V543" s="22" t="n">
        <f aca="false">VLOOKUP(U543,'Powder Core Toroid OD'!$A$2:$B$36,2,0)</f>
        <v>77.8</v>
      </c>
    </row>
    <row r="544" customFormat="false" ht="14.4" hidden="true" customHeight="false" outlineLevel="0" collapsed="false">
      <c r="A544" s="45" t="n">
        <v>58928</v>
      </c>
      <c r="B544" s="22" t="s">
        <v>616</v>
      </c>
      <c r="C544" s="23" t="n">
        <v>930</v>
      </c>
      <c r="D544" s="22" t="n">
        <v>160</v>
      </c>
      <c r="E544" s="22" t="s">
        <v>72</v>
      </c>
      <c r="F544" s="22" t="n">
        <v>201</v>
      </c>
      <c r="G544" s="22" t="s">
        <v>51</v>
      </c>
      <c r="H544" s="22" t="n">
        <v>6.35</v>
      </c>
      <c r="I544" s="22" t="n">
        <v>63.5</v>
      </c>
      <c r="J544" s="22" t="n">
        <v>0.555</v>
      </c>
      <c r="K544" s="22" t="n">
        <v>14.1</v>
      </c>
      <c r="L544" s="43" t="n">
        <v>1.09</v>
      </c>
      <c r="M544" s="22" t="n">
        <v>27.69</v>
      </c>
      <c r="N544" s="43" t="n">
        <v>0.47</v>
      </c>
      <c r="O544" s="36" t="n">
        <v>12</v>
      </c>
      <c r="P544" s="22" t="n">
        <v>0.654</v>
      </c>
      <c r="Q544" s="22" t="n">
        <v>65.4</v>
      </c>
      <c r="R544" s="22" t="n">
        <v>4.15</v>
      </c>
      <c r="S544" s="22" t="n">
        <v>4150</v>
      </c>
      <c r="T544" s="22" t="n">
        <v>1.56</v>
      </c>
      <c r="U544" s="22" t="n">
        <f aca="false">C544*1</f>
        <v>930</v>
      </c>
      <c r="V544" s="22" t="n">
        <f aca="false">VLOOKUP(U544,'Powder Core Toroid OD'!$A$2:$B$36,2,0)</f>
        <v>26.9</v>
      </c>
    </row>
    <row r="545" customFormat="false" ht="14.4" hidden="true" customHeight="false" outlineLevel="0" collapsed="false">
      <c r="A545" s="45" t="n">
        <v>58929</v>
      </c>
      <c r="B545" s="22" t="s">
        <v>617</v>
      </c>
      <c r="C545" s="23" t="n">
        <v>930</v>
      </c>
      <c r="D545" s="22" t="n">
        <v>147</v>
      </c>
      <c r="E545" s="22" t="s">
        <v>72</v>
      </c>
      <c r="F545" s="22" t="n">
        <v>185</v>
      </c>
      <c r="G545" s="22" t="s">
        <v>51</v>
      </c>
      <c r="H545" s="22" t="n">
        <v>6.35</v>
      </c>
      <c r="I545" s="22" t="n">
        <v>63.5</v>
      </c>
      <c r="J545" s="22" t="n">
        <v>0.555</v>
      </c>
      <c r="K545" s="22" t="n">
        <v>14.1</v>
      </c>
      <c r="L545" s="43" t="n">
        <v>1.09</v>
      </c>
      <c r="M545" s="22" t="n">
        <v>27.69</v>
      </c>
      <c r="N545" s="43" t="n">
        <v>0.47</v>
      </c>
      <c r="O545" s="36" t="n">
        <v>12</v>
      </c>
      <c r="P545" s="22" t="n">
        <v>0.654</v>
      </c>
      <c r="Q545" s="22" t="n">
        <v>65.4</v>
      </c>
      <c r="R545" s="22" t="n">
        <v>4.15</v>
      </c>
      <c r="S545" s="22" t="n">
        <v>4150</v>
      </c>
      <c r="T545" s="22" t="n">
        <v>1.56</v>
      </c>
      <c r="U545" s="22" t="n">
        <f aca="false">C545*1</f>
        <v>930</v>
      </c>
      <c r="V545" s="22" t="n">
        <f aca="false">VLOOKUP(U545,'Powder Core Toroid OD'!$A$2:$B$36,2,0)</f>
        <v>26.9</v>
      </c>
    </row>
    <row r="546" customFormat="false" ht="14.4" hidden="true" customHeight="false" outlineLevel="0" collapsed="false">
      <c r="A546" s="45" t="n">
        <v>58930</v>
      </c>
      <c r="B546" s="22" t="s">
        <v>618</v>
      </c>
      <c r="C546" s="23" t="n">
        <v>930</v>
      </c>
      <c r="D546" s="22" t="n">
        <v>125</v>
      </c>
      <c r="E546" s="22" t="s">
        <v>72</v>
      </c>
      <c r="F546" s="22" t="n">
        <v>157</v>
      </c>
      <c r="G546" s="22" t="s">
        <v>51</v>
      </c>
      <c r="H546" s="22" t="n">
        <v>6.35</v>
      </c>
      <c r="I546" s="22" t="n">
        <v>63.5</v>
      </c>
      <c r="J546" s="22" t="n">
        <v>0.555</v>
      </c>
      <c r="K546" s="22" t="n">
        <v>14.1</v>
      </c>
      <c r="L546" s="43" t="n">
        <v>1.09</v>
      </c>
      <c r="M546" s="22" t="n">
        <v>27.69</v>
      </c>
      <c r="N546" s="43" t="n">
        <v>0.47</v>
      </c>
      <c r="O546" s="36" t="n">
        <v>12</v>
      </c>
      <c r="P546" s="22" t="n">
        <v>0.654</v>
      </c>
      <c r="Q546" s="22" t="n">
        <v>65.4</v>
      </c>
      <c r="R546" s="22" t="n">
        <v>4.15</v>
      </c>
      <c r="S546" s="22" t="n">
        <v>4150</v>
      </c>
      <c r="T546" s="22" t="n">
        <v>1.56</v>
      </c>
      <c r="U546" s="22" t="n">
        <f aca="false">C546*1</f>
        <v>930</v>
      </c>
      <c r="V546" s="22" t="n">
        <f aca="false">VLOOKUP(U546,'Powder Core Toroid OD'!$A$2:$B$36,2,0)</f>
        <v>26.9</v>
      </c>
    </row>
    <row r="547" customFormat="false" ht="14.4" hidden="true" customHeight="false" outlineLevel="0" collapsed="false">
      <c r="A547" s="45" t="n">
        <v>58932</v>
      </c>
      <c r="B547" s="22" t="s">
        <v>619</v>
      </c>
      <c r="C547" s="23" t="n">
        <v>930</v>
      </c>
      <c r="D547" s="22" t="n">
        <v>26</v>
      </c>
      <c r="E547" s="22" t="s">
        <v>72</v>
      </c>
      <c r="F547" s="22" t="n">
        <v>32</v>
      </c>
      <c r="G547" s="22" t="s">
        <v>51</v>
      </c>
      <c r="H547" s="22" t="n">
        <v>6.35</v>
      </c>
      <c r="I547" s="22" t="n">
        <v>63.5</v>
      </c>
      <c r="J547" s="22" t="n">
        <v>0.555</v>
      </c>
      <c r="K547" s="22" t="n">
        <v>14.1</v>
      </c>
      <c r="L547" s="43" t="n">
        <v>1.09</v>
      </c>
      <c r="M547" s="22" t="n">
        <v>27.69</v>
      </c>
      <c r="N547" s="43" t="n">
        <v>0.47</v>
      </c>
      <c r="O547" s="36" t="n">
        <v>12</v>
      </c>
      <c r="P547" s="22" t="n">
        <v>0.654</v>
      </c>
      <c r="Q547" s="22" t="n">
        <v>65.4</v>
      </c>
      <c r="R547" s="22" t="n">
        <v>4.15</v>
      </c>
      <c r="S547" s="22" t="n">
        <v>4150</v>
      </c>
      <c r="T547" s="22" t="n">
        <v>1.56</v>
      </c>
      <c r="U547" s="22" t="n">
        <f aca="false">C547*1</f>
        <v>930</v>
      </c>
      <c r="V547" s="22" t="n">
        <f aca="false">VLOOKUP(U547,'Powder Core Toroid OD'!$A$2:$B$36,2,0)</f>
        <v>26.9</v>
      </c>
    </row>
    <row r="548" customFormat="false" ht="14.4" hidden="true" customHeight="false" outlineLevel="0" collapsed="false">
      <c r="A548" s="45" t="n">
        <v>58933</v>
      </c>
      <c r="B548" s="22" t="s">
        <v>620</v>
      </c>
      <c r="C548" s="23" t="n">
        <v>930</v>
      </c>
      <c r="D548" s="22" t="n">
        <v>14</v>
      </c>
      <c r="E548" s="22" t="s">
        <v>72</v>
      </c>
      <c r="F548" s="22" t="n">
        <v>18</v>
      </c>
      <c r="G548" s="22" t="s">
        <v>51</v>
      </c>
      <c r="H548" s="22" t="n">
        <v>6.35</v>
      </c>
      <c r="I548" s="22" t="n">
        <v>63.5</v>
      </c>
      <c r="J548" s="22" t="n">
        <v>0.555</v>
      </c>
      <c r="K548" s="22" t="n">
        <v>14.1</v>
      </c>
      <c r="L548" s="43" t="n">
        <v>1.09</v>
      </c>
      <c r="M548" s="22" t="n">
        <v>27.69</v>
      </c>
      <c r="N548" s="43" t="n">
        <v>0.47</v>
      </c>
      <c r="O548" s="36" t="n">
        <v>12</v>
      </c>
      <c r="P548" s="22" t="n">
        <v>0.654</v>
      </c>
      <c r="Q548" s="22" t="n">
        <v>65.4</v>
      </c>
      <c r="R548" s="22" t="n">
        <v>4.15</v>
      </c>
      <c r="S548" s="22" t="n">
        <v>4150</v>
      </c>
      <c r="T548" s="22" t="n">
        <v>1.56</v>
      </c>
      <c r="U548" s="22" t="n">
        <f aca="false">C548*1</f>
        <v>930</v>
      </c>
      <c r="V548" s="22" t="n">
        <f aca="false">VLOOKUP(U548,'Powder Core Toroid OD'!$A$2:$B$36,2,0)</f>
        <v>26.9</v>
      </c>
    </row>
    <row r="549" customFormat="false" ht="14.4" hidden="true" customHeight="false" outlineLevel="0" collapsed="false">
      <c r="A549" s="44" t="n">
        <v>6527</v>
      </c>
      <c r="B549" s="22" t="s">
        <v>621</v>
      </c>
      <c r="C549" s="31" t="s">
        <v>622</v>
      </c>
      <c r="D549" s="31" t="n">
        <v>26</v>
      </c>
      <c r="E549" s="31" t="s">
        <v>33</v>
      </c>
      <c r="F549" s="31" t="n">
        <v>162</v>
      </c>
      <c r="G549" s="31" t="s">
        <v>44</v>
      </c>
      <c r="H549" s="31" t="n">
        <v>14.7</v>
      </c>
      <c r="I549" s="31" t="n">
        <v>147</v>
      </c>
      <c r="J549" s="31" t="n">
        <v>1.295</v>
      </c>
      <c r="K549" s="31" t="n">
        <v>32.89</v>
      </c>
      <c r="L549" s="31" t="n">
        <v>2.615</v>
      </c>
      <c r="M549" s="31" t="n">
        <v>66.42</v>
      </c>
      <c r="N549" s="31" t="n">
        <v>1.079</v>
      </c>
      <c r="O549" s="31" t="n">
        <v>27.41</v>
      </c>
      <c r="P549" s="32" t="n">
        <v>5.4</v>
      </c>
      <c r="Q549" s="31" t="n">
        <v>540</v>
      </c>
      <c r="R549" s="31" t="n">
        <v>79.4</v>
      </c>
      <c r="S549" s="31" t="n">
        <v>79400</v>
      </c>
      <c r="T549" s="31"/>
    </row>
    <row r="550" customFormat="false" ht="14.4" hidden="true" customHeight="false" outlineLevel="0" collapsed="false">
      <c r="A550" s="44" t="n">
        <v>6527</v>
      </c>
      <c r="B550" s="22" t="s">
        <v>623</v>
      </c>
      <c r="C550" s="31" t="s">
        <v>622</v>
      </c>
      <c r="D550" s="31" t="n">
        <v>40</v>
      </c>
      <c r="E550" s="31" t="s">
        <v>33</v>
      </c>
      <c r="F550" s="31" t="n">
        <v>230</v>
      </c>
      <c r="G550" s="31" t="s">
        <v>44</v>
      </c>
      <c r="H550" s="31" t="n">
        <v>14.7</v>
      </c>
      <c r="I550" s="31" t="n">
        <v>147</v>
      </c>
      <c r="J550" s="31" t="n">
        <v>1.295</v>
      </c>
      <c r="K550" s="31" t="n">
        <v>32.89</v>
      </c>
      <c r="L550" s="31" t="n">
        <v>2.615</v>
      </c>
      <c r="M550" s="31" t="n">
        <v>66.42</v>
      </c>
      <c r="N550" s="31" t="n">
        <v>1.079</v>
      </c>
      <c r="O550" s="31" t="n">
        <v>27.41</v>
      </c>
      <c r="P550" s="32" t="n">
        <v>5.4</v>
      </c>
      <c r="Q550" s="31" t="n">
        <v>540</v>
      </c>
      <c r="R550" s="31" t="n">
        <v>79.4</v>
      </c>
      <c r="S550" s="31" t="n">
        <v>79400</v>
      </c>
      <c r="T550" s="31"/>
    </row>
    <row r="551" customFormat="false" ht="14.4" hidden="true" customHeight="false" outlineLevel="0" collapsed="false">
      <c r="A551" s="44" t="n">
        <v>6527</v>
      </c>
      <c r="B551" s="22" t="s">
        <v>624</v>
      </c>
      <c r="C551" s="31" t="s">
        <v>622</v>
      </c>
      <c r="D551" s="31" t="n">
        <v>60</v>
      </c>
      <c r="E551" s="31" t="s">
        <v>33</v>
      </c>
      <c r="F551" s="31" t="n">
        <v>300</v>
      </c>
      <c r="G551" s="31" t="s">
        <v>44</v>
      </c>
      <c r="H551" s="31" t="n">
        <v>14.7</v>
      </c>
      <c r="I551" s="31" t="n">
        <v>147</v>
      </c>
      <c r="J551" s="31" t="n">
        <v>1.295</v>
      </c>
      <c r="K551" s="31" t="n">
        <v>32.89</v>
      </c>
      <c r="L551" s="31" t="n">
        <v>2.615</v>
      </c>
      <c r="M551" s="31" t="n">
        <v>66.42</v>
      </c>
      <c r="N551" s="31" t="n">
        <v>1.079</v>
      </c>
      <c r="O551" s="31" t="n">
        <v>27.41</v>
      </c>
      <c r="P551" s="32" t="n">
        <v>5.4</v>
      </c>
      <c r="Q551" s="31" t="n">
        <v>540</v>
      </c>
      <c r="R551" s="31" t="n">
        <v>79.4</v>
      </c>
      <c r="S551" s="31" t="n">
        <v>79400</v>
      </c>
      <c r="T551" s="31"/>
    </row>
    <row r="552" customFormat="false" ht="14.4" hidden="true" customHeight="false" outlineLevel="0" collapsed="false">
      <c r="A552" s="44" t="n">
        <v>6527</v>
      </c>
      <c r="B552" s="22" t="s">
        <v>625</v>
      </c>
      <c r="C552" s="31" t="s">
        <v>622</v>
      </c>
      <c r="D552" s="31" t="n">
        <v>26</v>
      </c>
      <c r="E552" s="31" t="s">
        <v>33</v>
      </c>
      <c r="F552" s="31" t="n">
        <v>89</v>
      </c>
      <c r="G552" s="31" t="s">
        <v>167</v>
      </c>
      <c r="H552" s="31" t="n">
        <v>21.9</v>
      </c>
      <c r="I552" s="31" t="n">
        <v>219</v>
      </c>
      <c r="J552" s="31" t="n">
        <v>1.292</v>
      </c>
      <c r="K552" s="31" t="n">
        <v>32.82</v>
      </c>
      <c r="L552" s="31" t="n">
        <v>2.618</v>
      </c>
      <c r="M552" s="32" t="n">
        <v>66.5</v>
      </c>
      <c r="N552" s="31" t="n">
        <v>1.079</v>
      </c>
      <c r="O552" s="31" t="n">
        <v>27.41</v>
      </c>
      <c r="P552" s="32" t="n">
        <v>2.7</v>
      </c>
      <c r="Q552" s="31" t="n">
        <v>270</v>
      </c>
      <c r="R552" s="31" t="n">
        <v>59.1</v>
      </c>
      <c r="S552" s="31" t="n">
        <v>59100</v>
      </c>
      <c r="T552" s="31"/>
    </row>
    <row r="553" customFormat="false" ht="14.4" hidden="true" customHeight="false" outlineLevel="0" collapsed="false">
      <c r="A553" s="44" t="n">
        <v>6527</v>
      </c>
      <c r="B553" s="22" t="s">
        <v>626</v>
      </c>
      <c r="C553" s="31" t="s">
        <v>622</v>
      </c>
      <c r="D553" s="31" t="n">
        <v>60</v>
      </c>
      <c r="E553" s="31" t="s">
        <v>33</v>
      </c>
      <c r="F553" s="31" t="n">
        <v>165</v>
      </c>
      <c r="G553" s="31" t="s">
        <v>167</v>
      </c>
      <c r="H553" s="31" t="n">
        <v>21.9</v>
      </c>
      <c r="I553" s="31" t="n">
        <v>219</v>
      </c>
      <c r="J553" s="31" t="n">
        <v>1.292</v>
      </c>
      <c r="K553" s="31" t="n">
        <v>32.82</v>
      </c>
      <c r="L553" s="31" t="n">
        <v>2.618</v>
      </c>
      <c r="M553" s="32" t="n">
        <v>66.5</v>
      </c>
      <c r="N553" s="31" t="n">
        <v>1.079</v>
      </c>
      <c r="O553" s="31" t="n">
        <v>27.41</v>
      </c>
      <c r="P553" s="32" t="n">
        <v>2.7</v>
      </c>
      <c r="Q553" s="31" t="n">
        <v>270</v>
      </c>
      <c r="R553" s="31" t="n">
        <v>59.1</v>
      </c>
      <c r="S553" s="31" t="n">
        <v>59100</v>
      </c>
      <c r="T553" s="31"/>
    </row>
    <row r="554" customFormat="false" ht="14.4" hidden="true" customHeight="false" outlineLevel="0" collapsed="false">
      <c r="A554" s="44" t="n">
        <v>6533</v>
      </c>
      <c r="B554" s="22" t="s">
        <v>627</v>
      </c>
      <c r="C554" s="31" t="s">
        <v>628</v>
      </c>
      <c r="D554" s="31" t="n">
        <v>26</v>
      </c>
      <c r="E554" s="31" t="s">
        <v>33</v>
      </c>
      <c r="F554" s="31" t="n">
        <v>82</v>
      </c>
      <c r="G554" s="31" t="s">
        <v>167</v>
      </c>
      <c r="H554" s="31" t="n">
        <v>19.9</v>
      </c>
      <c r="I554" s="31" t="n">
        <v>199</v>
      </c>
      <c r="J554" s="31" t="n">
        <v>1.292</v>
      </c>
      <c r="K554" s="31" t="n">
        <v>32.82</v>
      </c>
      <c r="L554" s="31" t="n">
        <v>2.618</v>
      </c>
      <c r="M554" s="32" t="n">
        <v>66.5</v>
      </c>
      <c r="N554" s="31" t="n">
        <v>0.804</v>
      </c>
      <c r="O554" s="31" t="n">
        <v>20.42</v>
      </c>
      <c r="P554" s="32" t="n">
        <v>2.5</v>
      </c>
      <c r="Q554" s="31" t="n">
        <v>250</v>
      </c>
      <c r="R554" s="31" t="n">
        <v>49.8</v>
      </c>
      <c r="S554" s="31" t="n">
        <v>49800</v>
      </c>
      <c r="T554" s="31"/>
    </row>
    <row r="555" customFormat="false" ht="14.4" hidden="true" customHeight="false" outlineLevel="0" collapsed="false">
      <c r="A555" s="44" t="n">
        <v>7228</v>
      </c>
      <c r="B555" s="22" t="s">
        <v>629</v>
      </c>
      <c r="C555" s="31" t="s">
        <v>630</v>
      </c>
      <c r="D555" s="31" t="n">
        <v>26</v>
      </c>
      <c r="E555" s="31" t="s">
        <v>33</v>
      </c>
      <c r="F555" s="31" t="n">
        <v>130</v>
      </c>
      <c r="G555" s="31" t="s">
        <v>44</v>
      </c>
      <c r="H555" s="31" t="n">
        <v>13.7</v>
      </c>
      <c r="I555" s="31" t="n">
        <v>137</v>
      </c>
      <c r="J555" s="34" t="n">
        <v>1.12</v>
      </c>
      <c r="K555" s="31" t="n">
        <v>28.45</v>
      </c>
      <c r="L555" s="31" t="n">
        <v>2.893</v>
      </c>
      <c r="M555" s="31" t="n">
        <v>73.48</v>
      </c>
      <c r="N555" s="31" t="n">
        <v>0.765</v>
      </c>
      <c r="O555" s="31" t="n">
        <v>19.5</v>
      </c>
      <c r="P555" s="31" t="n">
        <v>3.68</v>
      </c>
      <c r="Q555" s="31" t="n">
        <v>368</v>
      </c>
      <c r="R555" s="31" t="n">
        <v>50.4</v>
      </c>
      <c r="S555" s="31" t="n">
        <v>50400</v>
      </c>
      <c r="T555" s="31"/>
    </row>
    <row r="556" customFormat="false" ht="14.4" hidden="true" customHeight="false" outlineLevel="0" collapsed="false">
      <c r="A556" s="44" t="n">
        <v>7228</v>
      </c>
      <c r="B556" s="22" t="s">
        <v>631</v>
      </c>
      <c r="C556" s="31" t="s">
        <v>630</v>
      </c>
      <c r="D556" s="31" t="n">
        <v>40</v>
      </c>
      <c r="E556" s="31" t="s">
        <v>33</v>
      </c>
      <c r="F556" s="31" t="n">
        <v>173</v>
      </c>
      <c r="G556" s="31" t="s">
        <v>44</v>
      </c>
      <c r="H556" s="31" t="n">
        <v>13.7</v>
      </c>
      <c r="I556" s="31" t="n">
        <v>137</v>
      </c>
      <c r="J556" s="34" t="n">
        <v>1.12</v>
      </c>
      <c r="K556" s="31" t="n">
        <v>28.45</v>
      </c>
      <c r="L556" s="31" t="n">
        <v>2.893</v>
      </c>
      <c r="M556" s="31" t="n">
        <v>73.48</v>
      </c>
      <c r="N556" s="31" t="n">
        <v>0.765</v>
      </c>
      <c r="O556" s="31" t="n">
        <v>19.5</v>
      </c>
      <c r="P556" s="31" t="n">
        <v>3.68</v>
      </c>
      <c r="Q556" s="31" t="n">
        <v>368</v>
      </c>
      <c r="R556" s="31" t="n">
        <v>50.4</v>
      </c>
      <c r="S556" s="31" t="n">
        <v>50400</v>
      </c>
      <c r="T556" s="31"/>
    </row>
    <row r="557" customFormat="false" ht="14.4" hidden="true" customHeight="false" outlineLevel="0" collapsed="false">
      <c r="A557" s="44" t="n">
        <v>7228</v>
      </c>
      <c r="B557" s="22" t="s">
        <v>632</v>
      </c>
      <c r="C557" s="31" t="s">
        <v>630</v>
      </c>
      <c r="D557" s="31" t="n">
        <v>60</v>
      </c>
      <c r="E557" s="31" t="s">
        <v>33</v>
      </c>
      <c r="F557" s="31" t="n">
        <v>236</v>
      </c>
      <c r="G557" s="31" t="s">
        <v>44</v>
      </c>
      <c r="H557" s="31" t="n">
        <v>13.7</v>
      </c>
      <c r="I557" s="31" t="n">
        <v>137</v>
      </c>
      <c r="J557" s="34" t="n">
        <v>1.12</v>
      </c>
      <c r="K557" s="31" t="n">
        <v>28.45</v>
      </c>
      <c r="L557" s="31" t="n">
        <v>2.893</v>
      </c>
      <c r="M557" s="31" t="n">
        <v>73.48</v>
      </c>
      <c r="N557" s="31" t="n">
        <v>0.765</v>
      </c>
      <c r="O557" s="31" t="n">
        <v>19.5</v>
      </c>
      <c r="P557" s="31" t="n">
        <v>3.68</v>
      </c>
      <c r="Q557" s="31" t="n">
        <v>368</v>
      </c>
      <c r="R557" s="31" t="n">
        <v>50.4</v>
      </c>
      <c r="S557" s="31" t="n">
        <v>50400</v>
      </c>
      <c r="T557" s="31"/>
    </row>
    <row r="558" customFormat="false" ht="14.4" hidden="true" customHeight="false" outlineLevel="0" collapsed="false">
      <c r="A558" s="44" t="n">
        <v>7236</v>
      </c>
      <c r="B558" s="22" t="s">
        <v>633</v>
      </c>
      <c r="C558" s="31" t="s">
        <v>634</v>
      </c>
      <c r="D558" s="31" t="n">
        <v>26</v>
      </c>
      <c r="E558" s="31" t="s">
        <v>33</v>
      </c>
      <c r="F558" s="31" t="n">
        <v>87</v>
      </c>
      <c r="G558" s="31" t="s">
        <v>167</v>
      </c>
      <c r="H558" s="31" t="n">
        <v>21.9</v>
      </c>
      <c r="I558" s="31" t="n">
        <v>219</v>
      </c>
      <c r="J558" s="31" t="n">
        <v>1.425</v>
      </c>
      <c r="K558" s="32" t="n">
        <v>36.2</v>
      </c>
      <c r="L558" s="31" t="n">
        <v>2.885</v>
      </c>
      <c r="M558" s="31" t="n">
        <v>73.28</v>
      </c>
      <c r="N558" s="31" t="n">
        <v>0.836</v>
      </c>
      <c r="O558" s="31" t="n">
        <v>21.3</v>
      </c>
      <c r="P558" s="32" t="n">
        <v>2.9</v>
      </c>
      <c r="Q558" s="31" t="n">
        <v>290</v>
      </c>
      <c r="R558" s="31" t="n">
        <v>63.5</v>
      </c>
      <c r="S558" s="31" t="n">
        <v>63500</v>
      </c>
      <c r="T558" s="31"/>
    </row>
    <row r="559" customFormat="false" ht="14.4" hidden="true" customHeight="false" outlineLevel="0" collapsed="false">
      <c r="A559" s="45" t="n">
        <v>77020</v>
      </c>
      <c r="B559" s="22" t="s">
        <v>635</v>
      </c>
      <c r="C559" s="23" t="s">
        <v>208</v>
      </c>
      <c r="D559" s="22" t="n">
        <v>125</v>
      </c>
      <c r="E559" s="22" t="s">
        <v>33</v>
      </c>
      <c r="F559" s="22" t="n">
        <v>50</v>
      </c>
      <c r="G559" s="22" t="s">
        <v>51</v>
      </c>
      <c r="H559" s="22" t="n">
        <v>1.36</v>
      </c>
      <c r="I559" s="22" t="n">
        <v>13.6</v>
      </c>
      <c r="J559" s="43" t="n">
        <v>0.09</v>
      </c>
      <c r="K559" s="22" t="n">
        <v>2.28</v>
      </c>
      <c r="L559" s="22" t="n">
        <v>0.275</v>
      </c>
      <c r="M559" s="22" t="n">
        <v>6.99</v>
      </c>
      <c r="N559" s="22" t="n">
        <v>0.135</v>
      </c>
      <c r="O559" s="22" t="n">
        <v>3.43</v>
      </c>
      <c r="P559" s="22" t="n">
        <v>0.047</v>
      </c>
      <c r="Q559" s="22" t="n">
        <v>4.7</v>
      </c>
      <c r="R559" s="43" t="n">
        <v>0.064</v>
      </c>
      <c r="S559" s="36" t="n">
        <v>64</v>
      </c>
      <c r="T559" s="22" t="n">
        <v>0.0408</v>
      </c>
      <c r="U559" s="22" t="n">
        <f aca="false">C559*1</f>
        <v>20</v>
      </c>
      <c r="V559" s="22" t="n">
        <f aca="false">VLOOKUP(U559,'Powder Core Toroid OD'!$A$2:$B$36,2,0)</f>
        <v>6.35</v>
      </c>
    </row>
    <row r="560" customFormat="false" ht="14.4" hidden="true" customHeight="false" outlineLevel="0" collapsed="false">
      <c r="A560" s="45" t="n">
        <v>77021</v>
      </c>
      <c r="B560" s="22" t="s">
        <v>636</v>
      </c>
      <c r="C560" s="23" t="s">
        <v>208</v>
      </c>
      <c r="D560" s="22" t="n">
        <v>60</v>
      </c>
      <c r="E560" s="22" t="s">
        <v>33</v>
      </c>
      <c r="F560" s="22" t="n">
        <v>24</v>
      </c>
      <c r="G560" s="22" t="s">
        <v>51</v>
      </c>
      <c r="H560" s="22" t="n">
        <v>1.36</v>
      </c>
      <c r="I560" s="22" t="n">
        <v>13.6</v>
      </c>
      <c r="J560" s="43" t="n">
        <v>0.09</v>
      </c>
      <c r="K560" s="22" t="n">
        <v>2.28</v>
      </c>
      <c r="L560" s="22" t="n">
        <v>0.275</v>
      </c>
      <c r="M560" s="22" t="n">
        <v>6.99</v>
      </c>
      <c r="N560" s="22" t="n">
        <v>0.135</v>
      </c>
      <c r="O560" s="22" t="n">
        <v>3.43</v>
      </c>
      <c r="P560" s="22" t="n">
        <v>0.047</v>
      </c>
      <c r="Q560" s="22" t="n">
        <v>4.7</v>
      </c>
      <c r="R560" s="43" t="n">
        <v>0.064</v>
      </c>
      <c r="S560" s="36" t="n">
        <v>64</v>
      </c>
      <c r="T560" s="22" t="n">
        <v>0.0408</v>
      </c>
      <c r="U560" s="22" t="n">
        <f aca="false">C560*1</f>
        <v>20</v>
      </c>
      <c r="V560" s="22" t="n">
        <f aca="false">VLOOKUP(U560,'Powder Core Toroid OD'!$A$2:$B$36,2,0)</f>
        <v>6.35</v>
      </c>
    </row>
    <row r="561" customFormat="false" ht="14.4" hidden="true" customHeight="false" outlineLevel="0" collapsed="false">
      <c r="A561" s="45" t="n">
        <v>77030</v>
      </c>
      <c r="B561" s="22" t="s">
        <v>637</v>
      </c>
      <c r="C561" s="23" t="s">
        <v>220</v>
      </c>
      <c r="D561" s="22" t="n">
        <v>125</v>
      </c>
      <c r="E561" s="22" t="s">
        <v>33</v>
      </c>
      <c r="F561" s="22" t="n">
        <v>52</v>
      </c>
      <c r="G561" s="22" t="s">
        <v>51</v>
      </c>
      <c r="H561" s="22" t="n">
        <v>1.79</v>
      </c>
      <c r="I561" s="22" t="n">
        <v>17.9</v>
      </c>
      <c r="J561" s="22" t="n">
        <v>0.136</v>
      </c>
      <c r="K561" s="22" t="n">
        <v>3.45</v>
      </c>
      <c r="L561" s="22" t="n">
        <v>0.335</v>
      </c>
      <c r="M561" s="22" t="n">
        <v>8.51</v>
      </c>
      <c r="N561" s="43" t="n">
        <v>0.15</v>
      </c>
      <c r="O561" s="22" t="n">
        <v>3.81</v>
      </c>
      <c r="P561" s="22" t="n">
        <v>0.0599</v>
      </c>
      <c r="Q561" s="22" t="n">
        <v>5.99</v>
      </c>
      <c r="R561" s="22" t="n">
        <v>0.107</v>
      </c>
      <c r="S561" s="22" t="n">
        <v>107</v>
      </c>
      <c r="T561" s="22" t="n">
        <v>0.0935</v>
      </c>
      <c r="U561" s="22" t="n">
        <f aca="false">C561*1</f>
        <v>30</v>
      </c>
      <c r="V561" s="22" t="n">
        <f aca="false">VLOOKUP(U561,'Powder Core Toroid OD'!$A$2:$B$36,2,0)</f>
        <v>7.87</v>
      </c>
    </row>
    <row r="562" customFormat="false" ht="14.4" hidden="true" customHeight="false" outlineLevel="0" collapsed="false">
      <c r="A562" s="45" t="n">
        <v>77031</v>
      </c>
      <c r="B562" s="22" t="s">
        <v>638</v>
      </c>
      <c r="C562" s="23" t="s">
        <v>220</v>
      </c>
      <c r="D562" s="22" t="n">
        <v>60</v>
      </c>
      <c r="E562" s="22" t="s">
        <v>33</v>
      </c>
      <c r="F562" s="22" t="n">
        <v>25</v>
      </c>
      <c r="G562" s="22" t="s">
        <v>51</v>
      </c>
      <c r="H562" s="22" t="n">
        <v>1.79</v>
      </c>
      <c r="I562" s="22" t="n">
        <v>17.9</v>
      </c>
      <c r="J562" s="22" t="n">
        <v>0.136</v>
      </c>
      <c r="K562" s="22" t="n">
        <v>3.45</v>
      </c>
      <c r="L562" s="22" t="n">
        <v>0.335</v>
      </c>
      <c r="M562" s="22" t="n">
        <v>8.51</v>
      </c>
      <c r="N562" s="43" t="n">
        <v>0.15</v>
      </c>
      <c r="O562" s="22" t="n">
        <v>3.81</v>
      </c>
      <c r="P562" s="22" t="n">
        <v>0.0599</v>
      </c>
      <c r="Q562" s="22" t="n">
        <v>5.99</v>
      </c>
      <c r="R562" s="22" t="n">
        <v>0.107</v>
      </c>
      <c r="S562" s="22" t="n">
        <v>107</v>
      </c>
      <c r="T562" s="22" t="n">
        <v>0.0935</v>
      </c>
      <c r="U562" s="22" t="n">
        <f aca="false">C562*1</f>
        <v>30</v>
      </c>
      <c r="V562" s="22" t="n">
        <f aca="false">VLOOKUP(U562,'Powder Core Toroid OD'!$A$2:$B$36,2,0)</f>
        <v>7.87</v>
      </c>
    </row>
    <row r="563" customFormat="false" ht="14.4" hidden="true" customHeight="false" outlineLevel="0" collapsed="false">
      <c r="A563" s="45" t="n">
        <v>77040</v>
      </c>
      <c r="B563" s="22" t="s">
        <v>639</v>
      </c>
      <c r="C563" s="23" t="s">
        <v>232</v>
      </c>
      <c r="D563" s="22" t="n">
        <v>125</v>
      </c>
      <c r="E563" s="22" t="s">
        <v>33</v>
      </c>
      <c r="F563" s="22" t="n">
        <v>66</v>
      </c>
      <c r="G563" s="22" t="s">
        <v>51</v>
      </c>
      <c r="H563" s="42" t="n">
        <v>2.3</v>
      </c>
      <c r="I563" s="36" t="n">
        <v>23</v>
      </c>
      <c r="J563" s="43" t="n">
        <v>0.18</v>
      </c>
      <c r="K563" s="22" t="n">
        <v>4.57</v>
      </c>
      <c r="L563" s="22" t="n">
        <v>0.425</v>
      </c>
      <c r="M563" s="22" t="n">
        <v>10.8</v>
      </c>
      <c r="N563" s="22" t="n">
        <v>0.181</v>
      </c>
      <c r="O563" s="22" t="n">
        <v>4.6</v>
      </c>
      <c r="P563" s="22" t="n">
        <v>0.0957</v>
      </c>
      <c r="Q563" s="22" t="n">
        <v>9.57</v>
      </c>
      <c r="R563" s="22" t="n">
        <v>0.22</v>
      </c>
      <c r="S563" s="22" t="n">
        <v>220</v>
      </c>
      <c r="T563" s="22" t="n">
        <v>0.164</v>
      </c>
      <c r="U563" s="22" t="n">
        <f aca="false">C563*1</f>
        <v>40</v>
      </c>
      <c r="V563" s="22" t="n">
        <f aca="false">VLOOKUP(U563,'Powder Core Toroid OD'!$A$2:$B$36,2,0)</f>
        <v>10.2</v>
      </c>
    </row>
    <row r="564" customFormat="false" ht="14.4" hidden="true" customHeight="false" outlineLevel="0" collapsed="false">
      <c r="A564" s="45" t="n">
        <v>77041</v>
      </c>
      <c r="B564" s="22" t="s">
        <v>640</v>
      </c>
      <c r="C564" s="23" t="s">
        <v>232</v>
      </c>
      <c r="D564" s="22" t="n">
        <v>60</v>
      </c>
      <c r="E564" s="22" t="s">
        <v>33</v>
      </c>
      <c r="F564" s="22" t="n">
        <v>32</v>
      </c>
      <c r="G564" s="22" t="s">
        <v>51</v>
      </c>
      <c r="H564" s="42" t="n">
        <v>2.3</v>
      </c>
      <c r="I564" s="36" t="n">
        <v>23</v>
      </c>
      <c r="J564" s="43" t="n">
        <v>0.18</v>
      </c>
      <c r="K564" s="22" t="n">
        <v>4.57</v>
      </c>
      <c r="L564" s="22" t="n">
        <v>0.425</v>
      </c>
      <c r="M564" s="22" t="n">
        <v>10.8</v>
      </c>
      <c r="N564" s="22" t="n">
        <v>0.181</v>
      </c>
      <c r="O564" s="22" t="n">
        <v>4.6</v>
      </c>
      <c r="P564" s="22" t="n">
        <v>0.0957</v>
      </c>
      <c r="Q564" s="22" t="n">
        <v>9.57</v>
      </c>
      <c r="R564" s="22" t="n">
        <v>0.22</v>
      </c>
      <c r="S564" s="22" t="n">
        <v>220</v>
      </c>
      <c r="T564" s="22" t="n">
        <v>0.164</v>
      </c>
      <c r="U564" s="22" t="n">
        <f aca="false">C564*1</f>
        <v>40</v>
      </c>
      <c r="V564" s="22" t="n">
        <f aca="false">VLOOKUP(U564,'Powder Core Toroid OD'!$A$2:$B$36,2,0)</f>
        <v>10.2</v>
      </c>
    </row>
    <row r="565" customFormat="false" ht="14.4" hidden="true" customHeight="false" outlineLevel="0" collapsed="false">
      <c r="A565" s="45" t="n">
        <v>77050</v>
      </c>
      <c r="B565" s="22" t="s">
        <v>641</v>
      </c>
      <c r="C565" s="23" t="s">
        <v>243</v>
      </c>
      <c r="D565" s="22" t="n">
        <v>125</v>
      </c>
      <c r="E565" s="22" t="s">
        <v>33</v>
      </c>
      <c r="F565" s="22" t="n">
        <v>56</v>
      </c>
      <c r="G565" s="22" t="s">
        <v>51</v>
      </c>
      <c r="H565" s="22" t="n">
        <v>3.12</v>
      </c>
      <c r="I565" s="22" t="n">
        <v>31.2</v>
      </c>
      <c r="J565" s="22" t="n">
        <v>0.275</v>
      </c>
      <c r="K565" s="22" t="n">
        <v>6.98</v>
      </c>
      <c r="L565" s="43" t="n">
        <v>0.53</v>
      </c>
      <c r="M565" s="22" t="n">
        <v>13.5</v>
      </c>
      <c r="N565" s="22" t="n">
        <v>0.217</v>
      </c>
      <c r="O565" s="22" t="n">
        <v>5.52</v>
      </c>
      <c r="P565" s="22" t="n">
        <v>0.109</v>
      </c>
      <c r="Q565" s="22" t="n">
        <v>10.9</v>
      </c>
      <c r="R565" s="22" t="n">
        <v>0.34</v>
      </c>
      <c r="S565" s="22" t="n">
        <v>340</v>
      </c>
      <c r="T565" s="22" t="n">
        <v>0.383</v>
      </c>
      <c r="U565" s="22" t="n">
        <f aca="false">C565*1</f>
        <v>50</v>
      </c>
      <c r="V565" s="22" t="n">
        <f aca="false">VLOOKUP(U565,'Powder Core Toroid OD'!$A$2:$B$36,2,0)</f>
        <v>12.7</v>
      </c>
    </row>
    <row r="566" customFormat="false" ht="14.4" hidden="true" customHeight="false" outlineLevel="0" collapsed="false">
      <c r="A566" s="45" t="n">
        <v>77051</v>
      </c>
      <c r="B566" s="22" t="s">
        <v>642</v>
      </c>
      <c r="C566" s="23" t="s">
        <v>243</v>
      </c>
      <c r="D566" s="22" t="n">
        <v>60</v>
      </c>
      <c r="E566" s="22" t="s">
        <v>33</v>
      </c>
      <c r="F566" s="22" t="n">
        <v>27</v>
      </c>
      <c r="G566" s="22" t="s">
        <v>51</v>
      </c>
      <c r="H566" s="22" t="n">
        <v>3.12</v>
      </c>
      <c r="I566" s="22" t="n">
        <v>31.2</v>
      </c>
      <c r="J566" s="22" t="n">
        <v>0.275</v>
      </c>
      <c r="K566" s="22" t="n">
        <v>6.98</v>
      </c>
      <c r="L566" s="43" t="n">
        <v>0.53</v>
      </c>
      <c r="M566" s="22" t="n">
        <v>13.5</v>
      </c>
      <c r="N566" s="22" t="n">
        <v>0.217</v>
      </c>
      <c r="O566" s="22" t="n">
        <v>5.52</v>
      </c>
      <c r="P566" s="22" t="n">
        <v>0.109</v>
      </c>
      <c r="Q566" s="22" t="n">
        <v>10.9</v>
      </c>
      <c r="R566" s="22" t="n">
        <v>0.34</v>
      </c>
      <c r="S566" s="22" t="n">
        <v>340</v>
      </c>
      <c r="T566" s="22" t="n">
        <v>0.383</v>
      </c>
      <c r="U566" s="22" t="n">
        <f aca="false">C566*1</f>
        <v>50</v>
      </c>
      <c r="V566" s="22" t="n">
        <f aca="false">VLOOKUP(U566,'Powder Core Toroid OD'!$A$2:$B$36,2,0)</f>
        <v>12.7</v>
      </c>
    </row>
    <row r="567" customFormat="false" ht="14.4" hidden="true" customHeight="false" outlineLevel="0" collapsed="false">
      <c r="A567" s="45" t="n">
        <v>77052</v>
      </c>
      <c r="B567" s="22" t="s">
        <v>643</v>
      </c>
      <c r="C567" s="23" t="s">
        <v>243</v>
      </c>
      <c r="D567" s="22" t="n">
        <v>26</v>
      </c>
      <c r="E567" s="22" t="s">
        <v>33</v>
      </c>
      <c r="F567" s="22" t="n">
        <v>12</v>
      </c>
      <c r="G567" s="22" t="s">
        <v>51</v>
      </c>
      <c r="H567" s="22" t="n">
        <v>3.12</v>
      </c>
      <c r="I567" s="22" t="n">
        <v>31.2</v>
      </c>
      <c r="J567" s="22" t="n">
        <v>0.275</v>
      </c>
      <c r="K567" s="22" t="n">
        <v>6.98</v>
      </c>
      <c r="L567" s="43" t="n">
        <v>0.53</v>
      </c>
      <c r="M567" s="22" t="n">
        <v>13.5</v>
      </c>
      <c r="N567" s="22" t="n">
        <v>0.217</v>
      </c>
      <c r="O567" s="22" t="n">
        <v>5.52</v>
      </c>
      <c r="P567" s="22" t="n">
        <v>0.109</v>
      </c>
      <c r="Q567" s="22" t="n">
        <v>10.9</v>
      </c>
      <c r="R567" s="22" t="n">
        <v>0.34</v>
      </c>
      <c r="S567" s="22" t="n">
        <v>340</v>
      </c>
      <c r="T567" s="22" t="n">
        <v>0.383</v>
      </c>
      <c r="U567" s="22" t="n">
        <f aca="false">C567*1</f>
        <v>50</v>
      </c>
      <c r="V567" s="22" t="n">
        <f aca="false">VLOOKUP(U567,'Powder Core Toroid OD'!$A$2:$B$36,2,0)</f>
        <v>12.7</v>
      </c>
    </row>
    <row r="568" customFormat="false" ht="14.4" hidden="true" customHeight="false" outlineLevel="0" collapsed="false">
      <c r="A568" s="45" t="n">
        <v>77054</v>
      </c>
      <c r="B568" s="22" t="s">
        <v>644</v>
      </c>
      <c r="C568" s="23" t="s">
        <v>243</v>
      </c>
      <c r="D568" s="22" t="n">
        <v>90</v>
      </c>
      <c r="E568" s="22" t="s">
        <v>33</v>
      </c>
      <c r="F568" s="22" t="n">
        <v>40</v>
      </c>
      <c r="G568" s="22" t="s">
        <v>51</v>
      </c>
      <c r="H568" s="22" t="n">
        <v>3.12</v>
      </c>
      <c r="I568" s="22" t="n">
        <v>31.2</v>
      </c>
      <c r="J568" s="22" t="n">
        <v>0.275</v>
      </c>
      <c r="K568" s="22" t="n">
        <v>6.98</v>
      </c>
      <c r="L568" s="43" t="n">
        <v>0.53</v>
      </c>
      <c r="M568" s="22" t="n">
        <v>13.5</v>
      </c>
      <c r="N568" s="22" t="n">
        <v>0.217</v>
      </c>
      <c r="O568" s="22" t="n">
        <v>5.52</v>
      </c>
      <c r="P568" s="22" t="n">
        <v>0.109</v>
      </c>
      <c r="Q568" s="22" t="n">
        <v>10.9</v>
      </c>
      <c r="R568" s="22" t="n">
        <v>0.34</v>
      </c>
      <c r="S568" s="22" t="n">
        <v>340</v>
      </c>
      <c r="T568" s="22" t="n">
        <v>0.383</v>
      </c>
      <c r="U568" s="22" t="n">
        <f aca="false">C568*1</f>
        <v>50</v>
      </c>
      <c r="V568" s="22" t="n">
        <f aca="false">VLOOKUP(U568,'Powder Core Toroid OD'!$A$2:$B$36,2,0)</f>
        <v>12.7</v>
      </c>
    </row>
    <row r="569" customFormat="false" ht="14.4" hidden="true" customHeight="false" outlineLevel="0" collapsed="false">
      <c r="A569" s="45" t="n">
        <v>77055</v>
      </c>
      <c r="B569" s="22" t="s">
        <v>645</v>
      </c>
      <c r="C569" s="23" t="s">
        <v>243</v>
      </c>
      <c r="D569" s="22" t="n">
        <v>75</v>
      </c>
      <c r="E569" s="22" t="s">
        <v>33</v>
      </c>
      <c r="F569" s="22" t="n">
        <v>34</v>
      </c>
      <c r="G569" s="22" t="s">
        <v>51</v>
      </c>
      <c r="H569" s="22" t="n">
        <v>3.12</v>
      </c>
      <c r="I569" s="22" t="n">
        <v>31.2</v>
      </c>
      <c r="J569" s="22" t="n">
        <v>0.275</v>
      </c>
      <c r="K569" s="22" t="n">
        <v>6.98</v>
      </c>
      <c r="L569" s="43" t="n">
        <v>0.53</v>
      </c>
      <c r="M569" s="22" t="n">
        <v>13.5</v>
      </c>
      <c r="N569" s="22" t="n">
        <v>0.217</v>
      </c>
      <c r="O569" s="22" t="n">
        <v>5.52</v>
      </c>
      <c r="P569" s="22" t="n">
        <v>0.109</v>
      </c>
      <c r="Q569" s="22" t="n">
        <v>10.9</v>
      </c>
      <c r="R569" s="22" t="n">
        <v>0.34</v>
      </c>
      <c r="S569" s="22" t="n">
        <v>340</v>
      </c>
      <c r="T569" s="22" t="n">
        <v>0.383</v>
      </c>
      <c r="U569" s="22" t="n">
        <f aca="false">C569*1</f>
        <v>50</v>
      </c>
      <c r="V569" s="22" t="n">
        <f aca="false">VLOOKUP(U569,'Powder Core Toroid OD'!$A$2:$B$36,2,0)</f>
        <v>12.7</v>
      </c>
    </row>
    <row r="570" customFormat="false" ht="14.4" hidden="true" customHeight="false" outlineLevel="0" collapsed="false">
      <c r="A570" s="45" t="n">
        <v>77059</v>
      </c>
      <c r="B570" s="22" t="s">
        <v>646</v>
      </c>
      <c r="C570" s="23" t="n">
        <v>310</v>
      </c>
      <c r="D570" s="22" t="n">
        <v>60</v>
      </c>
      <c r="E570" s="22" t="s">
        <v>33</v>
      </c>
      <c r="F570" s="22" t="n">
        <v>43</v>
      </c>
      <c r="G570" s="22" t="s">
        <v>51</v>
      </c>
      <c r="H570" s="22" t="n">
        <v>5.67</v>
      </c>
      <c r="I570" s="22" t="n">
        <v>56.7</v>
      </c>
      <c r="J570" s="22" t="n">
        <v>0.525</v>
      </c>
      <c r="K570" s="22" t="n">
        <v>13.3</v>
      </c>
      <c r="L570" s="43" t="n">
        <v>0.93</v>
      </c>
      <c r="M570" s="22" t="n">
        <v>23.7</v>
      </c>
      <c r="N570" s="43" t="n">
        <v>0.33</v>
      </c>
      <c r="O570" s="22" t="n">
        <v>8.39</v>
      </c>
      <c r="P570" s="22" t="n">
        <v>0.317</v>
      </c>
      <c r="Q570" s="22" t="n">
        <v>31.7</v>
      </c>
      <c r="R570" s="42" t="n">
        <v>1.8</v>
      </c>
      <c r="S570" s="22" t="n">
        <v>1800</v>
      </c>
      <c r="T570" s="22" t="n">
        <v>1.39</v>
      </c>
      <c r="U570" s="22" t="n">
        <f aca="false">C570*1</f>
        <v>310</v>
      </c>
      <c r="V570" s="22" t="n">
        <f aca="false">VLOOKUP(U570,'Powder Core Toroid OD'!$A$2:$B$36,2,0)</f>
        <v>22.9</v>
      </c>
    </row>
    <row r="571" customFormat="false" ht="14.4" hidden="true" customHeight="false" outlineLevel="0" collapsed="false">
      <c r="A571" s="45" t="n">
        <v>77071</v>
      </c>
      <c r="B571" s="22" t="s">
        <v>647</v>
      </c>
      <c r="C571" s="23" t="n">
        <v>548</v>
      </c>
      <c r="D571" s="22" t="n">
        <v>60</v>
      </c>
      <c r="E571" s="22" t="s">
        <v>33</v>
      </c>
      <c r="F571" s="22" t="n">
        <v>61</v>
      </c>
      <c r="G571" s="22" t="s">
        <v>51</v>
      </c>
      <c r="H571" s="22" t="n">
        <v>8.14</v>
      </c>
      <c r="I571" s="22" t="n">
        <v>81.4</v>
      </c>
      <c r="J571" s="22" t="n">
        <v>0.766</v>
      </c>
      <c r="K571" s="22" t="n">
        <v>19.4</v>
      </c>
      <c r="L571" s="22" t="n">
        <v>1.325</v>
      </c>
      <c r="M571" s="22" t="n">
        <v>33.66</v>
      </c>
      <c r="N571" s="43" t="n">
        <v>0.45</v>
      </c>
      <c r="O571" s="22" t="n">
        <v>11.5</v>
      </c>
      <c r="P571" s="22" t="n">
        <v>0.656</v>
      </c>
      <c r="Q571" s="22" t="n">
        <v>65.6</v>
      </c>
      <c r="R571" s="42" t="n">
        <v>5.34</v>
      </c>
      <c r="S571" s="22" t="n">
        <v>5340</v>
      </c>
      <c r="T571" s="22" t="n">
        <v>2.97</v>
      </c>
      <c r="U571" s="22" t="n">
        <f aca="false">C571*1</f>
        <v>548</v>
      </c>
      <c r="V571" s="22" t="n">
        <f aca="false">VLOOKUP(U571,'Powder Core Toroid OD'!$A$2:$B$36,2,0)</f>
        <v>32.8</v>
      </c>
    </row>
    <row r="572" customFormat="false" ht="14.4" hidden="true" customHeight="false" outlineLevel="0" collapsed="false">
      <c r="A572" s="45" t="n">
        <v>77076</v>
      </c>
      <c r="B572" s="22" t="s">
        <v>648</v>
      </c>
      <c r="C572" s="23" t="n">
        <v>324</v>
      </c>
      <c r="D572" s="22" t="n">
        <v>60</v>
      </c>
      <c r="E572" s="22" t="s">
        <v>33</v>
      </c>
      <c r="F572" s="22" t="n">
        <v>56</v>
      </c>
      <c r="G572" s="22" t="s">
        <v>51</v>
      </c>
      <c r="H572" s="22" t="n">
        <v>8.98</v>
      </c>
      <c r="I572" s="22" t="n">
        <v>89.8</v>
      </c>
      <c r="J572" s="22" t="n">
        <v>0.848</v>
      </c>
      <c r="K572" s="22" t="n">
        <v>21.5</v>
      </c>
      <c r="L572" s="22" t="n">
        <v>1.445</v>
      </c>
      <c r="M572" s="22" t="n">
        <v>36.71</v>
      </c>
      <c r="N572" s="22" t="n">
        <v>0.447</v>
      </c>
      <c r="O572" s="22" t="n">
        <v>11.4</v>
      </c>
      <c r="P572" s="22" t="n">
        <v>0.678</v>
      </c>
      <c r="Q572" s="22" t="n">
        <v>67.8</v>
      </c>
      <c r="R572" s="42" t="n">
        <v>6.09</v>
      </c>
      <c r="S572" s="22" t="n">
        <v>6090</v>
      </c>
      <c r="T572" s="22" t="n">
        <v>3.64</v>
      </c>
      <c r="U572" s="22" t="n">
        <f aca="false">C572*1</f>
        <v>324</v>
      </c>
      <c r="V572" s="22" t="n">
        <f aca="false">VLOOKUP(U572,'Powder Core Toroid OD'!$A$2:$B$36,2,0)</f>
        <v>35.8</v>
      </c>
    </row>
    <row r="573" customFormat="false" ht="14.4" hidden="true" customHeight="false" outlineLevel="0" collapsed="false">
      <c r="A573" s="45" t="n">
        <v>77083</v>
      </c>
      <c r="B573" s="22" t="s">
        <v>649</v>
      </c>
      <c r="C573" s="23" t="n">
        <v>254</v>
      </c>
      <c r="D573" s="22" t="n">
        <v>60</v>
      </c>
      <c r="E573" s="22" t="s">
        <v>33</v>
      </c>
      <c r="F573" s="22" t="n">
        <v>81</v>
      </c>
      <c r="G573" s="22" t="s">
        <v>51</v>
      </c>
      <c r="H573" s="22" t="n">
        <v>9.84</v>
      </c>
      <c r="I573" s="22" t="n">
        <v>98.4</v>
      </c>
      <c r="J573" s="22" t="n">
        <v>0.918</v>
      </c>
      <c r="K573" s="22" t="n">
        <v>23.3</v>
      </c>
      <c r="L573" s="22" t="n">
        <v>1.605</v>
      </c>
      <c r="M573" s="22" t="n">
        <v>40.77</v>
      </c>
      <c r="N573" s="22" t="n">
        <v>0.605</v>
      </c>
      <c r="O573" s="22" t="n">
        <v>15.4</v>
      </c>
      <c r="P573" s="22" t="n">
        <v>1.07</v>
      </c>
      <c r="Q573" s="22" t="n">
        <v>107</v>
      </c>
      <c r="R573" s="36" t="n">
        <v>10.6</v>
      </c>
      <c r="S573" s="22" t="n">
        <v>10600</v>
      </c>
      <c r="T573" s="22" t="n">
        <v>4.27</v>
      </c>
      <c r="U573" s="22" t="n">
        <f aca="false">C573*1</f>
        <v>254</v>
      </c>
      <c r="V573" s="22" t="n">
        <f aca="false">VLOOKUP(U573,'Powder Core Toroid OD'!$A$2:$B$36,2,0)</f>
        <v>39.9</v>
      </c>
    </row>
    <row r="574" customFormat="false" ht="14.4" hidden="true" customHeight="false" outlineLevel="0" collapsed="false">
      <c r="A574" s="45" t="n">
        <v>77089</v>
      </c>
      <c r="B574" s="22" t="s">
        <v>650</v>
      </c>
      <c r="C574" s="23" t="s">
        <v>258</v>
      </c>
      <c r="D574" s="22" t="n">
        <v>125</v>
      </c>
      <c r="E574" s="22" t="s">
        <v>33</v>
      </c>
      <c r="F574" s="22" t="n">
        <v>178</v>
      </c>
      <c r="G574" s="22" t="s">
        <v>51</v>
      </c>
      <c r="H574" s="22" t="n">
        <v>11.6</v>
      </c>
      <c r="I574" s="22" t="n">
        <v>116</v>
      </c>
      <c r="J574" s="22" t="n">
        <v>1.098</v>
      </c>
      <c r="K574" s="22" t="n">
        <v>27.88</v>
      </c>
      <c r="L574" s="22" t="n">
        <v>1.875</v>
      </c>
      <c r="M574" s="22" t="n">
        <v>47.63</v>
      </c>
      <c r="N574" s="22" t="n">
        <v>0.635</v>
      </c>
      <c r="O574" s="22" t="n">
        <v>16.1</v>
      </c>
      <c r="P574" s="22" t="n">
        <v>1.34</v>
      </c>
      <c r="Q574" s="22" t="n">
        <v>134</v>
      </c>
      <c r="R574" s="22" t="n">
        <v>15.6</v>
      </c>
      <c r="S574" s="22" t="n">
        <v>15600</v>
      </c>
      <c r="T574" s="22" t="n">
        <v>6.1</v>
      </c>
      <c r="U574" s="22" t="n">
        <f aca="false">C574*1</f>
        <v>89</v>
      </c>
      <c r="V574" s="22" t="n">
        <f aca="false">VLOOKUP(U574,'Powder Core Toroid OD'!$A$2:$B$36,2,0)</f>
        <v>46.7</v>
      </c>
    </row>
    <row r="575" customFormat="false" ht="14.4" hidden="true" customHeight="false" outlineLevel="0" collapsed="false">
      <c r="A575" s="45" t="n">
        <v>77090</v>
      </c>
      <c r="B575" s="22" t="s">
        <v>651</v>
      </c>
      <c r="C575" s="23" t="s">
        <v>258</v>
      </c>
      <c r="D575" s="22" t="n">
        <v>60</v>
      </c>
      <c r="E575" s="22" t="s">
        <v>33</v>
      </c>
      <c r="F575" s="22" t="n">
        <v>86</v>
      </c>
      <c r="G575" s="22" t="s">
        <v>51</v>
      </c>
      <c r="H575" s="22" t="n">
        <v>11.6</v>
      </c>
      <c r="I575" s="22" t="n">
        <v>116</v>
      </c>
      <c r="J575" s="22" t="n">
        <v>1.098</v>
      </c>
      <c r="K575" s="22" t="n">
        <v>27.88</v>
      </c>
      <c r="L575" s="22" t="n">
        <v>1.875</v>
      </c>
      <c r="M575" s="22" t="n">
        <v>47.63</v>
      </c>
      <c r="N575" s="22" t="n">
        <v>0.635</v>
      </c>
      <c r="O575" s="22" t="n">
        <v>16.1</v>
      </c>
      <c r="P575" s="22" t="n">
        <v>1.34</v>
      </c>
      <c r="Q575" s="22" t="n">
        <v>134</v>
      </c>
      <c r="R575" s="22" t="n">
        <v>15.6</v>
      </c>
      <c r="S575" s="22" t="n">
        <v>15600</v>
      </c>
      <c r="T575" s="22" t="n">
        <v>6.1</v>
      </c>
      <c r="U575" s="22" t="n">
        <f aca="false">C575*1</f>
        <v>89</v>
      </c>
      <c r="V575" s="22" t="n">
        <f aca="false">VLOOKUP(U575,'Powder Core Toroid OD'!$A$2:$B$36,2,0)</f>
        <v>46.7</v>
      </c>
    </row>
    <row r="576" customFormat="false" ht="14.4" hidden="true" customHeight="false" outlineLevel="0" collapsed="false">
      <c r="A576" s="45" t="n">
        <v>77091</v>
      </c>
      <c r="B576" s="22" t="s">
        <v>652</v>
      </c>
      <c r="C576" s="23" t="s">
        <v>258</v>
      </c>
      <c r="D576" s="22" t="n">
        <v>26</v>
      </c>
      <c r="E576" s="22" t="s">
        <v>33</v>
      </c>
      <c r="F576" s="22" t="n">
        <v>37</v>
      </c>
      <c r="G576" s="22" t="s">
        <v>51</v>
      </c>
      <c r="H576" s="22" t="n">
        <v>11.6</v>
      </c>
      <c r="I576" s="22" t="n">
        <v>116</v>
      </c>
      <c r="J576" s="22" t="n">
        <v>1.098</v>
      </c>
      <c r="K576" s="22" t="n">
        <v>27.88</v>
      </c>
      <c r="L576" s="22" t="n">
        <v>1.875</v>
      </c>
      <c r="M576" s="22" t="n">
        <v>47.63</v>
      </c>
      <c r="N576" s="22" t="n">
        <v>0.635</v>
      </c>
      <c r="O576" s="22" t="n">
        <v>16.1</v>
      </c>
      <c r="P576" s="22" t="n">
        <v>1.34</v>
      </c>
      <c r="Q576" s="22" t="n">
        <v>134</v>
      </c>
      <c r="R576" s="22" t="n">
        <v>15.6</v>
      </c>
      <c r="S576" s="22" t="n">
        <v>15600</v>
      </c>
      <c r="T576" s="22" t="n">
        <v>6.1</v>
      </c>
      <c r="U576" s="22" t="n">
        <f aca="false">C576*1</f>
        <v>89</v>
      </c>
      <c r="V576" s="22" t="n">
        <f aca="false">VLOOKUP(U576,'Powder Core Toroid OD'!$A$2:$B$36,2,0)</f>
        <v>46.7</v>
      </c>
    </row>
    <row r="577" customFormat="false" ht="14.4" hidden="true" customHeight="false" outlineLevel="0" collapsed="false">
      <c r="A577" s="45" t="n">
        <v>77093</v>
      </c>
      <c r="B577" s="22" t="s">
        <v>653</v>
      </c>
      <c r="C577" s="23" t="s">
        <v>258</v>
      </c>
      <c r="D577" s="22" t="n">
        <v>90</v>
      </c>
      <c r="E577" s="22" t="s">
        <v>33</v>
      </c>
      <c r="F577" s="22" t="n">
        <v>128</v>
      </c>
      <c r="G577" s="22" t="s">
        <v>51</v>
      </c>
      <c r="H577" s="22" t="n">
        <v>11.6</v>
      </c>
      <c r="I577" s="22" t="n">
        <v>116</v>
      </c>
      <c r="J577" s="22" t="n">
        <v>1.098</v>
      </c>
      <c r="K577" s="22" t="n">
        <v>27.88</v>
      </c>
      <c r="L577" s="22" t="n">
        <v>1.875</v>
      </c>
      <c r="M577" s="22" t="n">
        <v>47.63</v>
      </c>
      <c r="N577" s="22" t="n">
        <v>0.635</v>
      </c>
      <c r="O577" s="22" t="n">
        <v>16.1</v>
      </c>
      <c r="P577" s="22" t="n">
        <v>1.34</v>
      </c>
      <c r="Q577" s="22" t="n">
        <v>134</v>
      </c>
      <c r="R577" s="22" t="n">
        <v>15.6</v>
      </c>
      <c r="S577" s="22" t="n">
        <v>15600</v>
      </c>
      <c r="T577" s="22" t="n">
        <v>6.1</v>
      </c>
      <c r="U577" s="22" t="n">
        <f aca="false">C577*1</f>
        <v>89</v>
      </c>
      <c r="V577" s="22" t="n">
        <f aca="false">VLOOKUP(U577,'Powder Core Toroid OD'!$A$2:$B$36,2,0)</f>
        <v>46.7</v>
      </c>
    </row>
    <row r="578" customFormat="false" ht="14.4" hidden="true" customHeight="false" outlineLevel="0" collapsed="false">
      <c r="A578" s="45" t="n">
        <v>77094</v>
      </c>
      <c r="B578" s="22" t="s">
        <v>654</v>
      </c>
      <c r="C578" s="23" t="s">
        <v>258</v>
      </c>
      <c r="D578" s="22" t="n">
        <v>75</v>
      </c>
      <c r="E578" s="22" t="s">
        <v>33</v>
      </c>
      <c r="F578" s="22" t="n">
        <v>107</v>
      </c>
      <c r="G578" s="22" t="s">
        <v>51</v>
      </c>
      <c r="H578" s="22" t="n">
        <v>11.6</v>
      </c>
      <c r="I578" s="22" t="n">
        <v>116</v>
      </c>
      <c r="J578" s="22" t="n">
        <v>1.098</v>
      </c>
      <c r="K578" s="22" t="n">
        <v>27.88</v>
      </c>
      <c r="L578" s="22" t="n">
        <v>1.875</v>
      </c>
      <c r="M578" s="22" t="n">
        <v>47.63</v>
      </c>
      <c r="N578" s="22" t="n">
        <v>0.635</v>
      </c>
      <c r="O578" s="22" t="n">
        <v>16.1</v>
      </c>
      <c r="P578" s="22" t="n">
        <v>1.34</v>
      </c>
      <c r="Q578" s="22" t="n">
        <v>134</v>
      </c>
      <c r="R578" s="22" t="n">
        <v>15.6</v>
      </c>
      <c r="S578" s="22" t="n">
        <v>15600</v>
      </c>
      <c r="T578" s="22" t="n">
        <v>6.1</v>
      </c>
      <c r="U578" s="22" t="n">
        <f aca="false">C578*1</f>
        <v>89</v>
      </c>
      <c r="V578" s="22" t="n">
        <f aca="false">VLOOKUP(U578,'Powder Core Toroid OD'!$A$2:$B$36,2,0)</f>
        <v>46.7</v>
      </c>
    </row>
    <row r="579" customFormat="false" ht="14.4" hidden="true" customHeight="false" outlineLevel="0" collapsed="false">
      <c r="A579" s="45" t="n">
        <v>77095</v>
      </c>
      <c r="B579" s="22" t="s">
        <v>655</v>
      </c>
      <c r="C579" s="23" t="s">
        <v>258</v>
      </c>
      <c r="D579" s="22" t="n">
        <v>40</v>
      </c>
      <c r="E579" s="22" t="s">
        <v>33</v>
      </c>
      <c r="F579" s="22" t="n">
        <v>57</v>
      </c>
      <c r="G579" s="22" t="s">
        <v>51</v>
      </c>
      <c r="H579" s="22" t="n">
        <v>11.6</v>
      </c>
      <c r="I579" s="22" t="n">
        <v>116</v>
      </c>
      <c r="J579" s="22" t="n">
        <v>1.098</v>
      </c>
      <c r="K579" s="22" t="n">
        <v>27.88</v>
      </c>
      <c r="L579" s="22" t="n">
        <v>1.875</v>
      </c>
      <c r="M579" s="22" t="n">
        <v>47.63</v>
      </c>
      <c r="N579" s="22" t="n">
        <v>0.635</v>
      </c>
      <c r="O579" s="22" t="n">
        <v>16.1</v>
      </c>
      <c r="P579" s="22" t="n">
        <v>1.34</v>
      </c>
      <c r="Q579" s="22" t="n">
        <v>134</v>
      </c>
      <c r="R579" s="22" t="n">
        <v>15.6</v>
      </c>
      <c r="S579" s="22" t="n">
        <v>15600</v>
      </c>
      <c r="T579" s="22" t="n">
        <v>6.1</v>
      </c>
      <c r="U579" s="22" t="n">
        <f aca="false">C579*1</f>
        <v>89</v>
      </c>
      <c r="V579" s="22" t="n">
        <f aca="false">VLOOKUP(U579,'Powder Core Toroid OD'!$A$2:$B$36,2,0)</f>
        <v>46.7</v>
      </c>
    </row>
    <row r="580" customFormat="false" ht="14.4" hidden="true" customHeight="false" outlineLevel="0" collapsed="false">
      <c r="A580" s="45" t="n">
        <v>77109</v>
      </c>
      <c r="B580" s="22" t="s">
        <v>656</v>
      </c>
      <c r="C580" s="23" t="n">
        <v>109</v>
      </c>
      <c r="D580" s="22" t="n">
        <v>125</v>
      </c>
      <c r="E580" s="22" t="s">
        <v>33</v>
      </c>
      <c r="F580" s="22" t="n">
        <v>156</v>
      </c>
      <c r="G580" s="22" t="s">
        <v>51</v>
      </c>
      <c r="H580" s="22" t="n">
        <v>14.3</v>
      </c>
      <c r="I580" s="22" t="n">
        <v>143</v>
      </c>
      <c r="J580" s="22" t="n">
        <v>1.368</v>
      </c>
      <c r="K580" s="22" t="n">
        <v>34.74</v>
      </c>
      <c r="L580" s="22" t="n">
        <v>2.285</v>
      </c>
      <c r="M580" s="22" t="n">
        <v>58.04</v>
      </c>
      <c r="N580" s="22" t="n">
        <v>0.585</v>
      </c>
      <c r="O580" s="22" t="n">
        <v>14.9</v>
      </c>
      <c r="P580" s="22" t="n">
        <v>1.44</v>
      </c>
      <c r="Q580" s="22" t="n">
        <v>144</v>
      </c>
      <c r="R580" s="22" t="n">
        <v>20.7</v>
      </c>
      <c r="S580" s="22" t="n">
        <v>20700</v>
      </c>
      <c r="T580" s="22" t="n">
        <v>9.48</v>
      </c>
      <c r="U580" s="22" t="n">
        <f aca="false">C580*1</f>
        <v>109</v>
      </c>
      <c r="V580" s="22" t="n">
        <f aca="false">VLOOKUP(U580,'Powder Core Toroid OD'!$A$2:$B$36,2,0)</f>
        <v>57.2</v>
      </c>
    </row>
    <row r="581" customFormat="false" ht="14.4" hidden="true" customHeight="false" outlineLevel="0" collapsed="false">
      <c r="A581" s="45" t="n">
        <v>77110</v>
      </c>
      <c r="B581" s="22" t="s">
        <v>657</v>
      </c>
      <c r="C581" s="23" t="n">
        <v>109</v>
      </c>
      <c r="D581" s="22" t="n">
        <v>60</v>
      </c>
      <c r="E581" s="22" t="s">
        <v>33</v>
      </c>
      <c r="F581" s="22" t="n">
        <v>75</v>
      </c>
      <c r="G581" s="22" t="s">
        <v>51</v>
      </c>
      <c r="H581" s="22" t="n">
        <v>14.3</v>
      </c>
      <c r="I581" s="22" t="n">
        <v>143</v>
      </c>
      <c r="J581" s="22" t="n">
        <v>1.368</v>
      </c>
      <c r="K581" s="22" t="n">
        <v>34.74</v>
      </c>
      <c r="L581" s="22" t="n">
        <v>2.285</v>
      </c>
      <c r="M581" s="22" t="n">
        <v>58.04</v>
      </c>
      <c r="N581" s="22" t="n">
        <v>0.585</v>
      </c>
      <c r="O581" s="22" t="n">
        <v>14.9</v>
      </c>
      <c r="P581" s="22" t="n">
        <v>1.44</v>
      </c>
      <c r="Q581" s="22" t="n">
        <v>144</v>
      </c>
      <c r="R581" s="22" t="n">
        <v>20.7</v>
      </c>
      <c r="S581" s="22" t="n">
        <v>20700</v>
      </c>
      <c r="T581" s="22" t="n">
        <v>9.48</v>
      </c>
      <c r="U581" s="22" t="n">
        <f aca="false">C581*1</f>
        <v>109</v>
      </c>
      <c r="V581" s="22" t="n">
        <f aca="false">VLOOKUP(U581,'Powder Core Toroid OD'!$A$2:$B$36,2,0)</f>
        <v>57.2</v>
      </c>
    </row>
    <row r="582" customFormat="false" ht="14.4" hidden="true" customHeight="false" outlineLevel="0" collapsed="false">
      <c r="A582" s="45" t="n">
        <v>77111</v>
      </c>
      <c r="B582" s="22" t="s">
        <v>658</v>
      </c>
      <c r="C582" s="23" t="n">
        <v>109</v>
      </c>
      <c r="D582" s="22" t="n">
        <v>26</v>
      </c>
      <c r="E582" s="22" t="s">
        <v>33</v>
      </c>
      <c r="F582" s="22" t="n">
        <v>33</v>
      </c>
      <c r="G582" s="22" t="s">
        <v>51</v>
      </c>
      <c r="H582" s="22" t="n">
        <v>14.3</v>
      </c>
      <c r="I582" s="22" t="n">
        <v>143</v>
      </c>
      <c r="J582" s="22" t="n">
        <v>1.368</v>
      </c>
      <c r="K582" s="22" t="n">
        <v>34.74</v>
      </c>
      <c r="L582" s="22" t="n">
        <v>2.285</v>
      </c>
      <c r="M582" s="22" t="n">
        <v>58.04</v>
      </c>
      <c r="N582" s="22" t="n">
        <v>0.585</v>
      </c>
      <c r="O582" s="22" t="n">
        <v>14.9</v>
      </c>
      <c r="P582" s="22" t="n">
        <v>1.44</v>
      </c>
      <c r="Q582" s="22" t="n">
        <v>144</v>
      </c>
      <c r="R582" s="22" t="n">
        <v>20.7</v>
      </c>
      <c r="S582" s="22" t="n">
        <v>20700</v>
      </c>
      <c r="T582" s="22" t="n">
        <v>9.48</v>
      </c>
      <c r="U582" s="22" t="n">
        <f aca="false">C582*1</f>
        <v>109</v>
      </c>
      <c r="V582" s="22" t="n">
        <f aca="false">VLOOKUP(U582,'Powder Core Toroid OD'!$A$2:$B$36,2,0)</f>
        <v>57.2</v>
      </c>
    </row>
    <row r="583" customFormat="false" ht="14.4" hidden="true" customHeight="false" outlineLevel="0" collapsed="false">
      <c r="A583" s="45" t="n">
        <v>77120</v>
      </c>
      <c r="B583" s="22" t="s">
        <v>659</v>
      </c>
      <c r="C583" s="23" t="n">
        <v>120</v>
      </c>
      <c r="D583" s="22" t="n">
        <v>125</v>
      </c>
      <c r="E583" s="22" t="s">
        <v>33</v>
      </c>
      <c r="F583" s="22" t="n">
        <v>72</v>
      </c>
      <c r="G583" s="22" t="s">
        <v>51</v>
      </c>
      <c r="H583" s="22" t="n">
        <v>4.12</v>
      </c>
      <c r="I583" s="22" t="n">
        <v>41.2</v>
      </c>
      <c r="J583" s="22" t="n">
        <v>0.375</v>
      </c>
      <c r="K583" s="22" t="n">
        <v>9.52</v>
      </c>
      <c r="L583" s="43" t="n">
        <v>0.68</v>
      </c>
      <c r="M583" s="22" t="n">
        <v>17.3</v>
      </c>
      <c r="N583" s="43" t="n">
        <v>0.28</v>
      </c>
      <c r="O583" s="22" t="n">
        <v>7.12</v>
      </c>
      <c r="P583" s="22" t="n">
        <v>0.192</v>
      </c>
      <c r="Q583" s="22" t="n">
        <v>19.2</v>
      </c>
      <c r="R583" s="22" t="n">
        <v>0.791</v>
      </c>
      <c r="S583" s="22" t="n">
        <v>791</v>
      </c>
      <c r="T583" s="22" t="n">
        <v>0.712</v>
      </c>
      <c r="U583" s="22" t="n">
        <f aca="false">C583*1</f>
        <v>120</v>
      </c>
      <c r="V583" s="22" t="n">
        <f aca="false">VLOOKUP(U583,'Powder Core Toroid OD'!$A$2:$B$36,2,0)</f>
        <v>16.6</v>
      </c>
    </row>
    <row r="584" customFormat="false" ht="14.4" hidden="true" customHeight="false" outlineLevel="0" collapsed="false">
      <c r="A584" s="45" t="n">
        <v>77121</v>
      </c>
      <c r="B584" s="22" t="s">
        <v>660</v>
      </c>
      <c r="C584" s="23" t="n">
        <v>120</v>
      </c>
      <c r="D584" s="22" t="n">
        <v>60</v>
      </c>
      <c r="E584" s="22" t="s">
        <v>33</v>
      </c>
      <c r="F584" s="22" t="n">
        <v>35</v>
      </c>
      <c r="G584" s="22" t="s">
        <v>51</v>
      </c>
      <c r="H584" s="22" t="n">
        <v>4.12</v>
      </c>
      <c r="I584" s="22" t="n">
        <v>41.2</v>
      </c>
      <c r="J584" s="22" t="n">
        <v>0.375</v>
      </c>
      <c r="K584" s="22" t="n">
        <v>9.52</v>
      </c>
      <c r="L584" s="43" t="n">
        <v>0.68</v>
      </c>
      <c r="M584" s="22" t="n">
        <v>17.3</v>
      </c>
      <c r="N584" s="43" t="n">
        <v>0.28</v>
      </c>
      <c r="O584" s="22" t="n">
        <v>7.12</v>
      </c>
      <c r="P584" s="22" t="n">
        <v>0.192</v>
      </c>
      <c r="Q584" s="22" t="n">
        <v>19.2</v>
      </c>
      <c r="R584" s="22" t="n">
        <v>0.791</v>
      </c>
      <c r="S584" s="22" t="n">
        <v>791</v>
      </c>
      <c r="T584" s="22" t="n">
        <v>0.712</v>
      </c>
      <c r="U584" s="22" t="n">
        <f aca="false">C584*1</f>
        <v>120</v>
      </c>
      <c r="V584" s="22" t="n">
        <f aca="false">VLOOKUP(U584,'Powder Core Toroid OD'!$A$2:$B$36,2,0)</f>
        <v>16.6</v>
      </c>
    </row>
    <row r="585" customFormat="false" ht="14.4" hidden="true" customHeight="false" outlineLevel="0" collapsed="false">
      <c r="A585" s="45" t="n">
        <v>77130</v>
      </c>
      <c r="B585" s="22" t="s">
        <v>661</v>
      </c>
      <c r="C585" s="23" t="n">
        <v>130</v>
      </c>
      <c r="D585" s="22" t="n">
        <v>125</v>
      </c>
      <c r="E585" s="22" t="s">
        <v>33</v>
      </c>
      <c r="F585" s="22" t="n">
        <v>53</v>
      </c>
      <c r="G585" s="22" t="s">
        <v>51</v>
      </c>
      <c r="H585" s="22" t="n">
        <v>2.69</v>
      </c>
      <c r="I585" s="22" t="n">
        <v>26.9</v>
      </c>
      <c r="J585" s="43" t="n">
        <v>0.23</v>
      </c>
      <c r="K585" s="22" t="n">
        <v>5.84</v>
      </c>
      <c r="L585" s="22" t="n">
        <v>0.465</v>
      </c>
      <c r="M585" s="22" t="n">
        <v>11.9</v>
      </c>
      <c r="N585" s="22" t="n">
        <v>0.181</v>
      </c>
      <c r="O585" s="43" t="n">
        <v>4.6</v>
      </c>
      <c r="P585" s="22" t="n">
        <v>0.0906</v>
      </c>
      <c r="Q585" s="22" t="n">
        <v>9.06</v>
      </c>
      <c r="R585" s="22" t="n">
        <v>0.244</v>
      </c>
      <c r="S585" s="22" t="n">
        <v>244</v>
      </c>
      <c r="T585" s="22" t="n">
        <v>0.268</v>
      </c>
      <c r="U585" s="22" t="n">
        <f aca="false">C585*1</f>
        <v>130</v>
      </c>
      <c r="V585" s="22" t="n">
        <f aca="false">VLOOKUP(U585,'Powder Core Toroid OD'!$A$2:$B$36,2,0)</f>
        <v>11.2</v>
      </c>
    </row>
    <row r="586" customFormat="false" ht="14.4" hidden="true" customHeight="false" outlineLevel="0" collapsed="false">
      <c r="A586" s="45" t="n">
        <v>77131</v>
      </c>
      <c r="B586" s="22" t="s">
        <v>662</v>
      </c>
      <c r="C586" s="23" t="n">
        <v>130</v>
      </c>
      <c r="D586" s="22" t="n">
        <v>60</v>
      </c>
      <c r="E586" s="22" t="s">
        <v>33</v>
      </c>
      <c r="F586" s="22" t="n">
        <v>26</v>
      </c>
      <c r="G586" s="22" t="s">
        <v>51</v>
      </c>
      <c r="H586" s="22" t="n">
        <v>2.69</v>
      </c>
      <c r="I586" s="22" t="n">
        <v>26.9</v>
      </c>
      <c r="J586" s="43" t="n">
        <v>0.23</v>
      </c>
      <c r="K586" s="22" t="n">
        <v>5.84</v>
      </c>
      <c r="L586" s="22" t="n">
        <v>0.465</v>
      </c>
      <c r="M586" s="22" t="n">
        <v>11.9</v>
      </c>
      <c r="N586" s="22" t="n">
        <v>0.181</v>
      </c>
      <c r="O586" s="43" t="n">
        <v>4.6</v>
      </c>
      <c r="P586" s="22" t="n">
        <v>0.0906</v>
      </c>
      <c r="Q586" s="22" t="n">
        <v>9.06</v>
      </c>
      <c r="R586" s="22" t="n">
        <v>0.244</v>
      </c>
      <c r="S586" s="22" t="n">
        <v>244</v>
      </c>
      <c r="T586" s="22" t="n">
        <v>0.268</v>
      </c>
      <c r="U586" s="22" t="n">
        <f aca="false">C586*1</f>
        <v>130</v>
      </c>
      <c r="V586" s="22" t="n">
        <f aca="false">VLOOKUP(U586,'Powder Core Toroid OD'!$A$2:$B$36,2,0)</f>
        <v>11.2</v>
      </c>
    </row>
    <row r="587" customFormat="false" ht="14.4" hidden="true" customHeight="false" outlineLevel="0" collapsed="false">
      <c r="A587" s="45" t="n">
        <v>77140</v>
      </c>
      <c r="B587" s="22" t="s">
        <v>663</v>
      </c>
      <c r="C587" s="23" t="n">
        <v>140</v>
      </c>
      <c r="D587" s="22" t="n">
        <v>125</v>
      </c>
      <c r="E587" s="22" t="s">
        <v>33</v>
      </c>
      <c r="F587" s="22" t="n">
        <v>26</v>
      </c>
      <c r="G587" s="22" t="s">
        <v>51</v>
      </c>
      <c r="H587" s="22" t="n">
        <v>0.806</v>
      </c>
      <c r="I587" s="22" t="n">
        <v>8.06</v>
      </c>
      <c r="J587" s="43" t="n">
        <v>0.05</v>
      </c>
      <c r="K587" s="22" t="n">
        <v>1.27</v>
      </c>
      <c r="L587" s="22" t="n">
        <v>0.165</v>
      </c>
      <c r="M587" s="42" t="n">
        <v>4.2</v>
      </c>
      <c r="N587" s="22" t="n">
        <v>0.085</v>
      </c>
      <c r="O587" s="22" t="n">
        <v>2.16</v>
      </c>
      <c r="P587" s="22" t="n">
        <v>0.013</v>
      </c>
      <c r="Q587" s="22" t="n">
        <v>1.3</v>
      </c>
      <c r="R587" s="22" t="n">
        <v>0.0105</v>
      </c>
      <c r="S587" s="22" t="n">
        <v>10.5</v>
      </c>
      <c r="T587" s="22" t="n">
        <v>0.0127</v>
      </c>
      <c r="U587" s="22" t="n">
        <f aca="false">C587*1</f>
        <v>140</v>
      </c>
      <c r="V587" s="22" t="n">
        <f aca="false">VLOOKUP(U587,'Powder Core Toroid OD'!$A$2:$B$36,2,0)</f>
        <v>3.56</v>
      </c>
    </row>
    <row r="588" customFormat="false" ht="14.4" hidden="true" customHeight="false" outlineLevel="0" collapsed="false">
      <c r="A588" s="45" t="n">
        <v>77141</v>
      </c>
      <c r="B588" s="22" t="s">
        <v>664</v>
      </c>
      <c r="C588" s="23" t="n">
        <v>140</v>
      </c>
      <c r="D588" s="22" t="n">
        <v>60</v>
      </c>
      <c r="E588" s="22" t="s">
        <v>33</v>
      </c>
      <c r="F588" s="22" t="n">
        <v>13</v>
      </c>
      <c r="G588" s="22" t="s">
        <v>51</v>
      </c>
      <c r="H588" s="22" t="n">
        <v>0.806</v>
      </c>
      <c r="I588" s="22" t="n">
        <v>8.06</v>
      </c>
      <c r="J588" s="43" t="n">
        <v>0.05</v>
      </c>
      <c r="K588" s="22" t="n">
        <v>1.27</v>
      </c>
      <c r="L588" s="22" t="n">
        <v>0.165</v>
      </c>
      <c r="M588" s="42" t="n">
        <v>4.2</v>
      </c>
      <c r="N588" s="22" t="n">
        <v>0.085</v>
      </c>
      <c r="O588" s="22" t="n">
        <v>2.16</v>
      </c>
      <c r="P588" s="22" t="n">
        <v>0.013</v>
      </c>
      <c r="Q588" s="22" t="n">
        <v>1.3</v>
      </c>
      <c r="R588" s="22" t="n">
        <v>0.0105</v>
      </c>
      <c r="S588" s="22" t="n">
        <v>10.5</v>
      </c>
      <c r="T588" s="22" t="n">
        <v>0.0127</v>
      </c>
      <c r="U588" s="22" t="n">
        <f aca="false">C588*1</f>
        <v>140</v>
      </c>
      <c r="V588" s="22" t="n">
        <f aca="false">VLOOKUP(U588,'Powder Core Toroid OD'!$A$2:$B$36,2,0)</f>
        <v>3.56</v>
      </c>
    </row>
    <row r="589" customFormat="false" ht="14.4" hidden="true" customHeight="false" outlineLevel="0" collapsed="false">
      <c r="A589" s="45" t="n">
        <v>77150</v>
      </c>
      <c r="B589" s="22" t="s">
        <v>665</v>
      </c>
      <c r="C589" s="23" t="n">
        <v>150</v>
      </c>
      <c r="D589" s="22" t="n">
        <v>125</v>
      </c>
      <c r="E589" s="22" t="s">
        <v>33</v>
      </c>
      <c r="F589" s="22" t="n">
        <v>35</v>
      </c>
      <c r="G589" s="22" t="s">
        <v>51</v>
      </c>
      <c r="H589" s="22" t="n">
        <v>0.942</v>
      </c>
      <c r="I589" s="22" t="n">
        <v>9.42</v>
      </c>
      <c r="J589" s="22" t="n">
        <v>0.068</v>
      </c>
      <c r="K589" s="22" t="n">
        <v>1.72</v>
      </c>
      <c r="L589" s="22" t="n">
        <v>0.18</v>
      </c>
      <c r="M589" s="22" t="n">
        <v>4.58</v>
      </c>
      <c r="N589" s="22" t="n">
        <v>0.125</v>
      </c>
      <c r="O589" s="22" t="n">
        <v>3.18</v>
      </c>
      <c r="P589" s="22" t="n">
        <v>0.0211</v>
      </c>
      <c r="Q589" s="22" t="n">
        <v>2.11</v>
      </c>
      <c r="R589" s="22" t="n">
        <v>0.0199</v>
      </c>
      <c r="S589" s="22" t="n">
        <v>19.9</v>
      </c>
      <c r="T589" s="22" t="n">
        <v>0.0232</v>
      </c>
      <c r="U589" s="22" t="n">
        <f aca="false">C589*1</f>
        <v>150</v>
      </c>
      <c r="V589" s="22" t="n">
        <f aca="false">VLOOKUP(U589,'Powder Core Toroid OD'!$A$2:$B$36,2,0)</f>
        <v>3.94</v>
      </c>
    </row>
    <row r="590" customFormat="false" ht="14.4" hidden="true" customHeight="false" outlineLevel="0" collapsed="false">
      <c r="A590" s="45" t="n">
        <v>77151</v>
      </c>
      <c r="B590" s="22" t="s">
        <v>666</v>
      </c>
      <c r="C590" s="23" t="n">
        <v>150</v>
      </c>
      <c r="D590" s="22" t="n">
        <v>60</v>
      </c>
      <c r="E590" s="22" t="s">
        <v>33</v>
      </c>
      <c r="F590" s="22" t="n">
        <v>17</v>
      </c>
      <c r="G590" s="22" t="s">
        <v>51</v>
      </c>
      <c r="H590" s="22" t="n">
        <v>0.942</v>
      </c>
      <c r="I590" s="22" t="n">
        <v>9.42</v>
      </c>
      <c r="J590" s="22" t="n">
        <v>0.068</v>
      </c>
      <c r="K590" s="22" t="n">
        <v>1.72</v>
      </c>
      <c r="L590" s="22" t="n">
        <v>0.18</v>
      </c>
      <c r="M590" s="22" t="n">
        <v>4.58</v>
      </c>
      <c r="N590" s="22" t="n">
        <v>0.125</v>
      </c>
      <c r="O590" s="22" t="n">
        <v>3.18</v>
      </c>
      <c r="P590" s="22" t="n">
        <v>0.0211</v>
      </c>
      <c r="Q590" s="22" t="n">
        <v>2.11</v>
      </c>
      <c r="R590" s="22" t="n">
        <v>0.0199</v>
      </c>
      <c r="S590" s="22" t="n">
        <v>19.9</v>
      </c>
      <c r="T590" s="22" t="n">
        <v>0.0232</v>
      </c>
      <c r="U590" s="22" t="n">
        <f aca="false">C590*1</f>
        <v>150</v>
      </c>
      <c r="V590" s="22" t="n">
        <f aca="false">VLOOKUP(U590,'Powder Core Toroid OD'!$A$2:$B$36,2,0)</f>
        <v>3.94</v>
      </c>
    </row>
    <row r="591" customFormat="false" ht="14.4" hidden="true" customHeight="false" outlineLevel="0" collapsed="false">
      <c r="A591" s="45" t="n">
        <v>77154</v>
      </c>
      <c r="B591" s="22" t="s">
        <v>667</v>
      </c>
      <c r="C591" s="23" t="n">
        <v>150</v>
      </c>
      <c r="D591" s="22" t="n">
        <v>90</v>
      </c>
      <c r="E591" s="22" t="s">
        <v>33</v>
      </c>
      <c r="F591" s="22" t="n">
        <v>25</v>
      </c>
      <c r="G591" s="22" t="s">
        <v>51</v>
      </c>
      <c r="H591" s="22" t="n">
        <v>0.942</v>
      </c>
      <c r="I591" s="22" t="n">
        <v>9.42</v>
      </c>
      <c r="J591" s="22" t="n">
        <v>0.068</v>
      </c>
      <c r="K591" s="22" t="n">
        <v>1.72</v>
      </c>
      <c r="L591" s="22" t="n">
        <v>0.18</v>
      </c>
      <c r="M591" s="22" t="n">
        <v>4.58</v>
      </c>
      <c r="N591" s="22" t="n">
        <v>0.125</v>
      </c>
      <c r="O591" s="22" t="n">
        <v>3.18</v>
      </c>
      <c r="P591" s="22" t="n">
        <v>0.0211</v>
      </c>
      <c r="Q591" s="22" t="n">
        <v>2.11</v>
      </c>
      <c r="R591" s="22" t="n">
        <v>0.0199</v>
      </c>
      <c r="S591" s="22" t="n">
        <v>19.9</v>
      </c>
      <c r="T591" s="22" t="n">
        <v>0.0232</v>
      </c>
      <c r="U591" s="22" t="n">
        <f aca="false">C591*1</f>
        <v>150</v>
      </c>
      <c r="V591" s="22" t="n">
        <f aca="false">VLOOKUP(U591,'Powder Core Toroid OD'!$A$2:$B$36,2,0)</f>
        <v>3.94</v>
      </c>
    </row>
    <row r="592" customFormat="false" ht="14.4" hidden="true" customHeight="false" outlineLevel="0" collapsed="false">
      <c r="A592" s="45" t="n">
        <v>77180</v>
      </c>
      <c r="B592" s="22" t="s">
        <v>668</v>
      </c>
      <c r="C592" s="23" t="n">
        <v>180</v>
      </c>
      <c r="D592" s="22" t="n">
        <v>125</v>
      </c>
      <c r="E592" s="22" t="s">
        <v>33</v>
      </c>
      <c r="F592" s="22" t="n">
        <v>42</v>
      </c>
      <c r="G592" s="22" t="s">
        <v>51</v>
      </c>
      <c r="H592" s="22" t="n">
        <v>1.06</v>
      </c>
      <c r="I592" s="22" t="n">
        <v>10.6</v>
      </c>
      <c r="J592" s="22" t="n">
        <v>0.073</v>
      </c>
      <c r="K592" s="22" t="n">
        <v>1.85</v>
      </c>
      <c r="L592" s="22" t="n">
        <v>0.208</v>
      </c>
      <c r="M592" s="22" t="n">
        <v>5.29</v>
      </c>
      <c r="N592" s="22" t="n">
        <v>0.125</v>
      </c>
      <c r="O592" s="22" t="n">
        <v>3.18</v>
      </c>
      <c r="P592" s="22" t="n">
        <v>0.0285</v>
      </c>
      <c r="Q592" s="22" t="n">
        <v>2.85</v>
      </c>
      <c r="R592" s="22" t="n">
        <v>0.0303</v>
      </c>
      <c r="S592" s="22" t="n">
        <v>30.3</v>
      </c>
      <c r="T592" s="22" t="n">
        <v>0.0269</v>
      </c>
      <c r="U592" s="22" t="n">
        <f aca="false">C592*1</f>
        <v>180</v>
      </c>
      <c r="V592" s="22" t="n">
        <f aca="false">VLOOKUP(U592,'Powder Core Toroid OD'!$A$2:$B$36,2,0)</f>
        <v>4.65</v>
      </c>
    </row>
    <row r="593" customFormat="false" ht="14.4" hidden="true" customHeight="false" outlineLevel="0" collapsed="false">
      <c r="A593" s="45" t="n">
        <v>77181</v>
      </c>
      <c r="B593" s="22" t="s">
        <v>669</v>
      </c>
      <c r="C593" s="23" t="n">
        <v>180</v>
      </c>
      <c r="D593" s="22" t="n">
        <v>60</v>
      </c>
      <c r="E593" s="22" t="s">
        <v>33</v>
      </c>
      <c r="F593" s="22" t="n">
        <v>20</v>
      </c>
      <c r="G593" s="22" t="s">
        <v>51</v>
      </c>
      <c r="H593" s="22" t="n">
        <v>1.06</v>
      </c>
      <c r="I593" s="22" t="n">
        <v>10.6</v>
      </c>
      <c r="J593" s="22" t="n">
        <v>0.073</v>
      </c>
      <c r="K593" s="22" t="n">
        <v>1.85</v>
      </c>
      <c r="L593" s="22" t="n">
        <v>0.208</v>
      </c>
      <c r="M593" s="22" t="n">
        <v>5.29</v>
      </c>
      <c r="N593" s="22" t="n">
        <v>0.125</v>
      </c>
      <c r="O593" s="22" t="n">
        <v>3.18</v>
      </c>
      <c r="P593" s="22" t="n">
        <v>0.0285</v>
      </c>
      <c r="Q593" s="22" t="n">
        <v>2.85</v>
      </c>
      <c r="R593" s="22" t="n">
        <v>0.0303</v>
      </c>
      <c r="S593" s="22" t="n">
        <v>30.3</v>
      </c>
      <c r="T593" s="22" t="n">
        <v>0.0269</v>
      </c>
      <c r="U593" s="22" t="n">
        <f aca="false">C593*1</f>
        <v>180</v>
      </c>
      <c r="V593" s="22" t="n">
        <f aca="false">VLOOKUP(U593,'Powder Core Toroid OD'!$A$2:$B$36,2,0)</f>
        <v>4.65</v>
      </c>
    </row>
    <row r="594" customFormat="false" ht="14.4" hidden="true" customHeight="false" outlineLevel="0" collapsed="false">
      <c r="A594" s="45" t="n">
        <v>77184</v>
      </c>
      <c r="B594" s="22" t="s">
        <v>670</v>
      </c>
      <c r="C594" s="23" t="n">
        <v>180</v>
      </c>
      <c r="D594" s="22" t="n">
        <v>90</v>
      </c>
      <c r="E594" s="22" t="s">
        <v>33</v>
      </c>
      <c r="F594" s="22" t="n">
        <v>30</v>
      </c>
      <c r="G594" s="22" t="s">
        <v>51</v>
      </c>
      <c r="H594" s="22" t="n">
        <v>1.06</v>
      </c>
      <c r="I594" s="22" t="n">
        <v>10.6</v>
      </c>
      <c r="J594" s="22" t="n">
        <v>0.073</v>
      </c>
      <c r="K594" s="22" t="n">
        <v>1.85</v>
      </c>
      <c r="L594" s="22" t="n">
        <v>0.208</v>
      </c>
      <c r="M594" s="22" t="n">
        <v>5.29</v>
      </c>
      <c r="N594" s="22" t="n">
        <v>0.125</v>
      </c>
      <c r="O594" s="22" t="n">
        <v>3.18</v>
      </c>
      <c r="P594" s="22" t="n">
        <v>0.0285</v>
      </c>
      <c r="Q594" s="22" t="n">
        <v>2.85</v>
      </c>
      <c r="R594" s="22" t="n">
        <v>0.0303</v>
      </c>
      <c r="S594" s="22" t="n">
        <v>30.3</v>
      </c>
      <c r="T594" s="22" t="n">
        <v>0.0269</v>
      </c>
      <c r="U594" s="22" t="n">
        <f aca="false">C594*1</f>
        <v>180</v>
      </c>
      <c r="V594" s="22" t="n">
        <f aca="false">VLOOKUP(U594,'Powder Core Toroid OD'!$A$2:$B$36,2,0)</f>
        <v>4.65</v>
      </c>
    </row>
    <row r="595" customFormat="false" ht="14.4" hidden="true" customHeight="false" outlineLevel="0" collapsed="false">
      <c r="A595" s="45" t="n">
        <v>77189</v>
      </c>
      <c r="B595" s="22" t="s">
        <v>671</v>
      </c>
      <c r="C595" s="23" t="n">
        <v>195</v>
      </c>
      <c r="D595" s="22" t="n">
        <v>40</v>
      </c>
      <c r="E595" s="22" t="s">
        <v>33</v>
      </c>
      <c r="F595" s="22" t="n">
        <v>92</v>
      </c>
      <c r="G595" s="22" t="s">
        <v>51</v>
      </c>
      <c r="H595" s="22" t="n">
        <v>12.5</v>
      </c>
      <c r="I595" s="22" t="n">
        <v>125</v>
      </c>
      <c r="J595" s="22" t="n">
        <v>1.007</v>
      </c>
      <c r="K595" s="22" t="n">
        <v>25.57</v>
      </c>
      <c r="L595" s="22" t="n">
        <v>2.285</v>
      </c>
      <c r="M595" s="22" t="n">
        <v>58.04</v>
      </c>
      <c r="N595" s="22" t="n">
        <v>0.635</v>
      </c>
      <c r="O595" s="22" t="n">
        <v>16.2</v>
      </c>
      <c r="P595" s="22" t="n">
        <v>2.29</v>
      </c>
      <c r="Q595" s="22" t="n">
        <v>229</v>
      </c>
      <c r="R595" s="22" t="n">
        <v>28.6</v>
      </c>
      <c r="S595" s="22" t="n">
        <v>28600</v>
      </c>
      <c r="T595" s="22" t="n">
        <v>5.14</v>
      </c>
      <c r="U595" s="22" t="n">
        <f aca="false">C595*1</f>
        <v>195</v>
      </c>
      <c r="V595" s="22" t="n">
        <f aca="false">VLOOKUP(U595,'Powder Core Toroid OD'!$A$2:$B$36,2,0)</f>
        <v>57.2</v>
      </c>
    </row>
    <row r="596" customFormat="false" ht="14.4" hidden="true" customHeight="false" outlineLevel="0" collapsed="false">
      <c r="A596" s="45" t="n">
        <v>77191</v>
      </c>
      <c r="B596" s="22" t="s">
        <v>672</v>
      </c>
      <c r="C596" s="23" t="n">
        <v>195</v>
      </c>
      <c r="D596" s="22" t="n">
        <v>26</v>
      </c>
      <c r="E596" s="22" t="s">
        <v>33</v>
      </c>
      <c r="F596" s="22" t="n">
        <v>60</v>
      </c>
      <c r="G596" s="22" t="s">
        <v>51</v>
      </c>
      <c r="H596" s="22" t="n">
        <v>12.5</v>
      </c>
      <c r="I596" s="22" t="n">
        <v>125</v>
      </c>
      <c r="J596" s="22" t="n">
        <v>1.007</v>
      </c>
      <c r="K596" s="22" t="n">
        <v>25.57</v>
      </c>
      <c r="L596" s="22" t="n">
        <v>2.285</v>
      </c>
      <c r="M596" s="22" t="n">
        <v>58.04</v>
      </c>
      <c r="N596" s="22" t="n">
        <v>0.635</v>
      </c>
      <c r="O596" s="22" t="n">
        <v>16.2</v>
      </c>
      <c r="P596" s="22" t="n">
        <v>2.29</v>
      </c>
      <c r="Q596" s="22" t="n">
        <v>229</v>
      </c>
      <c r="R596" s="22" t="n">
        <v>28.6</v>
      </c>
      <c r="S596" s="22" t="n">
        <v>28600</v>
      </c>
      <c r="T596" s="22" t="n">
        <v>5.14</v>
      </c>
      <c r="U596" s="22" t="n">
        <f aca="false">C596*1</f>
        <v>195</v>
      </c>
      <c r="V596" s="22" t="n">
        <f aca="false">VLOOKUP(U596,'Powder Core Toroid OD'!$A$2:$B$36,2,0)</f>
        <v>57.2</v>
      </c>
    </row>
    <row r="597" customFormat="false" ht="14.4" hidden="true" customHeight="false" outlineLevel="0" collapsed="false">
      <c r="A597" s="45" t="n">
        <v>77192</v>
      </c>
      <c r="B597" s="22" t="s">
        <v>673</v>
      </c>
      <c r="C597" s="23" t="n">
        <v>195</v>
      </c>
      <c r="D597" s="22" t="n">
        <v>60</v>
      </c>
      <c r="E597" s="22" t="s">
        <v>33</v>
      </c>
      <c r="F597" s="22" t="n">
        <v>138</v>
      </c>
      <c r="G597" s="22" t="s">
        <v>51</v>
      </c>
      <c r="H597" s="22" t="n">
        <v>12.5</v>
      </c>
      <c r="I597" s="22" t="n">
        <v>125</v>
      </c>
      <c r="J597" s="22" t="n">
        <v>1.007</v>
      </c>
      <c r="K597" s="22" t="n">
        <v>25.57</v>
      </c>
      <c r="L597" s="22" t="n">
        <v>2.285</v>
      </c>
      <c r="M597" s="22" t="n">
        <v>58.04</v>
      </c>
      <c r="N597" s="22" t="n">
        <v>0.635</v>
      </c>
      <c r="O597" s="22" t="n">
        <v>16.2</v>
      </c>
      <c r="P597" s="22" t="n">
        <v>2.29</v>
      </c>
      <c r="Q597" s="22" t="n">
        <v>229</v>
      </c>
      <c r="R597" s="22" t="n">
        <v>28.6</v>
      </c>
      <c r="S597" s="22" t="n">
        <v>28600</v>
      </c>
      <c r="T597" s="22" t="n">
        <v>5.14</v>
      </c>
      <c r="U597" s="22" t="n">
        <f aca="false">C597*1</f>
        <v>195</v>
      </c>
      <c r="V597" s="22" t="n">
        <f aca="false">VLOOKUP(U597,'Powder Core Toroid OD'!$A$2:$B$36,2,0)</f>
        <v>57.2</v>
      </c>
    </row>
    <row r="598" customFormat="false" ht="14.4" hidden="true" customHeight="false" outlineLevel="0" collapsed="false">
      <c r="A598" s="45" t="n">
        <v>77193</v>
      </c>
      <c r="B598" s="22" t="s">
        <v>674</v>
      </c>
      <c r="C598" s="23" t="n">
        <v>195</v>
      </c>
      <c r="D598" s="22" t="n">
        <v>75</v>
      </c>
      <c r="E598" s="22" t="s">
        <v>33</v>
      </c>
      <c r="F598" s="22" t="n">
        <v>172</v>
      </c>
      <c r="G598" s="22" t="s">
        <v>51</v>
      </c>
      <c r="H598" s="22" t="n">
        <v>12.5</v>
      </c>
      <c r="I598" s="22" t="n">
        <v>125</v>
      </c>
      <c r="J598" s="22" t="n">
        <v>1.007</v>
      </c>
      <c r="K598" s="22" t="n">
        <v>25.57</v>
      </c>
      <c r="L598" s="22" t="n">
        <v>2.285</v>
      </c>
      <c r="M598" s="22" t="n">
        <v>58.04</v>
      </c>
      <c r="N598" s="22" t="n">
        <v>0.635</v>
      </c>
      <c r="O598" s="22" t="n">
        <v>16.2</v>
      </c>
      <c r="P598" s="22" t="n">
        <v>2.29</v>
      </c>
      <c r="Q598" s="22" t="n">
        <v>229</v>
      </c>
      <c r="R598" s="22" t="n">
        <v>28.6</v>
      </c>
      <c r="S598" s="22" t="n">
        <v>28600</v>
      </c>
      <c r="T598" s="22" t="n">
        <v>5.14</v>
      </c>
      <c r="U598" s="22" t="n">
        <f aca="false">C598*1</f>
        <v>195</v>
      </c>
      <c r="V598" s="22" t="n">
        <f aca="false">VLOOKUP(U598,'Powder Core Toroid OD'!$A$2:$B$36,2,0)</f>
        <v>57.2</v>
      </c>
    </row>
    <row r="599" customFormat="false" ht="14.4" hidden="true" customHeight="false" outlineLevel="0" collapsed="false">
      <c r="A599" s="45" t="n">
        <v>77194</v>
      </c>
      <c r="B599" s="22" t="s">
        <v>675</v>
      </c>
      <c r="C599" s="23" t="n">
        <v>195</v>
      </c>
      <c r="D599" s="22" t="n">
        <v>90</v>
      </c>
      <c r="E599" s="22" t="s">
        <v>33</v>
      </c>
      <c r="F599" s="22" t="n">
        <v>207</v>
      </c>
      <c r="G599" s="22" t="s">
        <v>51</v>
      </c>
      <c r="H599" s="22" t="n">
        <v>12.5</v>
      </c>
      <c r="I599" s="22" t="n">
        <v>125</v>
      </c>
      <c r="J599" s="22" t="n">
        <v>1.007</v>
      </c>
      <c r="K599" s="22" t="n">
        <v>25.57</v>
      </c>
      <c r="L599" s="22" t="n">
        <v>2.285</v>
      </c>
      <c r="M599" s="22" t="n">
        <v>58.04</v>
      </c>
      <c r="N599" s="22" t="n">
        <v>0.635</v>
      </c>
      <c r="O599" s="22" t="n">
        <v>16.2</v>
      </c>
      <c r="P599" s="22" t="n">
        <v>2.29</v>
      </c>
      <c r="Q599" s="22" t="n">
        <v>229</v>
      </c>
      <c r="R599" s="22" t="n">
        <v>28.6</v>
      </c>
      <c r="S599" s="22" t="n">
        <v>28600</v>
      </c>
      <c r="T599" s="22" t="n">
        <v>5.14</v>
      </c>
      <c r="U599" s="22" t="n">
        <f aca="false">C599*1</f>
        <v>195</v>
      </c>
      <c r="V599" s="22" t="n">
        <f aca="false">VLOOKUP(U599,'Powder Core Toroid OD'!$A$2:$B$36,2,0)</f>
        <v>57.2</v>
      </c>
    </row>
    <row r="600" customFormat="false" ht="14.4" hidden="true" customHeight="false" outlineLevel="0" collapsed="false">
      <c r="A600" s="45" t="n">
        <v>77195</v>
      </c>
      <c r="B600" s="22" t="s">
        <v>676</v>
      </c>
      <c r="C600" s="23" t="n">
        <v>195</v>
      </c>
      <c r="D600" s="22" t="n">
        <v>125</v>
      </c>
      <c r="E600" s="22" t="s">
        <v>33</v>
      </c>
      <c r="F600" s="22" t="n">
        <v>287</v>
      </c>
      <c r="G600" s="22" t="s">
        <v>51</v>
      </c>
      <c r="H600" s="22" t="n">
        <v>12.5</v>
      </c>
      <c r="I600" s="22" t="n">
        <v>125</v>
      </c>
      <c r="J600" s="22" t="n">
        <v>1.007</v>
      </c>
      <c r="K600" s="22" t="n">
        <v>25.57</v>
      </c>
      <c r="L600" s="22" t="n">
        <v>2.285</v>
      </c>
      <c r="M600" s="22" t="n">
        <v>58.04</v>
      </c>
      <c r="N600" s="22" t="n">
        <v>0.635</v>
      </c>
      <c r="O600" s="22" t="n">
        <v>16.2</v>
      </c>
      <c r="P600" s="22" t="n">
        <v>2.29</v>
      </c>
      <c r="Q600" s="22" t="n">
        <v>229</v>
      </c>
      <c r="R600" s="22" t="n">
        <v>28.6</v>
      </c>
      <c r="S600" s="22" t="n">
        <v>28600</v>
      </c>
      <c r="T600" s="22" t="n">
        <v>5.14</v>
      </c>
      <c r="U600" s="22" t="n">
        <f aca="false">C600*1</f>
        <v>195</v>
      </c>
      <c r="V600" s="22" t="n">
        <f aca="false">VLOOKUP(U600,'Powder Core Toroid OD'!$A$2:$B$36,2,0)</f>
        <v>57.2</v>
      </c>
    </row>
    <row r="601" customFormat="false" ht="14.4" hidden="true" customHeight="false" outlineLevel="0" collapsed="false">
      <c r="A601" s="45" t="n">
        <v>77206</v>
      </c>
      <c r="B601" s="22" t="s">
        <v>677</v>
      </c>
      <c r="C601" s="23" t="n">
        <v>206</v>
      </c>
      <c r="D601" s="22" t="n">
        <v>125</v>
      </c>
      <c r="E601" s="22" t="s">
        <v>33</v>
      </c>
      <c r="F601" s="22" t="n">
        <v>68</v>
      </c>
      <c r="G601" s="22" t="s">
        <v>51</v>
      </c>
      <c r="H601" s="22" t="n">
        <v>5.09</v>
      </c>
      <c r="I601" s="22" t="n">
        <v>50.9</v>
      </c>
      <c r="J601" s="22" t="n">
        <v>0.475</v>
      </c>
      <c r="K601" s="36" t="n">
        <v>12</v>
      </c>
      <c r="L601" s="43" t="n">
        <v>0.83</v>
      </c>
      <c r="M601" s="22" t="n">
        <v>21.1</v>
      </c>
      <c r="N601" s="43" t="n">
        <v>0.28</v>
      </c>
      <c r="O601" s="22" t="n">
        <v>7.12</v>
      </c>
      <c r="P601" s="22" t="n">
        <v>0.221</v>
      </c>
      <c r="Q601" s="22" t="n">
        <v>22.1</v>
      </c>
      <c r="R601" s="42" t="n">
        <v>1.12</v>
      </c>
      <c r="S601" s="22" t="n">
        <v>1120</v>
      </c>
      <c r="T601" s="22" t="n">
        <v>1.14</v>
      </c>
      <c r="U601" s="22" t="n">
        <f aca="false">C601*1</f>
        <v>206</v>
      </c>
      <c r="V601" s="22" t="n">
        <f aca="false">VLOOKUP(U601,'Powder Core Toroid OD'!$A$2:$B$36,2,0)</f>
        <v>20.3</v>
      </c>
    </row>
    <row r="602" customFormat="false" ht="14.4" hidden="true" customHeight="false" outlineLevel="0" collapsed="false">
      <c r="A602" s="45" t="n">
        <v>77210</v>
      </c>
      <c r="B602" s="22" t="s">
        <v>678</v>
      </c>
      <c r="C602" s="23" t="n">
        <v>206</v>
      </c>
      <c r="D602" s="22" t="n">
        <v>90</v>
      </c>
      <c r="E602" s="22" t="s">
        <v>33</v>
      </c>
      <c r="F602" s="22" t="n">
        <v>49</v>
      </c>
      <c r="G602" s="22" t="s">
        <v>51</v>
      </c>
      <c r="H602" s="22" t="n">
        <v>5.09</v>
      </c>
      <c r="I602" s="22" t="n">
        <v>50.9</v>
      </c>
      <c r="J602" s="22" t="n">
        <v>0.475</v>
      </c>
      <c r="K602" s="36" t="n">
        <v>12</v>
      </c>
      <c r="L602" s="43" t="n">
        <v>0.83</v>
      </c>
      <c r="M602" s="22" t="n">
        <v>21.1</v>
      </c>
      <c r="N602" s="43" t="n">
        <v>0.28</v>
      </c>
      <c r="O602" s="22" t="n">
        <v>7.12</v>
      </c>
      <c r="P602" s="22" t="n">
        <v>0.221</v>
      </c>
      <c r="Q602" s="22" t="n">
        <v>22.1</v>
      </c>
      <c r="R602" s="42" t="n">
        <v>1.12</v>
      </c>
      <c r="S602" s="22" t="n">
        <v>1120</v>
      </c>
      <c r="T602" s="22" t="n">
        <v>1.14</v>
      </c>
      <c r="U602" s="22" t="n">
        <f aca="false">C602*1</f>
        <v>206</v>
      </c>
      <c r="V602" s="22" t="n">
        <f aca="false">VLOOKUP(U602,'Powder Core Toroid OD'!$A$2:$B$36,2,0)</f>
        <v>20.3</v>
      </c>
    </row>
    <row r="603" customFormat="false" ht="14.4" hidden="true" customHeight="false" outlineLevel="0" collapsed="false">
      <c r="A603" s="45" t="n">
        <v>77211</v>
      </c>
      <c r="B603" s="22" t="s">
        <v>679</v>
      </c>
      <c r="C603" s="23" t="n">
        <v>206</v>
      </c>
      <c r="D603" s="22" t="n">
        <v>75</v>
      </c>
      <c r="E603" s="22" t="s">
        <v>33</v>
      </c>
      <c r="F603" s="22" t="n">
        <v>41</v>
      </c>
      <c r="G603" s="22" t="s">
        <v>51</v>
      </c>
      <c r="H603" s="22" t="n">
        <v>5.09</v>
      </c>
      <c r="I603" s="22" t="n">
        <v>50.9</v>
      </c>
      <c r="J603" s="22" t="n">
        <v>0.475</v>
      </c>
      <c r="K603" s="36" t="n">
        <v>12</v>
      </c>
      <c r="L603" s="43" t="n">
        <v>0.83</v>
      </c>
      <c r="M603" s="22" t="n">
        <v>21.1</v>
      </c>
      <c r="N603" s="43" t="n">
        <v>0.28</v>
      </c>
      <c r="O603" s="22" t="n">
        <v>7.12</v>
      </c>
      <c r="P603" s="22" t="n">
        <v>0.221</v>
      </c>
      <c r="Q603" s="22" t="n">
        <v>22.1</v>
      </c>
      <c r="R603" s="42" t="n">
        <v>1.12</v>
      </c>
      <c r="S603" s="22" t="n">
        <v>1120</v>
      </c>
      <c r="T603" s="22" t="n">
        <v>1.14</v>
      </c>
      <c r="U603" s="22" t="n">
        <f aca="false">C603*1</f>
        <v>206</v>
      </c>
      <c r="V603" s="22" t="n">
        <f aca="false">VLOOKUP(U603,'Powder Core Toroid OD'!$A$2:$B$36,2,0)</f>
        <v>20.3</v>
      </c>
    </row>
    <row r="604" customFormat="false" ht="14.4" hidden="true" customHeight="false" outlineLevel="0" collapsed="false">
      <c r="A604" s="45" t="n">
        <v>77212</v>
      </c>
      <c r="B604" s="22" t="s">
        <v>680</v>
      </c>
      <c r="C604" s="23" t="n">
        <v>109</v>
      </c>
      <c r="D604" s="22" t="n">
        <v>40</v>
      </c>
      <c r="E604" s="22" t="s">
        <v>33</v>
      </c>
      <c r="F604" s="22" t="n">
        <v>50</v>
      </c>
      <c r="G604" s="22" t="s">
        <v>51</v>
      </c>
      <c r="H604" s="22" t="n">
        <v>14.3</v>
      </c>
      <c r="I604" s="22" t="n">
        <v>143</v>
      </c>
      <c r="J604" s="22" t="n">
        <v>1.368</v>
      </c>
      <c r="K604" s="22" t="n">
        <v>34.74</v>
      </c>
      <c r="L604" s="22" t="n">
        <v>2.285</v>
      </c>
      <c r="M604" s="22" t="n">
        <v>58.04</v>
      </c>
      <c r="N604" s="22" t="n">
        <v>0.585</v>
      </c>
      <c r="O604" s="22" t="n">
        <v>14.9</v>
      </c>
      <c r="P604" s="22" t="n">
        <v>1.44</v>
      </c>
      <c r="Q604" s="22" t="n">
        <v>144</v>
      </c>
      <c r="R604" s="22" t="n">
        <v>20.7</v>
      </c>
      <c r="S604" s="22" t="n">
        <v>20700</v>
      </c>
      <c r="T604" s="22" t="n">
        <v>9.48</v>
      </c>
      <c r="U604" s="22" t="n">
        <f aca="false">C604*1</f>
        <v>109</v>
      </c>
      <c r="V604" s="22" t="n">
        <f aca="false">VLOOKUP(U604,'Powder Core Toroid OD'!$A$2:$B$36,2,0)</f>
        <v>57.2</v>
      </c>
    </row>
    <row r="605" customFormat="false" ht="14.4" hidden="true" customHeight="false" outlineLevel="0" collapsed="false">
      <c r="A605" s="45" t="n">
        <v>77213</v>
      </c>
      <c r="B605" s="22" t="s">
        <v>681</v>
      </c>
      <c r="C605" s="23" t="n">
        <v>109</v>
      </c>
      <c r="D605" s="22" t="n">
        <v>90</v>
      </c>
      <c r="E605" s="22" t="s">
        <v>33</v>
      </c>
      <c r="F605" s="22" t="n">
        <v>112</v>
      </c>
      <c r="G605" s="22" t="s">
        <v>51</v>
      </c>
      <c r="H605" s="22" t="n">
        <v>14.3</v>
      </c>
      <c r="I605" s="22" t="n">
        <v>143</v>
      </c>
      <c r="J605" s="22" t="n">
        <v>1.368</v>
      </c>
      <c r="K605" s="22" t="n">
        <v>34.74</v>
      </c>
      <c r="L605" s="22" t="n">
        <v>2.285</v>
      </c>
      <c r="M605" s="22" t="n">
        <v>58.04</v>
      </c>
      <c r="N605" s="22" t="n">
        <v>0.585</v>
      </c>
      <c r="O605" s="22" t="n">
        <v>14.9</v>
      </c>
      <c r="P605" s="22" t="n">
        <v>1.44</v>
      </c>
      <c r="Q605" s="22" t="n">
        <v>144</v>
      </c>
      <c r="R605" s="22" t="n">
        <v>20.7</v>
      </c>
      <c r="S605" s="22" t="n">
        <v>20700</v>
      </c>
      <c r="T605" s="22" t="n">
        <v>9.48</v>
      </c>
      <c r="U605" s="22" t="n">
        <f aca="false">C605*1</f>
        <v>109</v>
      </c>
      <c r="V605" s="22" t="n">
        <f aca="false">VLOOKUP(U605,'Powder Core Toroid OD'!$A$2:$B$36,2,0)</f>
        <v>57.2</v>
      </c>
    </row>
    <row r="606" customFormat="false" ht="14.4" hidden="true" customHeight="false" outlineLevel="0" collapsed="false">
      <c r="A606" s="45" t="n">
        <v>77214</v>
      </c>
      <c r="B606" s="22" t="s">
        <v>682</v>
      </c>
      <c r="C606" s="23" t="n">
        <v>109</v>
      </c>
      <c r="D606" s="22" t="n">
        <v>75</v>
      </c>
      <c r="E606" s="22" t="s">
        <v>33</v>
      </c>
      <c r="F606" s="22" t="n">
        <v>94</v>
      </c>
      <c r="G606" s="22" t="s">
        <v>51</v>
      </c>
      <c r="H606" s="22" t="n">
        <v>14.3</v>
      </c>
      <c r="I606" s="22" t="n">
        <v>143</v>
      </c>
      <c r="J606" s="22" t="n">
        <v>1.368</v>
      </c>
      <c r="K606" s="22" t="n">
        <v>34.74</v>
      </c>
      <c r="L606" s="22" t="n">
        <v>2.285</v>
      </c>
      <c r="M606" s="22" t="n">
        <v>58.04</v>
      </c>
      <c r="N606" s="22" t="n">
        <v>0.585</v>
      </c>
      <c r="O606" s="22" t="n">
        <v>14.9</v>
      </c>
      <c r="P606" s="22" t="n">
        <v>1.44</v>
      </c>
      <c r="Q606" s="22" t="n">
        <v>144</v>
      </c>
      <c r="R606" s="22" t="n">
        <v>20.7</v>
      </c>
      <c r="S606" s="22" t="n">
        <v>20700</v>
      </c>
      <c r="T606" s="22" t="n">
        <v>9.48</v>
      </c>
      <c r="U606" s="22" t="n">
        <f aca="false">C606*1</f>
        <v>109</v>
      </c>
      <c r="V606" s="22" t="n">
        <f aca="false">VLOOKUP(U606,'Powder Core Toroid OD'!$A$2:$B$36,2,0)</f>
        <v>57.2</v>
      </c>
    </row>
    <row r="607" customFormat="false" ht="14.4" hidden="true" customHeight="false" outlineLevel="0" collapsed="false">
      <c r="A607" s="45" t="n">
        <v>77224</v>
      </c>
      <c r="B607" s="22" t="s">
        <v>683</v>
      </c>
      <c r="C607" s="23" t="n">
        <v>120</v>
      </c>
      <c r="D607" s="22" t="n">
        <v>90</v>
      </c>
      <c r="E607" s="22" t="s">
        <v>33</v>
      </c>
      <c r="F607" s="22" t="n">
        <v>52</v>
      </c>
      <c r="G607" s="22" t="s">
        <v>51</v>
      </c>
      <c r="H607" s="22" t="n">
        <v>4.12</v>
      </c>
      <c r="I607" s="22" t="n">
        <v>41.2</v>
      </c>
      <c r="J607" s="22" t="n">
        <v>0.375</v>
      </c>
      <c r="K607" s="22" t="n">
        <v>9.52</v>
      </c>
      <c r="L607" s="43" t="n">
        <v>0.68</v>
      </c>
      <c r="M607" s="22" t="n">
        <v>17.3</v>
      </c>
      <c r="N607" s="43" t="n">
        <v>0.28</v>
      </c>
      <c r="O607" s="22" t="n">
        <v>7.12</v>
      </c>
      <c r="P607" s="22" t="n">
        <v>0.192</v>
      </c>
      <c r="Q607" s="22" t="n">
        <v>19.2</v>
      </c>
      <c r="R607" s="22" t="n">
        <v>0.791</v>
      </c>
      <c r="S607" s="22" t="n">
        <v>791</v>
      </c>
      <c r="T607" s="22" t="n">
        <v>0.712</v>
      </c>
      <c r="U607" s="22" t="n">
        <f aca="false">C607*1</f>
        <v>120</v>
      </c>
      <c r="V607" s="22" t="n">
        <f aca="false">VLOOKUP(U607,'Powder Core Toroid OD'!$A$2:$B$36,2,0)</f>
        <v>16.6</v>
      </c>
    </row>
    <row r="608" customFormat="false" ht="14.4" hidden="true" customHeight="false" outlineLevel="0" collapsed="false">
      <c r="A608" s="45" t="n">
        <v>77225</v>
      </c>
      <c r="B608" s="22" t="s">
        <v>684</v>
      </c>
      <c r="C608" s="23" t="n">
        <v>120</v>
      </c>
      <c r="D608" s="22" t="n">
        <v>75</v>
      </c>
      <c r="E608" s="22" t="s">
        <v>33</v>
      </c>
      <c r="F608" s="22" t="n">
        <v>43</v>
      </c>
      <c r="G608" s="22" t="s">
        <v>51</v>
      </c>
      <c r="H608" s="22" t="n">
        <v>4.12</v>
      </c>
      <c r="I608" s="22" t="n">
        <v>41.2</v>
      </c>
      <c r="J608" s="22" t="n">
        <v>0.375</v>
      </c>
      <c r="K608" s="22" t="n">
        <v>9.52</v>
      </c>
      <c r="L608" s="43" t="n">
        <v>0.68</v>
      </c>
      <c r="M608" s="22" t="n">
        <v>17.3</v>
      </c>
      <c r="N608" s="43" t="n">
        <v>0.28</v>
      </c>
      <c r="O608" s="22" t="n">
        <v>7.12</v>
      </c>
      <c r="P608" s="22" t="n">
        <v>0.192</v>
      </c>
      <c r="Q608" s="22" t="n">
        <v>19.2</v>
      </c>
      <c r="R608" s="22" t="n">
        <v>0.791</v>
      </c>
      <c r="S608" s="22" t="n">
        <v>791</v>
      </c>
      <c r="T608" s="22" t="n">
        <v>0.712</v>
      </c>
      <c r="U608" s="22" t="n">
        <f aca="false">C608*1</f>
        <v>120</v>
      </c>
      <c r="V608" s="22" t="n">
        <f aca="false">VLOOKUP(U608,'Powder Core Toroid OD'!$A$2:$B$36,2,0)</f>
        <v>16.6</v>
      </c>
    </row>
    <row r="609" customFormat="false" ht="14.4" hidden="true" customHeight="false" outlineLevel="0" collapsed="false">
      <c r="A609" s="45" t="n">
        <v>77240</v>
      </c>
      <c r="B609" s="22" t="s">
        <v>685</v>
      </c>
      <c r="C609" s="23" t="n">
        <v>240</v>
      </c>
      <c r="D609" s="22" t="n">
        <v>125</v>
      </c>
      <c r="E609" s="22" t="s">
        <v>33</v>
      </c>
      <c r="F609" s="22" t="n">
        <v>54</v>
      </c>
      <c r="G609" s="22" t="s">
        <v>51</v>
      </c>
      <c r="H609" s="22" t="n">
        <v>1.36</v>
      </c>
      <c r="I609" s="22" t="n">
        <v>13.6</v>
      </c>
      <c r="J609" s="22" t="n">
        <v>0.085</v>
      </c>
      <c r="K609" s="22" t="n">
        <v>2.15</v>
      </c>
      <c r="L609" s="22" t="n">
        <v>0.285</v>
      </c>
      <c r="M609" s="22" t="n">
        <v>7.24</v>
      </c>
      <c r="N609" s="22" t="n">
        <v>0.125</v>
      </c>
      <c r="O609" s="22" t="n">
        <v>3.18</v>
      </c>
      <c r="P609" s="22" t="n">
        <v>0.0476</v>
      </c>
      <c r="Q609" s="22" t="n">
        <v>4.76</v>
      </c>
      <c r="R609" s="22" t="n">
        <v>0.0649</v>
      </c>
      <c r="S609" s="22" t="n">
        <v>64.9</v>
      </c>
      <c r="T609" s="22" t="n">
        <v>0.0363</v>
      </c>
      <c r="U609" s="22" t="n">
        <f aca="false">C609*1</f>
        <v>240</v>
      </c>
      <c r="V609" s="22" t="n">
        <f aca="false">VLOOKUP(U609,'Powder Core Toroid OD'!$A$2:$B$36,2,0)</f>
        <v>6.6</v>
      </c>
    </row>
    <row r="610" customFormat="false" ht="14.4" hidden="true" customHeight="false" outlineLevel="0" collapsed="false">
      <c r="A610" s="45" t="n">
        <v>77244</v>
      </c>
      <c r="B610" s="22" t="s">
        <v>686</v>
      </c>
      <c r="C610" s="23" t="n">
        <v>240</v>
      </c>
      <c r="D610" s="22" t="n">
        <v>90</v>
      </c>
      <c r="E610" s="22" t="s">
        <v>33</v>
      </c>
      <c r="F610" s="22" t="n">
        <v>39</v>
      </c>
      <c r="G610" s="22" t="s">
        <v>51</v>
      </c>
      <c r="H610" s="22" t="n">
        <v>1.36</v>
      </c>
      <c r="I610" s="22" t="n">
        <v>13.6</v>
      </c>
      <c r="J610" s="22" t="n">
        <v>0.085</v>
      </c>
      <c r="K610" s="22" t="n">
        <v>2.15</v>
      </c>
      <c r="L610" s="22" t="n">
        <v>0.285</v>
      </c>
      <c r="M610" s="22" t="n">
        <v>7.24</v>
      </c>
      <c r="N610" s="22" t="n">
        <v>0.125</v>
      </c>
      <c r="O610" s="22" t="n">
        <v>3.18</v>
      </c>
      <c r="P610" s="22" t="n">
        <v>0.0476</v>
      </c>
      <c r="Q610" s="22" t="n">
        <v>4.76</v>
      </c>
      <c r="R610" s="22" t="n">
        <v>0.0649</v>
      </c>
      <c r="S610" s="22" t="n">
        <v>64.9</v>
      </c>
      <c r="T610" s="22" t="n">
        <v>0.0363</v>
      </c>
      <c r="U610" s="22" t="n">
        <f aca="false">C610*1</f>
        <v>240</v>
      </c>
      <c r="V610" s="22" t="n">
        <f aca="false">VLOOKUP(U610,'Powder Core Toroid OD'!$A$2:$B$36,2,0)</f>
        <v>6.6</v>
      </c>
    </row>
    <row r="611" customFormat="false" ht="14.4" hidden="true" customHeight="false" outlineLevel="0" collapsed="false">
      <c r="A611" s="45" t="n">
        <v>77254</v>
      </c>
      <c r="B611" s="22" t="s">
        <v>687</v>
      </c>
      <c r="C611" s="23" t="n">
        <v>254</v>
      </c>
      <c r="D611" s="22" t="n">
        <v>125</v>
      </c>
      <c r="E611" s="22" t="s">
        <v>33</v>
      </c>
      <c r="F611" s="22" t="n">
        <v>168</v>
      </c>
      <c r="G611" s="22" t="s">
        <v>51</v>
      </c>
      <c r="H611" s="22" t="n">
        <v>9.84</v>
      </c>
      <c r="I611" s="22" t="n">
        <v>98.4</v>
      </c>
      <c r="J611" s="22" t="n">
        <v>0.918</v>
      </c>
      <c r="K611" s="22" t="n">
        <v>23.3</v>
      </c>
      <c r="L611" s="22" t="n">
        <v>1.605</v>
      </c>
      <c r="M611" s="22" t="n">
        <v>40.77</v>
      </c>
      <c r="N611" s="22" t="n">
        <v>0.605</v>
      </c>
      <c r="O611" s="22" t="n">
        <v>15.4</v>
      </c>
      <c r="P611" s="22" t="n">
        <v>1.07</v>
      </c>
      <c r="Q611" s="22" t="n">
        <v>107</v>
      </c>
      <c r="R611" s="36" t="n">
        <v>10.6</v>
      </c>
      <c r="S611" s="22" t="n">
        <v>10600</v>
      </c>
      <c r="T611" s="22" t="n">
        <v>4.27</v>
      </c>
      <c r="U611" s="22" t="n">
        <f aca="false">C611*1</f>
        <v>254</v>
      </c>
      <c r="V611" s="22" t="n">
        <f aca="false">VLOOKUP(U611,'Powder Core Toroid OD'!$A$2:$B$36,2,0)</f>
        <v>39.9</v>
      </c>
    </row>
    <row r="612" customFormat="false" ht="14.4" hidden="true" customHeight="false" outlineLevel="0" collapsed="false">
      <c r="A612" s="45" t="n">
        <v>77256</v>
      </c>
      <c r="B612" s="22" t="s">
        <v>688</v>
      </c>
      <c r="C612" s="23" t="n">
        <v>254</v>
      </c>
      <c r="D612" s="22" t="n">
        <v>26</v>
      </c>
      <c r="E612" s="22" t="s">
        <v>33</v>
      </c>
      <c r="F612" s="22" t="n">
        <v>35</v>
      </c>
      <c r="G612" s="22" t="s">
        <v>51</v>
      </c>
      <c r="H612" s="22" t="n">
        <v>9.84</v>
      </c>
      <c r="I612" s="22" t="n">
        <v>98.4</v>
      </c>
      <c r="J612" s="22" t="n">
        <v>0.918</v>
      </c>
      <c r="K612" s="22" t="n">
        <v>23.3</v>
      </c>
      <c r="L612" s="22" t="n">
        <v>1.605</v>
      </c>
      <c r="M612" s="22" t="n">
        <v>40.77</v>
      </c>
      <c r="N612" s="22" t="n">
        <v>0.605</v>
      </c>
      <c r="O612" s="22" t="n">
        <v>15.4</v>
      </c>
      <c r="P612" s="22" t="n">
        <v>1.07</v>
      </c>
      <c r="Q612" s="22" t="n">
        <v>107</v>
      </c>
      <c r="R612" s="36" t="n">
        <v>10.6</v>
      </c>
      <c r="S612" s="22" t="n">
        <v>10600</v>
      </c>
      <c r="T612" s="22" t="n">
        <v>4.27</v>
      </c>
      <c r="U612" s="22" t="n">
        <f aca="false">C612*1</f>
        <v>254</v>
      </c>
      <c r="V612" s="22" t="n">
        <f aca="false">VLOOKUP(U612,'Powder Core Toroid OD'!$A$2:$B$36,2,0)</f>
        <v>39.9</v>
      </c>
    </row>
    <row r="613" customFormat="false" ht="14.4" hidden="true" customHeight="false" outlineLevel="0" collapsed="false">
      <c r="A613" s="45" t="n">
        <v>77258</v>
      </c>
      <c r="B613" s="22" t="s">
        <v>689</v>
      </c>
      <c r="C613" s="23" t="n">
        <v>254</v>
      </c>
      <c r="D613" s="22" t="n">
        <v>90</v>
      </c>
      <c r="E613" s="22" t="s">
        <v>33</v>
      </c>
      <c r="F613" s="22" t="n">
        <v>121</v>
      </c>
      <c r="G613" s="22" t="s">
        <v>51</v>
      </c>
      <c r="H613" s="22" t="n">
        <v>9.84</v>
      </c>
      <c r="I613" s="22" t="n">
        <v>98.4</v>
      </c>
      <c r="J613" s="22" t="n">
        <v>0.918</v>
      </c>
      <c r="K613" s="22" t="n">
        <v>23.3</v>
      </c>
      <c r="L613" s="22" t="n">
        <v>1.605</v>
      </c>
      <c r="M613" s="22" t="n">
        <v>40.77</v>
      </c>
      <c r="N613" s="22" t="n">
        <v>0.605</v>
      </c>
      <c r="O613" s="22" t="n">
        <v>15.4</v>
      </c>
      <c r="P613" s="22" t="n">
        <v>1.07</v>
      </c>
      <c r="Q613" s="22" t="n">
        <v>107</v>
      </c>
      <c r="R613" s="36" t="n">
        <v>10.6</v>
      </c>
      <c r="S613" s="22" t="n">
        <v>10600</v>
      </c>
      <c r="T613" s="22" t="n">
        <v>4.27</v>
      </c>
      <c r="U613" s="22" t="n">
        <f aca="false">C613*1</f>
        <v>254</v>
      </c>
      <c r="V613" s="22" t="n">
        <f aca="false">VLOOKUP(U613,'Powder Core Toroid OD'!$A$2:$B$36,2,0)</f>
        <v>39.9</v>
      </c>
    </row>
    <row r="614" customFormat="false" ht="14.4" hidden="true" customHeight="false" outlineLevel="0" collapsed="false">
      <c r="A614" s="45" t="n">
        <v>77259</v>
      </c>
      <c r="B614" s="22" t="s">
        <v>690</v>
      </c>
      <c r="C614" s="23" t="n">
        <v>254</v>
      </c>
      <c r="D614" s="22" t="n">
        <v>75</v>
      </c>
      <c r="E614" s="22" t="s">
        <v>33</v>
      </c>
      <c r="F614" s="22" t="n">
        <v>101</v>
      </c>
      <c r="G614" s="22" t="s">
        <v>51</v>
      </c>
      <c r="H614" s="22" t="n">
        <v>9.84</v>
      </c>
      <c r="I614" s="22" t="n">
        <v>98.4</v>
      </c>
      <c r="J614" s="22" t="n">
        <v>0.918</v>
      </c>
      <c r="K614" s="22" t="n">
        <v>23.3</v>
      </c>
      <c r="L614" s="22" t="n">
        <v>1.605</v>
      </c>
      <c r="M614" s="22" t="n">
        <v>40.77</v>
      </c>
      <c r="N614" s="22" t="n">
        <v>0.605</v>
      </c>
      <c r="O614" s="22" t="n">
        <v>15.4</v>
      </c>
      <c r="P614" s="22" t="n">
        <v>1.07</v>
      </c>
      <c r="Q614" s="22" t="n">
        <v>107</v>
      </c>
      <c r="R614" s="36" t="n">
        <v>10.6</v>
      </c>
      <c r="S614" s="22" t="n">
        <v>10600</v>
      </c>
      <c r="T614" s="22" t="n">
        <v>4.27</v>
      </c>
      <c r="U614" s="22" t="n">
        <f aca="false">C614*1</f>
        <v>254</v>
      </c>
      <c r="V614" s="22" t="n">
        <f aca="false">VLOOKUP(U614,'Powder Core Toroid OD'!$A$2:$B$36,2,0)</f>
        <v>39.9</v>
      </c>
    </row>
    <row r="615" customFormat="false" ht="14.4" hidden="true" customHeight="false" outlineLevel="0" collapsed="false">
      <c r="A615" s="45" t="n">
        <v>77260</v>
      </c>
      <c r="B615" s="22" t="s">
        <v>691</v>
      </c>
      <c r="C615" s="23" t="n">
        <v>254</v>
      </c>
      <c r="D615" s="22" t="n">
        <v>40</v>
      </c>
      <c r="E615" s="22" t="s">
        <v>33</v>
      </c>
      <c r="F615" s="22" t="n">
        <v>54</v>
      </c>
      <c r="G615" s="22" t="s">
        <v>51</v>
      </c>
      <c r="H615" s="22" t="n">
        <v>9.84</v>
      </c>
      <c r="I615" s="22" t="n">
        <v>98.4</v>
      </c>
      <c r="J615" s="22" t="n">
        <v>0.918</v>
      </c>
      <c r="K615" s="22" t="n">
        <v>23.3</v>
      </c>
      <c r="L615" s="22" t="n">
        <v>1.605</v>
      </c>
      <c r="M615" s="22" t="n">
        <v>40.77</v>
      </c>
      <c r="N615" s="22" t="n">
        <v>0.605</v>
      </c>
      <c r="O615" s="22" t="n">
        <v>15.4</v>
      </c>
      <c r="P615" s="22" t="n">
        <v>1.07</v>
      </c>
      <c r="Q615" s="22" t="n">
        <v>107</v>
      </c>
      <c r="R615" s="36" t="n">
        <v>10.6</v>
      </c>
      <c r="S615" s="22" t="n">
        <v>10600</v>
      </c>
      <c r="T615" s="22" t="n">
        <v>4.27</v>
      </c>
      <c r="U615" s="22" t="n">
        <f aca="false">C615*1</f>
        <v>254</v>
      </c>
      <c r="V615" s="22" t="n">
        <f aca="false">VLOOKUP(U615,'Powder Core Toroid OD'!$A$2:$B$36,2,0)</f>
        <v>39.9</v>
      </c>
    </row>
    <row r="616" customFormat="false" ht="14.4" hidden="true" customHeight="false" outlineLevel="0" collapsed="false">
      <c r="A616" s="45" t="n">
        <v>77270</v>
      </c>
      <c r="B616" s="22" t="s">
        <v>692</v>
      </c>
      <c r="C616" s="23" t="n">
        <v>270</v>
      </c>
      <c r="D616" s="22" t="n">
        <v>125</v>
      </c>
      <c r="E616" s="22" t="s">
        <v>33</v>
      </c>
      <c r="F616" s="22" t="n">
        <v>103</v>
      </c>
      <c r="G616" s="22" t="s">
        <v>51</v>
      </c>
      <c r="H616" s="22" t="n">
        <v>1.36</v>
      </c>
      <c r="I616" s="22" t="n">
        <v>13.6</v>
      </c>
      <c r="J616" s="22" t="n">
        <v>0.085</v>
      </c>
      <c r="K616" s="22" t="n">
        <v>2.15</v>
      </c>
      <c r="L616" s="22" t="n">
        <v>0.285</v>
      </c>
      <c r="M616" s="22" t="n">
        <v>7.24</v>
      </c>
      <c r="N616" s="22" t="n">
        <v>0.213</v>
      </c>
      <c r="O616" s="22" t="n">
        <v>5.42</v>
      </c>
      <c r="P616" s="22" t="n">
        <v>0.092</v>
      </c>
      <c r="Q616" s="22" t="n">
        <v>9.2</v>
      </c>
      <c r="R616" s="22" t="n">
        <v>0.125</v>
      </c>
      <c r="S616" s="22" t="n">
        <v>125</v>
      </c>
      <c r="T616" s="22" t="n">
        <v>0.0363</v>
      </c>
      <c r="U616" s="22" t="n">
        <f aca="false">C616*1</f>
        <v>270</v>
      </c>
      <c r="V616" s="22" t="n">
        <f aca="false">VLOOKUP(U616,'Powder Core Toroid OD'!$A$2:$B$36,2,0)</f>
        <v>6.6</v>
      </c>
    </row>
    <row r="617" customFormat="false" ht="14.4" hidden="true" customHeight="false" outlineLevel="0" collapsed="false">
      <c r="A617" s="45" t="n">
        <v>77271</v>
      </c>
      <c r="B617" s="22" t="s">
        <v>693</v>
      </c>
      <c r="C617" s="23" t="n">
        <v>270</v>
      </c>
      <c r="D617" s="22" t="n">
        <v>60</v>
      </c>
      <c r="E617" s="22" t="s">
        <v>33</v>
      </c>
      <c r="F617" s="22" t="n">
        <v>50</v>
      </c>
      <c r="G617" s="22" t="s">
        <v>51</v>
      </c>
      <c r="H617" s="22" t="n">
        <v>1.36</v>
      </c>
      <c r="I617" s="22" t="n">
        <v>13.6</v>
      </c>
      <c r="J617" s="22" t="n">
        <v>0.085</v>
      </c>
      <c r="K617" s="22" t="n">
        <v>2.15</v>
      </c>
      <c r="L617" s="22" t="n">
        <v>0.285</v>
      </c>
      <c r="M617" s="22" t="n">
        <v>7.24</v>
      </c>
      <c r="N617" s="22" t="n">
        <v>0.213</v>
      </c>
      <c r="O617" s="22" t="n">
        <v>5.42</v>
      </c>
      <c r="P617" s="22" t="n">
        <v>0.092</v>
      </c>
      <c r="Q617" s="22" t="n">
        <v>9.2</v>
      </c>
      <c r="R617" s="22" t="n">
        <v>0.125</v>
      </c>
      <c r="S617" s="22" t="n">
        <v>125</v>
      </c>
      <c r="T617" s="22" t="n">
        <v>0.0363</v>
      </c>
      <c r="U617" s="22" t="n">
        <f aca="false">C617*1</f>
        <v>270</v>
      </c>
      <c r="V617" s="22" t="n">
        <f aca="false">VLOOKUP(U617,'Powder Core Toroid OD'!$A$2:$B$36,2,0)</f>
        <v>6.6</v>
      </c>
    </row>
    <row r="618" customFormat="false" ht="14.4" hidden="true" customHeight="false" outlineLevel="0" collapsed="false">
      <c r="A618" s="45" t="n">
        <v>77280</v>
      </c>
      <c r="B618" s="22" t="s">
        <v>694</v>
      </c>
      <c r="C618" s="23" t="n">
        <v>280</v>
      </c>
      <c r="D618" s="22" t="n">
        <v>125</v>
      </c>
      <c r="E618" s="22" t="s">
        <v>33</v>
      </c>
      <c r="F618" s="22" t="n">
        <v>53</v>
      </c>
      <c r="G618" s="22" t="s">
        <v>51</v>
      </c>
      <c r="H618" s="22" t="n">
        <v>2.18</v>
      </c>
      <c r="I618" s="22" t="n">
        <v>21.8</v>
      </c>
      <c r="J618" s="22" t="n">
        <v>0.168</v>
      </c>
      <c r="K618" s="22" t="n">
        <v>4.26</v>
      </c>
      <c r="L618" s="22" t="n">
        <v>0.405</v>
      </c>
      <c r="M618" s="22" t="n">
        <v>10.3</v>
      </c>
      <c r="N618" s="43" t="n">
        <v>0.15</v>
      </c>
      <c r="O618" s="22" t="n">
        <v>3.81</v>
      </c>
      <c r="P618" s="22" t="n">
        <v>0.0752</v>
      </c>
      <c r="Q618" s="22" t="n">
        <v>7.52</v>
      </c>
      <c r="R618" s="22" t="n">
        <v>0.164</v>
      </c>
      <c r="S618" s="22" t="n">
        <v>164</v>
      </c>
      <c r="T618" s="22" t="n">
        <v>0.143</v>
      </c>
      <c r="U618" s="22" t="n">
        <f aca="false">C618*1</f>
        <v>280</v>
      </c>
      <c r="V618" s="22" t="n">
        <f aca="false">VLOOKUP(U618,'Powder Core Toroid OD'!$A$2:$B$36,2,0)</f>
        <v>9.65</v>
      </c>
    </row>
    <row r="619" customFormat="false" ht="14.4" hidden="true" customHeight="false" outlineLevel="0" collapsed="false">
      <c r="A619" s="45" t="n">
        <v>77281</v>
      </c>
      <c r="B619" s="22" t="s">
        <v>695</v>
      </c>
      <c r="C619" s="23" t="n">
        <v>280</v>
      </c>
      <c r="D619" s="22" t="n">
        <v>60</v>
      </c>
      <c r="E619" s="22" t="s">
        <v>33</v>
      </c>
      <c r="F619" s="22" t="n">
        <v>25</v>
      </c>
      <c r="G619" s="22" t="s">
        <v>51</v>
      </c>
      <c r="H619" s="22" t="n">
        <v>2.18</v>
      </c>
      <c r="I619" s="22" t="n">
        <v>21.8</v>
      </c>
      <c r="J619" s="22" t="n">
        <v>0.168</v>
      </c>
      <c r="K619" s="22" t="n">
        <v>4.26</v>
      </c>
      <c r="L619" s="22" t="n">
        <v>0.405</v>
      </c>
      <c r="M619" s="22" t="n">
        <v>10.3</v>
      </c>
      <c r="N619" s="43" t="n">
        <v>0.15</v>
      </c>
      <c r="O619" s="22" t="n">
        <v>3.81</v>
      </c>
      <c r="P619" s="22" t="n">
        <v>0.0752</v>
      </c>
      <c r="Q619" s="22" t="n">
        <v>7.52</v>
      </c>
      <c r="R619" s="22" t="n">
        <v>0.164</v>
      </c>
      <c r="S619" s="22" t="n">
        <v>164</v>
      </c>
      <c r="T619" s="22" t="n">
        <v>0.143</v>
      </c>
      <c r="U619" s="22" t="n">
        <f aca="false">C619*1</f>
        <v>280</v>
      </c>
      <c r="V619" s="22" t="n">
        <f aca="false">VLOOKUP(U619,'Powder Core Toroid OD'!$A$2:$B$36,2,0)</f>
        <v>9.65</v>
      </c>
    </row>
    <row r="620" customFormat="false" ht="14.4" hidden="true" customHeight="false" outlineLevel="0" collapsed="false">
      <c r="A620" s="45" t="n">
        <v>77290</v>
      </c>
      <c r="B620" s="22" t="s">
        <v>696</v>
      </c>
      <c r="C620" s="23" t="n">
        <v>290</v>
      </c>
      <c r="D620" s="22" t="n">
        <v>125</v>
      </c>
      <c r="E620" s="22" t="s">
        <v>33</v>
      </c>
      <c r="F620" s="22" t="n">
        <v>66</v>
      </c>
      <c r="G620" s="22" t="s">
        <v>51</v>
      </c>
      <c r="H620" s="22" t="n">
        <v>2.18</v>
      </c>
      <c r="I620" s="22" t="n">
        <v>21.8</v>
      </c>
      <c r="J620" s="22" t="n">
        <v>0.168</v>
      </c>
      <c r="K620" s="22" t="n">
        <v>4.26</v>
      </c>
      <c r="L620" s="22" t="n">
        <v>0.405</v>
      </c>
      <c r="M620" s="22" t="n">
        <v>10.3</v>
      </c>
      <c r="N620" s="22" t="n">
        <v>0.181</v>
      </c>
      <c r="O620" s="42" t="n">
        <v>4.6</v>
      </c>
      <c r="P620" s="22" t="n">
        <v>0.0945</v>
      </c>
      <c r="Q620" s="22" t="n">
        <v>9.45</v>
      </c>
      <c r="R620" s="22" t="n">
        <v>0.206</v>
      </c>
      <c r="S620" s="22" t="n">
        <v>206</v>
      </c>
      <c r="T620" s="22" t="n">
        <v>0.143</v>
      </c>
      <c r="U620" s="22" t="n">
        <f aca="false">C620*1</f>
        <v>290</v>
      </c>
      <c r="V620" s="22" t="n">
        <f aca="false">VLOOKUP(U620,'Powder Core Toroid OD'!$A$2:$B$36,2,0)</f>
        <v>9.65</v>
      </c>
    </row>
    <row r="621" customFormat="false" ht="14.4" hidden="true" customHeight="false" outlineLevel="0" collapsed="false">
      <c r="A621" s="45" t="n">
        <v>77291</v>
      </c>
      <c r="B621" s="22" t="s">
        <v>697</v>
      </c>
      <c r="C621" s="23" t="n">
        <v>290</v>
      </c>
      <c r="D621" s="22" t="n">
        <v>60</v>
      </c>
      <c r="E621" s="22" t="s">
        <v>33</v>
      </c>
      <c r="F621" s="22" t="n">
        <v>32</v>
      </c>
      <c r="G621" s="22" t="s">
        <v>51</v>
      </c>
      <c r="H621" s="22" t="n">
        <v>2.18</v>
      </c>
      <c r="I621" s="22" t="n">
        <v>21.8</v>
      </c>
      <c r="J621" s="22" t="n">
        <v>0.168</v>
      </c>
      <c r="K621" s="22" t="n">
        <v>4.26</v>
      </c>
      <c r="L621" s="22" t="n">
        <v>0.405</v>
      </c>
      <c r="M621" s="22" t="n">
        <v>10.3</v>
      </c>
      <c r="N621" s="22" t="n">
        <v>0.181</v>
      </c>
      <c r="O621" s="42" t="n">
        <v>4.6</v>
      </c>
      <c r="P621" s="22" t="n">
        <v>0.0945</v>
      </c>
      <c r="Q621" s="22" t="n">
        <v>9.45</v>
      </c>
      <c r="R621" s="22" t="n">
        <v>0.206</v>
      </c>
      <c r="S621" s="22" t="n">
        <v>206</v>
      </c>
      <c r="T621" s="22" t="n">
        <v>0.143</v>
      </c>
      <c r="U621" s="22" t="n">
        <f aca="false">C621*1</f>
        <v>290</v>
      </c>
      <c r="V621" s="22" t="n">
        <f aca="false">VLOOKUP(U621,'Powder Core Toroid OD'!$A$2:$B$36,2,0)</f>
        <v>9.65</v>
      </c>
    </row>
    <row r="622" customFormat="false" ht="14.4" hidden="true" customHeight="false" outlineLevel="0" collapsed="false">
      <c r="A622" s="45" t="n">
        <v>77294</v>
      </c>
      <c r="B622" s="22" t="s">
        <v>698</v>
      </c>
      <c r="C622" s="23" t="n">
        <v>290</v>
      </c>
      <c r="D622" s="22" t="n">
        <v>90</v>
      </c>
      <c r="E622" s="22" t="s">
        <v>33</v>
      </c>
      <c r="F622" s="22" t="n">
        <v>48</v>
      </c>
      <c r="G622" s="22" t="s">
        <v>51</v>
      </c>
      <c r="H622" s="22" t="n">
        <v>2.18</v>
      </c>
      <c r="I622" s="22" t="n">
        <v>21.8</v>
      </c>
      <c r="J622" s="22" t="n">
        <v>0.168</v>
      </c>
      <c r="K622" s="22" t="n">
        <v>4.26</v>
      </c>
      <c r="L622" s="22" t="n">
        <v>0.405</v>
      </c>
      <c r="M622" s="22" t="n">
        <v>10.3</v>
      </c>
      <c r="N622" s="22" t="n">
        <v>0.181</v>
      </c>
      <c r="O622" s="42" t="n">
        <v>4.6</v>
      </c>
      <c r="P622" s="22" t="n">
        <v>0.0945</v>
      </c>
      <c r="Q622" s="22" t="n">
        <v>9.45</v>
      </c>
      <c r="R622" s="22" t="n">
        <v>0.206</v>
      </c>
      <c r="S622" s="22" t="n">
        <v>206</v>
      </c>
      <c r="T622" s="22" t="n">
        <v>0.143</v>
      </c>
      <c r="U622" s="22" t="n">
        <f aca="false">C622*1</f>
        <v>290</v>
      </c>
      <c r="V622" s="22" t="n">
        <f aca="false">VLOOKUP(U622,'Powder Core Toroid OD'!$A$2:$B$36,2,0)</f>
        <v>9.65</v>
      </c>
    </row>
    <row r="623" customFormat="false" ht="14.4" hidden="true" customHeight="false" outlineLevel="0" collapsed="false">
      <c r="A623" s="45" t="n">
        <v>77310</v>
      </c>
      <c r="B623" s="22" t="s">
        <v>699</v>
      </c>
      <c r="C623" s="23" t="n">
        <v>310</v>
      </c>
      <c r="D623" s="22" t="n">
        <v>125</v>
      </c>
      <c r="E623" s="22" t="s">
        <v>33</v>
      </c>
      <c r="F623" s="22" t="n">
        <v>90</v>
      </c>
      <c r="G623" s="22" t="s">
        <v>51</v>
      </c>
      <c r="H623" s="22" t="n">
        <v>5.67</v>
      </c>
      <c r="I623" s="22" t="n">
        <v>56.7</v>
      </c>
      <c r="J623" s="22" t="n">
        <v>0.525</v>
      </c>
      <c r="K623" s="22" t="n">
        <v>13.3</v>
      </c>
      <c r="L623" s="43" t="n">
        <v>0.93</v>
      </c>
      <c r="M623" s="22" t="n">
        <v>23.7</v>
      </c>
      <c r="N623" s="43" t="n">
        <v>0.33</v>
      </c>
      <c r="O623" s="22" t="n">
        <v>8.39</v>
      </c>
      <c r="P623" s="22" t="n">
        <v>0.317</v>
      </c>
      <c r="Q623" s="22" t="n">
        <v>31.7</v>
      </c>
      <c r="R623" s="42" t="n">
        <v>1.8</v>
      </c>
      <c r="S623" s="22" t="n">
        <v>1800</v>
      </c>
      <c r="T623" s="22" t="n">
        <v>1.39</v>
      </c>
      <c r="U623" s="22" t="n">
        <f aca="false">C623*1</f>
        <v>310</v>
      </c>
      <c r="V623" s="22" t="n">
        <f aca="false">VLOOKUP(U623,'Powder Core Toroid OD'!$A$2:$B$36,2,0)</f>
        <v>22.9</v>
      </c>
    </row>
    <row r="624" customFormat="false" ht="14.4" hidden="true" customHeight="false" outlineLevel="0" collapsed="false">
      <c r="A624" s="45" t="n">
        <v>77312</v>
      </c>
      <c r="B624" s="22" t="s">
        <v>700</v>
      </c>
      <c r="C624" s="23" t="n">
        <v>310</v>
      </c>
      <c r="D624" s="22" t="n">
        <v>26</v>
      </c>
      <c r="E624" s="22" t="s">
        <v>33</v>
      </c>
      <c r="F624" s="22" t="n">
        <v>19</v>
      </c>
      <c r="G624" s="22" t="s">
        <v>51</v>
      </c>
      <c r="H624" s="22" t="n">
        <v>5.67</v>
      </c>
      <c r="I624" s="22" t="n">
        <v>56.7</v>
      </c>
      <c r="J624" s="22" t="n">
        <v>0.525</v>
      </c>
      <c r="K624" s="22" t="n">
        <v>13.3</v>
      </c>
      <c r="L624" s="43" t="n">
        <v>0.93</v>
      </c>
      <c r="M624" s="22" t="n">
        <v>23.7</v>
      </c>
      <c r="N624" s="43" t="n">
        <v>0.33</v>
      </c>
      <c r="O624" s="22" t="n">
        <v>8.39</v>
      </c>
      <c r="P624" s="22" t="n">
        <v>0.317</v>
      </c>
      <c r="Q624" s="22" t="n">
        <v>31.7</v>
      </c>
      <c r="R624" s="42" t="n">
        <v>1.8</v>
      </c>
      <c r="S624" s="22" t="n">
        <v>1800</v>
      </c>
      <c r="T624" s="22" t="n">
        <v>1.39</v>
      </c>
      <c r="U624" s="22" t="n">
        <f aca="false">C624*1</f>
        <v>310</v>
      </c>
      <c r="V624" s="22" t="n">
        <f aca="false">VLOOKUP(U624,'Powder Core Toroid OD'!$A$2:$B$36,2,0)</f>
        <v>22.9</v>
      </c>
    </row>
    <row r="625" customFormat="false" ht="14.4" hidden="true" customHeight="false" outlineLevel="0" collapsed="false">
      <c r="A625" s="45" t="n">
        <v>77314</v>
      </c>
      <c r="B625" s="22" t="s">
        <v>701</v>
      </c>
      <c r="C625" s="23" t="n">
        <v>310</v>
      </c>
      <c r="D625" s="22" t="n">
        <v>90</v>
      </c>
      <c r="E625" s="22" t="s">
        <v>33</v>
      </c>
      <c r="F625" s="22" t="n">
        <v>65</v>
      </c>
      <c r="G625" s="22" t="s">
        <v>51</v>
      </c>
      <c r="H625" s="22" t="n">
        <v>5.67</v>
      </c>
      <c r="I625" s="22" t="n">
        <v>56.7</v>
      </c>
      <c r="J625" s="22" t="n">
        <v>0.525</v>
      </c>
      <c r="K625" s="22" t="n">
        <v>13.3</v>
      </c>
      <c r="L625" s="43" t="n">
        <v>0.93</v>
      </c>
      <c r="M625" s="22" t="n">
        <v>23.7</v>
      </c>
      <c r="N625" s="43" t="n">
        <v>0.33</v>
      </c>
      <c r="O625" s="22" t="n">
        <v>8.39</v>
      </c>
      <c r="P625" s="22" t="n">
        <v>0.317</v>
      </c>
      <c r="Q625" s="22" t="n">
        <v>31.7</v>
      </c>
      <c r="R625" s="42" t="n">
        <v>1.8</v>
      </c>
      <c r="S625" s="22" t="n">
        <v>1800</v>
      </c>
      <c r="T625" s="22" t="n">
        <v>1.39</v>
      </c>
      <c r="U625" s="22" t="n">
        <f aca="false">C625*1</f>
        <v>310</v>
      </c>
      <c r="V625" s="22" t="n">
        <f aca="false">VLOOKUP(U625,'Powder Core Toroid OD'!$A$2:$B$36,2,0)</f>
        <v>22.9</v>
      </c>
    </row>
    <row r="626" customFormat="false" ht="14.4" hidden="true" customHeight="false" outlineLevel="0" collapsed="false">
      <c r="A626" s="45" t="n">
        <v>77315</v>
      </c>
      <c r="B626" s="22" t="s">
        <v>702</v>
      </c>
      <c r="C626" s="23" t="n">
        <v>310</v>
      </c>
      <c r="D626" s="22" t="n">
        <v>75</v>
      </c>
      <c r="E626" s="22" t="s">
        <v>33</v>
      </c>
      <c r="F626" s="22" t="n">
        <v>54</v>
      </c>
      <c r="G626" s="22" t="s">
        <v>51</v>
      </c>
      <c r="H626" s="22" t="n">
        <v>5.67</v>
      </c>
      <c r="I626" s="22" t="n">
        <v>56.7</v>
      </c>
      <c r="J626" s="22" t="n">
        <v>0.525</v>
      </c>
      <c r="K626" s="22" t="n">
        <v>13.3</v>
      </c>
      <c r="L626" s="43" t="n">
        <v>0.93</v>
      </c>
      <c r="M626" s="22" t="n">
        <v>23.7</v>
      </c>
      <c r="N626" s="43" t="n">
        <v>0.33</v>
      </c>
      <c r="O626" s="22" t="n">
        <v>8.39</v>
      </c>
      <c r="P626" s="22" t="n">
        <v>0.317</v>
      </c>
      <c r="Q626" s="22" t="n">
        <v>31.7</v>
      </c>
      <c r="R626" s="42" t="n">
        <v>1.8</v>
      </c>
      <c r="S626" s="22" t="n">
        <v>1800</v>
      </c>
      <c r="T626" s="22" t="n">
        <v>1.39</v>
      </c>
      <c r="U626" s="22" t="n">
        <f aca="false">C626*1</f>
        <v>310</v>
      </c>
      <c r="V626" s="22" t="n">
        <f aca="false">VLOOKUP(U626,'Powder Core Toroid OD'!$A$2:$B$36,2,0)</f>
        <v>22.9</v>
      </c>
    </row>
    <row r="627" customFormat="false" ht="14.4" hidden="true" customHeight="false" outlineLevel="0" collapsed="false">
      <c r="A627" s="45" t="n">
        <v>77316</v>
      </c>
      <c r="B627" s="22" t="s">
        <v>703</v>
      </c>
      <c r="C627" s="23" t="n">
        <v>310</v>
      </c>
      <c r="D627" s="22" t="n">
        <v>40</v>
      </c>
      <c r="E627" s="22" t="s">
        <v>33</v>
      </c>
      <c r="F627" s="22" t="n">
        <v>29</v>
      </c>
      <c r="G627" s="22" t="s">
        <v>51</v>
      </c>
      <c r="H627" s="22" t="n">
        <v>5.67</v>
      </c>
      <c r="I627" s="22" t="n">
        <v>56.7</v>
      </c>
      <c r="J627" s="22" t="n">
        <v>0.525</v>
      </c>
      <c r="K627" s="22" t="n">
        <v>13.3</v>
      </c>
      <c r="L627" s="43" t="n">
        <v>0.93</v>
      </c>
      <c r="M627" s="22" t="n">
        <v>23.7</v>
      </c>
      <c r="N627" s="43" t="n">
        <v>0.33</v>
      </c>
      <c r="O627" s="22" t="n">
        <v>8.39</v>
      </c>
      <c r="P627" s="22" t="n">
        <v>0.317</v>
      </c>
      <c r="Q627" s="22" t="n">
        <v>31.7</v>
      </c>
      <c r="R627" s="42" t="n">
        <v>1.8</v>
      </c>
      <c r="S627" s="22" t="n">
        <v>1800</v>
      </c>
      <c r="T627" s="22" t="n">
        <v>1.39</v>
      </c>
      <c r="U627" s="22" t="n">
        <f aca="false">C627*1</f>
        <v>310</v>
      </c>
      <c r="V627" s="22" t="n">
        <f aca="false">VLOOKUP(U627,'Powder Core Toroid OD'!$A$2:$B$36,2,0)</f>
        <v>22.9</v>
      </c>
    </row>
    <row r="628" customFormat="false" ht="14.4" hidden="true" customHeight="false" outlineLevel="0" collapsed="false">
      <c r="A628" s="45" t="n">
        <v>77324</v>
      </c>
      <c r="B628" s="22" t="s">
        <v>704</v>
      </c>
      <c r="C628" s="23" t="n">
        <v>324</v>
      </c>
      <c r="D628" s="22" t="n">
        <v>125</v>
      </c>
      <c r="E628" s="22" t="s">
        <v>33</v>
      </c>
      <c r="F628" s="22" t="n">
        <v>117</v>
      </c>
      <c r="G628" s="22" t="s">
        <v>51</v>
      </c>
      <c r="H628" s="22" t="n">
        <v>8.98</v>
      </c>
      <c r="I628" s="22" t="n">
        <v>89.8</v>
      </c>
      <c r="J628" s="22" t="n">
        <v>0.848</v>
      </c>
      <c r="K628" s="22" t="n">
        <v>21.5</v>
      </c>
      <c r="L628" s="22" t="n">
        <v>1.445</v>
      </c>
      <c r="M628" s="22" t="n">
        <v>36.71</v>
      </c>
      <c r="N628" s="22" t="n">
        <v>0.447</v>
      </c>
      <c r="O628" s="22" t="n">
        <v>11.4</v>
      </c>
      <c r="P628" s="22" t="n">
        <v>0.678</v>
      </c>
      <c r="Q628" s="22" t="n">
        <v>67.8</v>
      </c>
      <c r="R628" s="42" t="n">
        <v>6.09</v>
      </c>
      <c r="S628" s="22" t="n">
        <v>6090</v>
      </c>
      <c r="T628" s="22" t="n">
        <v>3.64</v>
      </c>
      <c r="U628" s="22" t="n">
        <f aca="false">C628*1</f>
        <v>324</v>
      </c>
      <c r="V628" s="22" t="n">
        <f aca="false">VLOOKUP(U628,'Powder Core Toroid OD'!$A$2:$B$36,2,0)</f>
        <v>35.8</v>
      </c>
    </row>
    <row r="629" customFormat="false" ht="14.4" hidden="true" customHeight="false" outlineLevel="0" collapsed="false">
      <c r="A629" s="45" t="n">
        <v>77326</v>
      </c>
      <c r="B629" s="22" t="s">
        <v>705</v>
      </c>
      <c r="C629" s="23" t="n">
        <v>324</v>
      </c>
      <c r="D629" s="22" t="n">
        <v>26</v>
      </c>
      <c r="E629" s="22" t="s">
        <v>33</v>
      </c>
      <c r="F629" s="22" t="n">
        <v>24</v>
      </c>
      <c r="G629" s="22" t="s">
        <v>51</v>
      </c>
      <c r="H629" s="22" t="n">
        <v>8.98</v>
      </c>
      <c r="I629" s="22" t="n">
        <v>89.8</v>
      </c>
      <c r="J629" s="22" t="n">
        <v>0.848</v>
      </c>
      <c r="K629" s="22" t="n">
        <v>21.5</v>
      </c>
      <c r="L629" s="22" t="n">
        <v>1.445</v>
      </c>
      <c r="M629" s="22" t="n">
        <v>36.71</v>
      </c>
      <c r="N629" s="22" t="n">
        <v>0.447</v>
      </c>
      <c r="O629" s="22" t="n">
        <v>11.4</v>
      </c>
      <c r="P629" s="22" t="n">
        <v>0.678</v>
      </c>
      <c r="Q629" s="22" t="n">
        <v>67.8</v>
      </c>
      <c r="R629" s="42" t="n">
        <v>6.09</v>
      </c>
      <c r="S629" s="22" t="n">
        <v>6090</v>
      </c>
      <c r="T629" s="22" t="n">
        <v>3.64</v>
      </c>
      <c r="U629" s="22" t="n">
        <f aca="false">C629*1</f>
        <v>324</v>
      </c>
      <c r="V629" s="22" t="n">
        <f aca="false">VLOOKUP(U629,'Powder Core Toroid OD'!$A$2:$B$36,2,0)</f>
        <v>35.8</v>
      </c>
    </row>
    <row r="630" customFormat="false" ht="14.4" hidden="true" customHeight="false" outlineLevel="0" collapsed="false">
      <c r="A630" s="45" t="n">
        <v>77328</v>
      </c>
      <c r="B630" s="22" t="s">
        <v>706</v>
      </c>
      <c r="C630" s="23" t="n">
        <v>324</v>
      </c>
      <c r="D630" s="22" t="n">
        <v>90</v>
      </c>
      <c r="E630" s="22" t="s">
        <v>33</v>
      </c>
      <c r="F630" s="22" t="n">
        <v>84</v>
      </c>
      <c r="G630" s="22" t="s">
        <v>51</v>
      </c>
      <c r="H630" s="22" t="n">
        <v>8.98</v>
      </c>
      <c r="I630" s="22" t="n">
        <v>89.8</v>
      </c>
      <c r="J630" s="22" t="n">
        <v>0.848</v>
      </c>
      <c r="K630" s="22" t="n">
        <v>21.5</v>
      </c>
      <c r="L630" s="22" t="n">
        <v>1.445</v>
      </c>
      <c r="M630" s="22" t="n">
        <v>36.71</v>
      </c>
      <c r="N630" s="22" t="n">
        <v>0.447</v>
      </c>
      <c r="O630" s="22" t="n">
        <v>11.4</v>
      </c>
      <c r="P630" s="22" t="n">
        <v>0.678</v>
      </c>
      <c r="Q630" s="22" t="n">
        <v>67.8</v>
      </c>
      <c r="R630" s="42" t="n">
        <v>6.09</v>
      </c>
      <c r="S630" s="22" t="n">
        <v>6090</v>
      </c>
      <c r="T630" s="22" t="n">
        <v>3.64</v>
      </c>
      <c r="U630" s="22" t="n">
        <f aca="false">C630*1</f>
        <v>324</v>
      </c>
      <c r="V630" s="22" t="n">
        <f aca="false">VLOOKUP(U630,'Powder Core Toroid OD'!$A$2:$B$36,2,0)</f>
        <v>35.8</v>
      </c>
    </row>
    <row r="631" customFormat="false" ht="14.4" hidden="true" customHeight="false" outlineLevel="0" collapsed="false">
      <c r="A631" s="45" t="n">
        <v>77329</v>
      </c>
      <c r="B631" s="22" t="s">
        <v>707</v>
      </c>
      <c r="C631" s="23" t="n">
        <v>324</v>
      </c>
      <c r="D631" s="22" t="n">
        <v>75</v>
      </c>
      <c r="E631" s="22" t="s">
        <v>33</v>
      </c>
      <c r="F631" s="22" t="n">
        <v>70</v>
      </c>
      <c r="G631" s="22" t="s">
        <v>51</v>
      </c>
      <c r="H631" s="22" t="n">
        <v>8.98</v>
      </c>
      <c r="I631" s="22" t="n">
        <v>89.8</v>
      </c>
      <c r="J631" s="22" t="n">
        <v>0.848</v>
      </c>
      <c r="K631" s="22" t="n">
        <v>21.5</v>
      </c>
      <c r="L631" s="22" t="n">
        <v>1.445</v>
      </c>
      <c r="M631" s="22" t="n">
        <v>36.71</v>
      </c>
      <c r="N631" s="22" t="n">
        <v>0.447</v>
      </c>
      <c r="O631" s="22" t="n">
        <v>11.4</v>
      </c>
      <c r="P631" s="22" t="n">
        <v>0.678</v>
      </c>
      <c r="Q631" s="22" t="n">
        <v>67.8</v>
      </c>
      <c r="R631" s="42" t="n">
        <v>6.09</v>
      </c>
      <c r="S631" s="22" t="n">
        <v>6090</v>
      </c>
      <c r="T631" s="22" t="n">
        <v>3.64</v>
      </c>
      <c r="U631" s="22" t="n">
        <f aca="false">C631*1</f>
        <v>324</v>
      </c>
      <c r="V631" s="22" t="n">
        <f aca="false">VLOOKUP(U631,'Powder Core Toroid OD'!$A$2:$B$36,2,0)</f>
        <v>35.8</v>
      </c>
    </row>
    <row r="632" customFormat="false" ht="14.4" hidden="true" customHeight="false" outlineLevel="0" collapsed="false">
      <c r="A632" s="45" t="n">
        <v>77330</v>
      </c>
      <c r="B632" s="22" t="s">
        <v>708</v>
      </c>
      <c r="C632" s="23" t="n">
        <v>324</v>
      </c>
      <c r="D632" s="22" t="n">
        <v>40</v>
      </c>
      <c r="E632" s="22" t="s">
        <v>33</v>
      </c>
      <c r="F632" s="22" t="n">
        <v>37</v>
      </c>
      <c r="G632" s="22" t="s">
        <v>51</v>
      </c>
      <c r="H632" s="22" t="n">
        <v>8.98</v>
      </c>
      <c r="I632" s="22" t="n">
        <v>89.8</v>
      </c>
      <c r="J632" s="22" t="n">
        <v>0.848</v>
      </c>
      <c r="K632" s="22" t="n">
        <v>21.5</v>
      </c>
      <c r="L632" s="22" t="n">
        <v>1.445</v>
      </c>
      <c r="M632" s="22" t="n">
        <v>36.71</v>
      </c>
      <c r="N632" s="22" t="n">
        <v>0.447</v>
      </c>
      <c r="O632" s="22" t="n">
        <v>11.4</v>
      </c>
      <c r="P632" s="22" t="n">
        <v>0.678</v>
      </c>
      <c r="Q632" s="22" t="n">
        <v>67.8</v>
      </c>
      <c r="R632" s="42" t="n">
        <v>6.09</v>
      </c>
      <c r="S632" s="22" t="n">
        <v>6090</v>
      </c>
      <c r="T632" s="22" t="n">
        <v>3.64</v>
      </c>
      <c r="U632" s="22" t="n">
        <f aca="false">C632*1</f>
        <v>324</v>
      </c>
      <c r="V632" s="22" t="n">
        <f aca="false">VLOOKUP(U632,'Powder Core Toroid OD'!$A$2:$B$36,2,0)</f>
        <v>35.8</v>
      </c>
    </row>
    <row r="633" customFormat="false" ht="14.4" hidden="true" customHeight="false" outlineLevel="0" collapsed="false">
      <c r="A633" s="45" t="n">
        <v>77334</v>
      </c>
      <c r="B633" s="22" t="s">
        <v>709</v>
      </c>
      <c r="C633" s="23" t="n">
        <v>130</v>
      </c>
      <c r="D633" s="22" t="n">
        <v>90</v>
      </c>
      <c r="E633" s="22" t="s">
        <v>33</v>
      </c>
      <c r="F633" s="22" t="n">
        <v>38</v>
      </c>
      <c r="G633" s="22" t="s">
        <v>51</v>
      </c>
      <c r="H633" s="22" t="n">
        <v>2.69</v>
      </c>
      <c r="I633" s="22" t="n">
        <v>26.9</v>
      </c>
      <c r="J633" s="43" t="n">
        <v>0.23</v>
      </c>
      <c r="K633" s="22" t="n">
        <v>5.84</v>
      </c>
      <c r="L633" s="22" t="n">
        <v>0.465</v>
      </c>
      <c r="M633" s="22" t="n">
        <v>11.9</v>
      </c>
      <c r="N633" s="22" t="n">
        <v>0.181</v>
      </c>
      <c r="O633" s="43" t="n">
        <v>4.6</v>
      </c>
      <c r="P633" s="22" t="n">
        <v>0.0906</v>
      </c>
      <c r="Q633" s="22" t="n">
        <v>9.06</v>
      </c>
      <c r="R633" s="22" t="n">
        <v>0.244</v>
      </c>
      <c r="S633" s="22" t="n">
        <v>244</v>
      </c>
      <c r="T633" s="22" t="n">
        <v>0.268</v>
      </c>
      <c r="U633" s="22" t="n">
        <f aca="false">C633*1</f>
        <v>130</v>
      </c>
      <c r="V633" s="22" t="n">
        <f aca="false">VLOOKUP(U633,'Powder Core Toroid OD'!$A$2:$B$36,2,0)</f>
        <v>11.2</v>
      </c>
    </row>
    <row r="634" customFormat="false" ht="14.4" hidden="true" customHeight="false" outlineLevel="0" collapsed="false">
      <c r="A634" s="45" t="n">
        <v>77335</v>
      </c>
      <c r="B634" s="22" t="s">
        <v>710</v>
      </c>
      <c r="C634" s="23" t="n">
        <v>130</v>
      </c>
      <c r="D634" s="22" t="n">
        <v>75</v>
      </c>
      <c r="E634" s="22" t="s">
        <v>33</v>
      </c>
      <c r="F634" s="22" t="n">
        <v>32</v>
      </c>
      <c r="G634" s="22" t="s">
        <v>51</v>
      </c>
      <c r="H634" s="22" t="n">
        <v>2.69</v>
      </c>
      <c r="I634" s="22" t="n">
        <v>26.9</v>
      </c>
      <c r="J634" s="43" t="n">
        <v>0.23</v>
      </c>
      <c r="K634" s="22" t="n">
        <v>5.84</v>
      </c>
      <c r="L634" s="22" t="n">
        <v>0.465</v>
      </c>
      <c r="M634" s="22" t="n">
        <v>11.9</v>
      </c>
      <c r="N634" s="22" t="n">
        <v>0.181</v>
      </c>
      <c r="O634" s="43" t="n">
        <v>4.6</v>
      </c>
      <c r="P634" s="22" t="n">
        <v>0.0906</v>
      </c>
      <c r="Q634" s="22" t="n">
        <v>9.06</v>
      </c>
      <c r="R634" s="22" t="n">
        <v>0.244</v>
      </c>
      <c r="S634" s="22" t="n">
        <v>244</v>
      </c>
      <c r="T634" s="22" t="n">
        <v>0.268</v>
      </c>
      <c r="U634" s="22" t="n">
        <f aca="false">C634*1</f>
        <v>130</v>
      </c>
      <c r="V634" s="22" t="n">
        <f aca="false">VLOOKUP(U634,'Powder Core Toroid OD'!$A$2:$B$36,2,0)</f>
        <v>11.2</v>
      </c>
    </row>
    <row r="635" customFormat="false" ht="14.4" hidden="true" customHeight="false" outlineLevel="0" collapsed="false">
      <c r="A635" s="45" t="n">
        <v>77350</v>
      </c>
      <c r="B635" s="22" t="s">
        <v>711</v>
      </c>
      <c r="C635" s="23" t="n">
        <v>350</v>
      </c>
      <c r="D635" s="22" t="n">
        <v>125</v>
      </c>
      <c r="E635" s="22" t="s">
        <v>33</v>
      </c>
      <c r="F635" s="22" t="n">
        <v>105</v>
      </c>
      <c r="G635" s="22" t="s">
        <v>51</v>
      </c>
      <c r="H635" s="22" t="n">
        <v>5.88</v>
      </c>
      <c r="I635" s="22" t="n">
        <v>58.8</v>
      </c>
      <c r="J635" s="22" t="n">
        <v>0.542</v>
      </c>
      <c r="K635" s="22" t="n">
        <v>13.7</v>
      </c>
      <c r="L635" s="22" t="n">
        <v>0.958</v>
      </c>
      <c r="M635" s="22" t="n">
        <v>24.4</v>
      </c>
      <c r="N635" s="43" t="n">
        <v>0.38</v>
      </c>
      <c r="O635" s="22" t="n">
        <v>9.66</v>
      </c>
      <c r="P635" s="22" t="n">
        <v>0.388</v>
      </c>
      <c r="Q635" s="22" t="n">
        <v>38.8</v>
      </c>
      <c r="R635" s="42" t="n">
        <v>2.28144</v>
      </c>
      <c r="S635" s="22" t="n">
        <v>2280</v>
      </c>
      <c r="T635" s="22" t="n">
        <v>1.49</v>
      </c>
      <c r="U635" s="22" t="n">
        <f aca="false">C635*1</f>
        <v>350</v>
      </c>
      <c r="V635" s="22" t="n">
        <f aca="false">VLOOKUP(U635,'Powder Core Toroid OD'!$A$2:$B$36,2,0)</f>
        <v>23.6</v>
      </c>
    </row>
    <row r="636" customFormat="false" ht="14.4" hidden="true" customHeight="false" outlineLevel="0" collapsed="false">
      <c r="A636" s="45" t="n">
        <v>77351</v>
      </c>
      <c r="B636" s="22" t="s">
        <v>712</v>
      </c>
      <c r="C636" s="23" t="n">
        <v>350</v>
      </c>
      <c r="D636" s="22" t="n">
        <v>60</v>
      </c>
      <c r="E636" s="22" t="s">
        <v>33</v>
      </c>
      <c r="F636" s="22" t="n">
        <v>51</v>
      </c>
      <c r="G636" s="22" t="s">
        <v>51</v>
      </c>
      <c r="H636" s="22" t="n">
        <v>5.88</v>
      </c>
      <c r="I636" s="22" t="n">
        <v>58.8</v>
      </c>
      <c r="J636" s="22" t="n">
        <v>0.542</v>
      </c>
      <c r="K636" s="22" t="n">
        <v>13.7</v>
      </c>
      <c r="L636" s="22" t="n">
        <v>0.958</v>
      </c>
      <c r="M636" s="22" t="n">
        <v>24.4</v>
      </c>
      <c r="N636" s="43" t="n">
        <v>0.38</v>
      </c>
      <c r="O636" s="22" t="n">
        <v>9.66</v>
      </c>
      <c r="P636" s="22" t="n">
        <v>0.388</v>
      </c>
      <c r="Q636" s="22" t="n">
        <v>38.8</v>
      </c>
      <c r="R636" s="42" t="n">
        <v>2.28144</v>
      </c>
      <c r="S636" s="22" t="n">
        <v>2280</v>
      </c>
      <c r="T636" s="22" t="n">
        <v>1.49</v>
      </c>
      <c r="U636" s="22" t="n">
        <f aca="false">C636*1</f>
        <v>350</v>
      </c>
      <c r="V636" s="22" t="n">
        <f aca="false">VLOOKUP(U636,'Powder Core Toroid OD'!$A$2:$B$36,2,0)</f>
        <v>23.6</v>
      </c>
    </row>
    <row r="637" customFormat="false" ht="14.4" hidden="true" customHeight="false" outlineLevel="0" collapsed="false">
      <c r="A637" s="45" t="n">
        <v>77352</v>
      </c>
      <c r="B637" s="22" t="s">
        <v>713</v>
      </c>
      <c r="C637" s="23" t="n">
        <v>350</v>
      </c>
      <c r="D637" s="22" t="n">
        <v>26</v>
      </c>
      <c r="E637" s="22" t="s">
        <v>33</v>
      </c>
      <c r="F637" s="22" t="n">
        <v>22</v>
      </c>
      <c r="G637" s="22" t="s">
        <v>51</v>
      </c>
      <c r="H637" s="22" t="n">
        <v>5.88</v>
      </c>
      <c r="I637" s="22" t="n">
        <v>58.8</v>
      </c>
      <c r="J637" s="22" t="n">
        <v>0.542</v>
      </c>
      <c r="K637" s="22" t="n">
        <v>13.7</v>
      </c>
      <c r="L637" s="22" t="n">
        <v>0.958</v>
      </c>
      <c r="M637" s="22" t="n">
        <v>24.4</v>
      </c>
      <c r="N637" s="43" t="n">
        <v>0.38</v>
      </c>
      <c r="O637" s="22" t="n">
        <v>9.66</v>
      </c>
      <c r="P637" s="22" t="n">
        <v>0.388</v>
      </c>
      <c r="Q637" s="22" t="n">
        <v>38.8</v>
      </c>
      <c r="R637" s="42" t="n">
        <v>2.28144</v>
      </c>
      <c r="S637" s="22" t="n">
        <v>2280</v>
      </c>
      <c r="T637" s="22" t="n">
        <v>1.49</v>
      </c>
      <c r="U637" s="22" t="n">
        <f aca="false">C637*1</f>
        <v>350</v>
      </c>
      <c r="V637" s="22" t="n">
        <f aca="false">VLOOKUP(U637,'Powder Core Toroid OD'!$A$2:$B$36,2,0)</f>
        <v>23.6</v>
      </c>
    </row>
    <row r="638" customFormat="false" ht="14.4" hidden="true" customHeight="false" outlineLevel="0" collapsed="false">
      <c r="A638" s="45" t="n">
        <v>77354</v>
      </c>
      <c r="B638" s="22" t="s">
        <v>714</v>
      </c>
      <c r="C638" s="23" t="n">
        <v>350</v>
      </c>
      <c r="D638" s="22" t="n">
        <v>90</v>
      </c>
      <c r="E638" s="22" t="s">
        <v>33</v>
      </c>
      <c r="F638" s="22" t="n">
        <v>76</v>
      </c>
      <c r="G638" s="22" t="s">
        <v>51</v>
      </c>
      <c r="H638" s="22" t="n">
        <v>5.88</v>
      </c>
      <c r="I638" s="22" t="n">
        <v>58.8</v>
      </c>
      <c r="J638" s="22" t="n">
        <v>0.542</v>
      </c>
      <c r="K638" s="22" t="n">
        <v>13.7</v>
      </c>
      <c r="L638" s="22" t="n">
        <v>0.958</v>
      </c>
      <c r="M638" s="22" t="n">
        <v>24.4</v>
      </c>
      <c r="N638" s="43" t="n">
        <v>0.38</v>
      </c>
      <c r="O638" s="22" t="n">
        <v>9.66</v>
      </c>
      <c r="P638" s="22" t="n">
        <v>0.388</v>
      </c>
      <c r="Q638" s="22" t="n">
        <v>38.8</v>
      </c>
      <c r="R638" s="42" t="n">
        <v>2.28144</v>
      </c>
      <c r="S638" s="22" t="n">
        <v>2280</v>
      </c>
      <c r="T638" s="22" t="n">
        <v>1.49</v>
      </c>
      <c r="U638" s="22" t="n">
        <f aca="false">C638*1</f>
        <v>350</v>
      </c>
      <c r="V638" s="22" t="n">
        <f aca="false">VLOOKUP(U638,'Powder Core Toroid OD'!$A$2:$B$36,2,0)</f>
        <v>23.6</v>
      </c>
    </row>
    <row r="639" customFormat="false" ht="14.4" hidden="true" customHeight="false" outlineLevel="0" collapsed="false">
      <c r="A639" s="45" t="n">
        <v>77355</v>
      </c>
      <c r="B639" s="22" t="s">
        <v>715</v>
      </c>
      <c r="C639" s="23" t="n">
        <v>350</v>
      </c>
      <c r="D639" s="22" t="n">
        <v>75</v>
      </c>
      <c r="E639" s="22" t="s">
        <v>33</v>
      </c>
      <c r="F639" s="22" t="n">
        <v>63</v>
      </c>
      <c r="G639" s="22" t="s">
        <v>51</v>
      </c>
      <c r="H639" s="22" t="n">
        <v>5.88</v>
      </c>
      <c r="I639" s="22" t="n">
        <v>58.8</v>
      </c>
      <c r="J639" s="22" t="n">
        <v>0.542</v>
      </c>
      <c r="K639" s="22" t="n">
        <v>13.7</v>
      </c>
      <c r="L639" s="22" t="n">
        <v>0.958</v>
      </c>
      <c r="M639" s="22" t="n">
        <v>24.4</v>
      </c>
      <c r="N639" s="43" t="n">
        <v>0.38</v>
      </c>
      <c r="O639" s="22" t="n">
        <v>9.66</v>
      </c>
      <c r="P639" s="22" t="n">
        <v>0.388</v>
      </c>
      <c r="Q639" s="22" t="n">
        <v>38.8</v>
      </c>
      <c r="R639" s="42" t="n">
        <v>2.28144</v>
      </c>
      <c r="S639" s="22" t="n">
        <v>2280</v>
      </c>
      <c r="T639" s="22" t="n">
        <v>1.49</v>
      </c>
      <c r="U639" s="22" t="n">
        <f aca="false">C639*1</f>
        <v>350</v>
      </c>
      <c r="V639" s="22" t="n">
        <f aca="false">VLOOKUP(U639,'Powder Core Toroid OD'!$A$2:$B$36,2,0)</f>
        <v>23.6</v>
      </c>
    </row>
    <row r="640" customFormat="false" ht="14.4" hidden="true" customHeight="false" outlineLevel="0" collapsed="false">
      <c r="A640" s="45" t="n">
        <v>77356</v>
      </c>
      <c r="B640" s="22" t="s">
        <v>716</v>
      </c>
      <c r="C640" s="23" t="n">
        <v>350</v>
      </c>
      <c r="D640" s="22" t="n">
        <v>40</v>
      </c>
      <c r="E640" s="22" t="s">
        <v>33</v>
      </c>
      <c r="F640" s="22" t="n">
        <v>34</v>
      </c>
      <c r="G640" s="22" t="s">
        <v>51</v>
      </c>
      <c r="H640" s="22" t="n">
        <v>5.88</v>
      </c>
      <c r="I640" s="22" t="n">
        <v>58.8</v>
      </c>
      <c r="J640" s="22" t="n">
        <v>0.542</v>
      </c>
      <c r="K640" s="22" t="n">
        <v>13.7</v>
      </c>
      <c r="L640" s="22" t="n">
        <v>0.958</v>
      </c>
      <c r="M640" s="22" t="n">
        <v>24.4</v>
      </c>
      <c r="N640" s="43" t="n">
        <v>0.38</v>
      </c>
      <c r="O640" s="22" t="n">
        <v>9.66</v>
      </c>
      <c r="P640" s="22" t="n">
        <v>0.388</v>
      </c>
      <c r="Q640" s="22" t="n">
        <v>38.8</v>
      </c>
      <c r="R640" s="42" t="n">
        <v>2.28144</v>
      </c>
      <c r="S640" s="22" t="n">
        <v>2280</v>
      </c>
      <c r="T640" s="22" t="n">
        <v>1.49</v>
      </c>
      <c r="U640" s="22" t="n">
        <f aca="false">C640*1</f>
        <v>350</v>
      </c>
      <c r="V640" s="22" t="n">
        <f aca="false">VLOOKUP(U640,'Powder Core Toroid OD'!$A$2:$B$36,2,0)</f>
        <v>23.6</v>
      </c>
    </row>
    <row r="641" customFormat="false" ht="14.4" hidden="true" customHeight="false" outlineLevel="0" collapsed="false">
      <c r="A641" s="45" t="n">
        <v>77380</v>
      </c>
      <c r="B641" s="22" t="s">
        <v>717</v>
      </c>
      <c r="C641" s="23" t="n">
        <v>380</v>
      </c>
      <c r="D641" s="22" t="n">
        <v>125</v>
      </c>
      <c r="E641" s="22" t="s">
        <v>33</v>
      </c>
      <c r="F641" s="22" t="n">
        <v>89</v>
      </c>
      <c r="G641" s="22" t="s">
        <v>51</v>
      </c>
      <c r="H641" s="22" t="n">
        <v>4.14</v>
      </c>
      <c r="I641" s="22" t="n">
        <v>41.4</v>
      </c>
      <c r="J641" s="22" t="n">
        <v>0.355</v>
      </c>
      <c r="K641" s="22" t="n">
        <v>9.01</v>
      </c>
      <c r="L641" s="43" t="n">
        <v>0.71</v>
      </c>
      <c r="M641" s="22" t="n">
        <v>18.1</v>
      </c>
      <c r="N641" s="43" t="n">
        <v>0.28</v>
      </c>
      <c r="O641" s="22" t="n">
        <v>7.12</v>
      </c>
      <c r="P641" s="22" t="n">
        <v>0.232</v>
      </c>
      <c r="Q641" s="22" t="n">
        <v>23.2</v>
      </c>
      <c r="R641" s="43" t="n">
        <v>0.96</v>
      </c>
      <c r="S641" s="22" t="n">
        <v>960</v>
      </c>
      <c r="T641" s="22" t="n">
        <v>0.638</v>
      </c>
      <c r="U641" s="22" t="n">
        <f aca="false">C641*1</f>
        <v>380</v>
      </c>
      <c r="V641" s="22" t="n">
        <f aca="false">VLOOKUP(U641,'Powder Core Toroid OD'!$A$2:$B$36,2,0)</f>
        <v>17.3</v>
      </c>
    </row>
    <row r="642" customFormat="false" ht="14.4" hidden="true" customHeight="false" outlineLevel="0" collapsed="false">
      <c r="A642" s="45" t="n">
        <v>77381</v>
      </c>
      <c r="B642" s="22" t="s">
        <v>718</v>
      </c>
      <c r="C642" s="23" t="n">
        <v>380</v>
      </c>
      <c r="D642" s="22" t="n">
        <v>60</v>
      </c>
      <c r="E642" s="22" t="s">
        <v>33</v>
      </c>
      <c r="F642" s="22" t="n">
        <v>43</v>
      </c>
      <c r="G642" s="22" t="s">
        <v>51</v>
      </c>
      <c r="H642" s="22" t="n">
        <v>4.14</v>
      </c>
      <c r="I642" s="22" t="n">
        <v>41.4</v>
      </c>
      <c r="J642" s="22" t="n">
        <v>0.355</v>
      </c>
      <c r="K642" s="22" t="n">
        <v>9.01</v>
      </c>
      <c r="L642" s="43" t="n">
        <v>0.71</v>
      </c>
      <c r="M642" s="22" t="n">
        <v>18.1</v>
      </c>
      <c r="N642" s="43" t="n">
        <v>0.28</v>
      </c>
      <c r="O642" s="22" t="n">
        <v>7.12</v>
      </c>
      <c r="P642" s="22" t="n">
        <v>0.232</v>
      </c>
      <c r="Q642" s="22" t="n">
        <v>23.2</v>
      </c>
      <c r="R642" s="43" t="n">
        <v>0.96</v>
      </c>
      <c r="S642" s="22" t="n">
        <v>960</v>
      </c>
      <c r="T642" s="22" t="n">
        <v>0.638</v>
      </c>
      <c r="U642" s="22" t="n">
        <f aca="false">C642*1</f>
        <v>380</v>
      </c>
      <c r="V642" s="22" t="n">
        <f aca="false">VLOOKUP(U642,'Powder Core Toroid OD'!$A$2:$B$36,2,0)</f>
        <v>17.3</v>
      </c>
    </row>
    <row r="643" customFormat="false" ht="14.4" hidden="true" customHeight="false" outlineLevel="0" collapsed="false">
      <c r="A643" s="45" t="n">
        <v>77384</v>
      </c>
      <c r="B643" s="22" t="s">
        <v>719</v>
      </c>
      <c r="C643" s="23" t="n">
        <v>380</v>
      </c>
      <c r="D643" s="22" t="n">
        <v>90</v>
      </c>
      <c r="E643" s="22" t="s">
        <v>33</v>
      </c>
      <c r="F643" s="22" t="n">
        <v>64</v>
      </c>
      <c r="G643" s="22" t="s">
        <v>51</v>
      </c>
      <c r="H643" s="22" t="n">
        <v>4.14</v>
      </c>
      <c r="I643" s="22" t="n">
        <v>41.4</v>
      </c>
      <c r="J643" s="22" t="n">
        <v>0.355</v>
      </c>
      <c r="K643" s="22" t="n">
        <v>9.01</v>
      </c>
      <c r="L643" s="43" t="n">
        <v>0.71</v>
      </c>
      <c r="M643" s="22" t="n">
        <v>18.1</v>
      </c>
      <c r="N643" s="43" t="n">
        <v>0.28</v>
      </c>
      <c r="O643" s="22" t="n">
        <v>7.12</v>
      </c>
      <c r="P643" s="22" t="n">
        <v>0.232</v>
      </c>
      <c r="Q643" s="22" t="n">
        <v>23.2</v>
      </c>
      <c r="R643" s="43" t="n">
        <v>0.96</v>
      </c>
      <c r="S643" s="22" t="n">
        <v>960</v>
      </c>
      <c r="T643" s="22" t="n">
        <v>0.638</v>
      </c>
      <c r="U643" s="22" t="n">
        <f aca="false">C643*1</f>
        <v>380</v>
      </c>
      <c r="V643" s="22" t="n">
        <f aca="false">VLOOKUP(U643,'Powder Core Toroid OD'!$A$2:$B$36,2,0)</f>
        <v>17.3</v>
      </c>
    </row>
    <row r="644" customFormat="false" ht="14.4" hidden="true" customHeight="false" outlineLevel="0" collapsed="false">
      <c r="A644" s="45" t="n">
        <v>77385</v>
      </c>
      <c r="B644" s="22" t="s">
        <v>720</v>
      </c>
      <c r="C644" s="23" t="n">
        <v>380</v>
      </c>
      <c r="D644" s="22" t="n">
        <v>75</v>
      </c>
      <c r="E644" s="22" t="s">
        <v>33</v>
      </c>
      <c r="F644" s="22" t="n">
        <v>53</v>
      </c>
      <c r="G644" s="22" t="s">
        <v>51</v>
      </c>
      <c r="H644" s="22" t="n">
        <v>4.14</v>
      </c>
      <c r="I644" s="22" t="n">
        <v>41.4</v>
      </c>
      <c r="J644" s="22" t="n">
        <v>0.355</v>
      </c>
      <c r="K644" s="22" t="n">
        <v>9.01</v>
      </c>
      <c r="L644" s="43" t="n">
        <v>0.71</v>
      </c>
      <c r="M644" s="22" t="n">
        <v>18.1</v>
      </c>
      <c r="N644" s="43" t="n">
        <v>0.28</v>
      </c>
      <c r="O644" s="22" t="n">
        <v>7.12</v>
      </c>
      <c r="P644" s="22" t="n">
        <v>0.232</v>
      </c>
      <c r="Q644" s="22" t="n">
        <v>23.2</v>
      </c>
      <c r="R644" s="43" t="n">
        <v>0.96</v>
      </c>
      <c r="S644" s="22" t="n">
        <v>960</v>
      </c>
      <c r="T644" s="22" t="n">
        <v>0.638</v>
      </c>
      <c r="U644" s="22" t="n">
        <f aca="false">C644*1</f>
        <v>380</v>
      </c>
      <c r="V644" s="22" t="n">
        <f aca="false">VLOOKUP(U644,'Powder Core Toroid OD'!$A$2:$B$36,2,0)</f>
        <v>17.3</v>
      </c>
    </row>
    <row r="645" customFormat="false" ht="14.4" hidden="true" customHeight="false" outlineLevel="0" collapsed="false">
      <c r="A645" s="45" t="n">
        <v>77410</v>
      </c>
      <c r="B645" s="22" t="s">
        <v>721</v>
      </c>
      <c r="C645" s="23" t="n">
        <v>410</v>
      </c>
      <c r="D645" s="22" t="n">
        <v>125</v>
      </c>
      <c r="E645" s="22" t="s">
        <v>33</v>
      </c>
      <c r="F645" s="22" t="n">
        <v>70</v>
      </c>
      <c r="G645" s="22" t="s">
        <v>51</v>
      </c>
      <c r="H645" s="22" t="n">
        <v>1.65</v>
      </c>
      <c r="I645" s="22" t="n">
        <v>16.5</v>
      </c>
      <c r="J645" s="22" t="n">
        <v>0.136</v>
      </c>
      <c r="K645" s="22" t="n">
        <v>3.45</v>
      </c>
      <c r="L645" s="22" t="n">
        <v>0.295</v>
      </c>
      <c r="M645" s="42" t="n">
        <v>7.5</v>
      </c>
      <c r="N645" s="22" t="n">
        <v>0.225</v>
      </c>
      <c r="O645" s="22" t="n">
        <v>5.72</v>
      </c>
      <c r="P645" s="22" t="n">
        <v>0.0725</v>
      </c>
      <c r="Q645" s="22" t="n">
        <v>7.25</v>
      </c>
      <c r="R645" s="22" t="n">
        <v>0.12</v>
      </c>
      <c r="S645" s="22" t="n">
        <v>120</v>
      </c>
      <c r="T645" s="22" t="n">
        <v>0.0935</v>
      </c>
      <c r="U645" s="22" t="n">
        <f aca="false">C645*1</f>
        <v>410</v>
      </c>
      <c r="V645" s="22" t="n">
        <f aca="false">VLOOKUP(U645,'Powder Core Toroid OD'!$A$2:$B$36,2,0)</f>
        <v>6.86</v>
      </c>
    </row>
    <row r="646" customFormat="false" ht="14.4" hidden="true" customHeight="false" outlineLevel="0" collapsed="false">
      <c r="A646" s="45" t="n">
        <v>77414</v>
      </c>
      <c r="B646" s="22" t="s">
        <v>722</v>
      </c>
      <c r="C646" s="23" t="n">
        <v>410</v>
      </c>
      <c r="D646" s="22" t="n">
        <v>90</v>
      </c>
      <c r="E646" s="22" t="s">
        <v>33</v>
      </c>
      <c r="F646" s="22" t="n">
        <v>50</v>
      </c>
      <c r="G646" s="22" t="s">
        <v>51</v>
      </c>
      <c r="H646" s="22" t="n">
        <v>1.65</v>
      </c>
      <c r="I646" s="22" t="n">
        <v>16.5</v>
      </c>
      <c r="J646" s="22" t="n">
        <v>0.136</v>
      </c>
      <c r="K646" s="22" t="n">
        <v>3.45</v>
      </c>
      <c r="L646" s="22" t="n">
        <v>0.295</v>
      </c>
      <c r="M646" s="42" t="n">
        <v>7.5</v>
      </c>
      <c r="N646" s="22" t="n">
        <v>0.225</v>
      </c>
      <c r="O646" s="22" t="n">
        <v>5.72</v>
      </c>
      <c r="P646" s="22" t="n">
        <v>0.0725</v>
      </c>
      <c r="Q646" s="22" t="n">
        <v>7.25</v>
      </c>
      <c r="R646" s="22" t="n">
        <v>0.12</v>
      </c>
      <c r="S646" s="22" t="n">
        <v>120</v>
      </c>
      <c r="T646" s="22" t="n">
        <v>0.0935</v>
      </c>
      <c r="U646" s="22" t="n">
        <f aca="false">C646*1</f>
        <v>410</v>
      </c>
      <c r="V646" s="22" t="n">
        <f aca="false">VLOOKUP(U646,'Powder Core Toroid OD'!$A$2:$B$36,2,0)</f>
        <v>6.86</v>
      </c>
    </row>
    <row r="647" customFormat="false" ht="14.4" hidden="true" customHeight="false" outlineLevel="0" collapsed="false">
      <c r="A647" s="45" t="n">
        <v>77431</v>
      </c>
      <c r="B647" s="22" t="s">
        <v>723</v>
      </c>
      <c r="C647" s="23" t="n">
        <v>438</v>
      </c>
      <c r="D647" s="22" t="n">
        <v>40</v>
      </c>
      <c r="E647" s="22" t="s">
        <v>33</v>
      </c>
      <c r="F647" s="22" t="n">
        <v>90</v>
      </c>
      <c r="G647" s="22" t="s">
        <v>51</v>
      </c>
      <c r="H647" s="22" t="n">
        <v>10.7</v>
      </c>
      <c r="I647" s="22" t="n">
        <v>107</v>
      </c>
      <c r="J647" s="22" t="n">
        <v>0.918</v>
      </c>
      <c r="K647" s="22" t="n">
        <v>23.3</v>
      </c>
      <c r="L647" s="22" t="n">
        <v>1.875</v>
      </c>
      <c r="M647" s="22" t="n">
        <v>47.63</v>
      </c>
      <c r="N647" s="22" t="n">
        <v>0.745</v>
      </c>
      <c r="O647" s="36" t="n">
        <v>19</v>
      </c>
      <c r="P647" s="22" t="n">
        <v>1.99</v>
      </c>
      <c r="Q647" s="22" t="n">
        <v>199</v>
      </c>
      <c r="R647" s="22" t="n">
        <v>21.3</v>
      </c>
      <c r="S647" s="22" t="n">
        <v>21300</v>
      </c>
      <c r="T647" s="22" t="n">
        <v>4.27</v>
      </c>
      <c r="U647" s="22" t="n">
        <f aca="false">C647*1</f>
        <v>438</v>
      </c>
      <c r="V647" s="22" t="n">
        <f aca="false">VLOOKUP(U647,'Powder Core Toroid OD'!$A$2:$B$36,2,0)</f>
        <v>46.7</v>
      </c>
    </row>
    <row r="648" customFormat="false" ht="14.4" hidden="true" customHeight="false" outlineLevel="0" collapsed="false">
      <c r="A648" s="45" t="n">
        <v>77438</v>
      </c>
      <c r="B648" s="22" t="s">
        <v>724</v>
      </c>
      <c r="C648" s="23" t="n">
        <v>438</v>
      </c>
      <c r="D648" s="22" t="n">
        <v>125</v>
      </c>
      <c r="E648" s="22" t="s">
        <v>33</v>
      </c>
      <c r="F648" s="22" t="n">
        <v>281</v>
      </c>
      <c r="G648" s="22" t="s">
        <v>51</v>
      </c>
      <c r="H648" s="22" t="n">
        <v>10.7</v>
      </c>
      <c r="I648" s="22" t="n">
        <v>107</v>
      </c>
      <c r="J648" s="22" t="n">
        <v>0.918</v>
      </c>
      <c r="K648" s="22" t="n">
        <v>23.3</v>
      </c>
      <c r="L648" s="22" t="n">
        <v>1.875</v>
      </c>
      <c r="M648" s="22" t="n">
        <v>47.63</v>
      </c>
      <c r="N648" s="22" t="n">
        <v>0.745</v>
      </c>
      <c r="O648" s="36" t="n">
        <v>19</v>
      </c>
      <c r="P648" s="22" t="n">
        <v>1.99</v>
      </c>
      <c r="Q648" s="22" t="n">
        <v>199</v>
      </c>
      <c r="R648" s="22" t="n">
        <v>21.3</v>
      </c>
      <c r="S648" s="22" t="n">
        <v>21300</v>
      </c>
      <c r="T648" s="22" t="n">
        <v>4.27</v>
      </c>
      <c r="U648" s="22" t="n">
        <f aca="false">C648*1</f>
        <v>438</v>
      </c>
      <c r="V648" s="22" t="n">
        <f aca="false">VLOOKUP(U648,'Powder Core Toroid OD'!$A$2:$B$36,2,0)</f>
        <v>46.7</v>
      </c>
    </row>
    <row r="649" customFormat="false" ht="14.4" hidden="true" customHeight="false" outlineLevel="0" collapsed="false">
      <c r="A649" s="45" t="n">
        <v>77439</v>
      </c>
      <c r="B649" s="22" t="s">
        <v>725</v>
      </c>
      <c r="C649" s="23" t="n">
        <v>438</v>
      </c>
      <c r="D649" s="22" t="n">
        <v>60</v>
      </c>
      <c r="E649" s="22" t="s">
        <v>33</v>
      </c>
      <c r="F649" s="22" t="n">
        <v>135</v>
      </c>
      <c r="G649" s="22" t="s">
        <v>51</v>
      </c>
      <c r="H649" s="22" t="n">
        <v>10.7</v>
      </c>
      <c r="I649" s="22" t="n">
        <v>107</v>
      </c>
      <c r="J649" s="22" t="n">
        <v>0.918</v>
      </c>
      <c r="K649" s="22" t="n">
        <v>23.3</v>
      </c>
      <c r="L649" s="22" t="n">
        <v>1.875</v>
      </c>
      <c r="M649" s="22" t="n">
        <v>47.63</v>
      </c>
      <c r="N649" s="22" t="n">
        <v>0.745</v>
      </c>
      <c r="O649" s="36" t="n">
        <v>19</v>
      </c>
      <c r="P649" s="22" t="n">
        <v>1.99</v>
      </c>
      <c r="Q649" s="22" t="n">
        <v>199</v>
      </c>
      <c r="R649" s="22" t="n">
        <v>21.3</v>
      </c>
      <c r="S649" s="22" t="n">
        <v>21300</v>
      </c>
      <c r="T649" s="22" t="n">
        <v>4.27</v>
      </c>
      <c r="U649" s="22" t="n">
        <f aca="false">C649*1</f>
        <v>438</v>
      </c>
      <c r="V649" s="22" t="n">
        <f aca="false">VLOOKUP(U649,'Powder Core Toroid OD'!$A$2:$B$36,2,0)</f>
        <v>46.7</v>
      </c>
    </row>
    <row r="650" customFormat="false" ht="14.4" hidden="true" customHeight="false" outlineLevel="0" collapsed="false">
      <c r="A650" s="45" t="n">
        <v>77440</v>
      </c>
      <c r="B650" s="22" t="s">
        <v>726</v>
      </c>
      <c r="C650" s="23" t="n">
        <v>438</v>
      </c>
      <c r="D650" s="22" t="n">
        <v>26</v>
      </c>
      <c r="E650" s="22" t="s">
        <v>33</v>
      </c>
      <c r="F650" s="22" t="n">
        <v>59</v>
      </c>
      <c r="G650" s="22" t="s">
        <v>51</v>
      </c>
      <c r="H650" s="22" t="n">
        <v>10.7</v>
      </c>
      <c r="I650" s="22" t="n">
        <v>107</v>
      </c>
      <c r="J650" s="22" t="n">
        <v>0.918</v>
      </c>
      <c r="K650" s="22" t="n">
        <v>23.3</v>
      </c>
      <c r="L650" s="22" t="n">
        <v>1.875</v>
      </c>
      <c r="M650" s="22" t="n">
        <v>47.63</v>
      </c>
      <c r="N650" s="22" t="n">
        <v>0.745</v>
      </c>
      <c r="O650" s="36" t="n">
        <v>19</v>
      </c>
      <c r="P650" s="22" t="n">
        <v>1.99</v>
      </c>
      <c r="Q650" s="22" t="n">
        <v>199</v>
      </c>
      <c r="R650" s="22" t="n">
        <v>21.3</v>
      </c>
      <c r="S650" s="22" t="n">
        <v>21300</v>
      </c>
      <c r="T650" s="22" t="n">
        <v>4.27</v>
      </c>
      <c r="U650" s="22" t="n">
        <f aca="false">C650*1</f>
        <v>438</v>
      </c>
      <c r="V650" s="22" t="n">
        <f aca="false">VLOOKUP(U650,'Powder Core Toroid OD'!$A$2:$B$36,2,0)</f>
        <v>46.7</v>
      </c>
    </row>
    <row r="651" customFormat="false" ht="14.4" hidden="true" customHeight="false" outlineLevel="0" collapsed="false">
      <c r="A651" s="45" t="n">
        <v>77442</v>
      </c>
      <c r="B651" s="22" t="s">
        <v>727</v>
      </c>
      <c r="C651" s="23" t="n">
        <v>438</v>
      </c>
      <c r="D651" s="22" t="n">
        <v>90</v>
      </c>
      <c r="E651" s="22" t="s">
        <v>33</v>
      </c>
      <c r="F651" s="22" t="n">
        <v>202</v>
      </c>
      <c r="G651" s="22" t="s">
        <v>51</v>
      </c>
      <c r="H651" s="22" t="n">
        <v>10.7</v>
      </c>
      <c r="I651" s="22" t="n">
        <v>107</v>
      </c>
      <c r="J651" s="22" t="n">
        <v>0.918</v>
      </c>
      <c r="K651" s="22" t="n">
        <v>23.3</v>
      </c>
      <c r="L651" s="22" t="n">
        <v>1.875</v>
      </c>
      <c r="M651" s="22" t="n">
        <v>47.63</v>
      </c>
      <c r="N651" s="22" t="n">
        <v>0.745</v>
      </c>
      <c r="O651" s="36" t="n">
        <v>19</v>
      </c>
      <c r="P651" s="22" t="n">
        <v>1.99</v>
      </c>
      <c r="Q651" s="22" t="n">
        <v>199</v>
      </c>
      <c r="R651" s="22" t="n">
        <v>21.3</v>
      </c>
      <c r="S651" s="22" t="n">
        <v>21300</v>
      </c>
      <c r="T651" s="22" t="n">
        <v>4.27</v>
      </c>
      <c r="U651" s="22" t="n">
        <f aca="false">C651*1</f>
        <v>438</v>
      </c>
      <c r="V651" s="22" t="n">
        <f aca="false">VLOOKUP(U651,'Powder Core Toroid OD'!$A$2:$B$36,2,0)</f>
        <v>46.7</v>
      </c>
    </row>
    <row r="652" customFormat="false" ht="14.4" hidden="true" customHeight="false" outlineLevel="0" collapsed="false">
      <c r="A652" s="45" t="n">
        <v>77443</v>
      </c>
      <c r="B652" s="22" t="s">
        <v>728</v>
      </c>
      <c r="C652" s="23" t="n">
        <v>438</v>
      </c>
      <c r="D652" s="22" t="n">
        <v>75</v>
      </c>
      <c r="E652" s="22" t="s">
        <v>33</v>
      </c>
      <c r="F652" s="22" t="n">
        <v>169</v>
      </c>
      <c r="G652" s="22" t="s">
        <v>51</v>
      </c>
      <c r="H652" s="22" t="n">
        <v>10.7</v>
      </c>
      <c r="I652" s="22" t="n">
        <v>107</v>
      </c>
      <c r="J652" s="22" t="n">
        <v>0.918</v>
      </c>
      <c r="K652" s="22" t="n">
        <v>23.3</v>
      </c>
      <c r="L652" s="22" t="n">
        <v>1.875</v>
      </c>
      <c r="M652" s="22" t="n">
        <v>47.63</v>
      </c>
      <c r="N652" s="22" t="n">
        <v>0.745</v>
      </c>
      <c r="O652" s="36" t="n">
        <v>19</v>
      </c>
      <c r="P652" s="22" t="n">
        <v>1.99</v>
      </c>
      <c r="Q652" s="22" t="n">
        <v>199</v>
      </c>
      <c r="R652" s="22" t="n">
        <v>21.3</v>
      </c>
      <c r="S652" s="22" t="n">
        <v>21300</v>
      </c>
      <c r="T652" s="22" t="n">
        <v>4.27</v>
      </c>
      <c r="U652" s="22" t="n">
        <f aca="false">C652*1</f>
        <v>438</v>
      </c>
      <c r="V652" s="22" t="n">
        <f aca="false">VLOOKUP(U652,'Powder Core Toroid OD'!$A$2:$B$36,2,0)</f>
        <v>46.7</v>
      </c>
    </row>
    <row r="653" customFormat="false" ht="14.4" hidden="true" customHeight="false" outlineLevel="0" collapsed="false">
      <c r="A653" s="45" t="n">
        <v>77444</v>
      </c>
      <c r="B653" s="22" t="s">
        <v>729</v>
      </c>
      <c r="C653" s="23" t="n">
        <v>140</v>
      </c>
      <c r="D653" s="22" t="n">
        <v>90</v>
      </c>
      <c r="E653" s="22" t="s">
        <v>33</v>
      </c>
      <c r="F653" s="22" t="n">
        <v>19</v>
      </c>
      <c r="G653" s="22" t="s">
        <v>51</v>
      </c>
      <c r="H653" s="22" t="n">
        <v>0.806</v>
      </c>
      <c r="I653" s="22" t="n">
        <v>8.06</v>
      </c>
      <c r="J653" s="43" t="n">
        <v>0.05</v>
      </c>
      <c r="K653" s="22" t="n">
        <v>1.27</v>
      </c>
      <c r="L653" s="22" t="n">
        <v>0.165</v>
      </c>
      <c r="M653" s="42" t="n">
        <v>4.2</v>
      </c>
      <c r="N653" s="22" t="n">
        <v>0.085</v>
      </c>
      <c r="O653" s="22" t="n">
        <v>2.16</v>
      </c>
      <c r="P653" s="22" t="n">
        <v>0.013</v>
      </c>
      <c r="Q653" s="22" t="n">
        <v>1.3</v>
      </c>
      <c r="R653" s="22" t="n">
        <v>0.0105</v>
      </c>
      <c r="S653" s="22" t="n">
        <v>10.5</v>
      </c>
      <c r="T653" s="22" t="n">
        <v>0.0127</v>
      </c>
      <c r="U653" s="22" t="n">
        <f aca="false">C653*1</f>
        <v>140</v>
      </c>
      <c r="V653" s="22" t="n">
        <f aca="false">VLOOKUP(U653,'Powder Core Toroid OD'!$A$2:$B$36,2,0)</f>
        <v>3.56</v>
      </c>
    </row>
    <row r="654" customFormat="false" ht="14.4" hidden="true" customHeight="false" outlineLevel="0" collapsed="false">
      <c r="A654" s="45" t="n">
        <v>77445</v>
      </c>
      <c r="B654" s="22" t="s">
        <v>730</v>
      </c>
      <c r="C654" s="23" t="n">
        <v>140</v>
      </c>
      <c r="D654" s="22" t="n">
        <v>75</v>
      </c>
      <c r="E654" s="22" t="s">
        <v>33</v>
      </c>
      <c r="F654" s="22" t="n">
        <v>16</v>
      </c>
      <c r="G654" s="22" t="s">
        <v>51</v>
      </c>
      <c r="H654" s="22" t="n">
        <v>0.806</v>
      </c>
      <c r="I654" s="22" t="n">
        <v>8.06</v>
      </c>
      <c r="J654" s="43" t="n">
        <v>0.05</v>
      </c>
      <c r="K654" s="22" t="n">
        <v>1.27</v>
      </c>
      <c r="L654" s="22" t="n">
        <v>0.165</v>
      </c>
      <c r="M654" s="42" t="n">
        <v>4.2</v>
      </c>
      <c r="N654" s="22" t="n">
        <v>0.085</v>
      </c>
      <c r="O654" s="22" t="n">
        <v>2.16</v>
      </c>
      <c r="P654" s="22" t="n">
        <v>0.013</v>
      </c>
      <c r="Q654" s="22" t="n">
        <v>1.3</v>
      </c>
      <c r="R654" s="22" t="n">
        <v>0.0105</v>
      </c>
      <c r="S654" s="22" t="n">
        <v>10.5</v>
      </c>
      <c r="T654" s="22" t="n">
        <v>0.0127</v>
      </c>
      <c r="U654" s="22" t="n">
        <f aca="false">C654*1</f>
        <v>140</v>
      </c>
      <c r="V654" s="22" t="n">
        <f aca="false">VLOOKUP(U654,'Powder Core Toroid OD'!$A$2:$B$36,2,0)</f>
        <v>3.56</v>
      </c>
    </row>
    <row r="655" customFormat="false" ht="14.4" hidden="true" customHeight="false" outlineLevel="0" collapsed="false">
      <c r="A655" s="45" t="n">
        <v>77548</v>
      </c>
      <c r="B655" s="22" t="s">
        <v>731</v>
      </c>
      <c r="C655" s="23" t="n">
        <v>548</v>
      </c>
      <c r="D655" s="22" t="n">
        <v>125</v>
      </c>
      <c r="E655" s="22" t="s">
        <v>33</v>
      </c>
      <c r="F655" s="22" t="n">
        <v>127</v>
      </c>
      <c r="G655" s="22" t="s">
        <v>51</v>
      </c>
      <c r="H655" s="22" t="n">
        <v>8.14</v>
      </c>
      <c r="I655" s="22" t="n">
        <v>81.4</v>
      </c>
      <c r="J655" s="22" t="n">
        <v>0.766</v>
      </c>
      <c r="K655" s="22" t="n">
        <v>19.4</v>
      </c>
      <c r="L655" s="22" t="n">
        <v>1.325</v>
      </c>
      <c r="M655" s="22" t="n">
        <v>33.66</v>
      </c>
      <c r="N655" s="43" t="n">
        <v>0.45</v>
      </c>
      <c r="O655" s="22" t="n">
        <v>11.5</v>
      </c>
      <c r="P655" s="22" t="n">
        <v>0.656</v>
      </c>
      <c r="Q655" s="22" t="n">
        <v>65.6</v>
      </c>
      <c r="R655" s="42" t="n">
        <v>5.34</v>
      </c>
      <c r="S655" s="22" t="n">
        <v>5340</v>
      </c>
      <c r="T655" s="22" t="n">
        <v>2.97</v>
      </c>
      <c r="U655" s="22" t="n">
        <f aca="false">C655*1</f>
        <v>548</v>
      </c>
      <c r="V655" s="22" t="n">
        <f aca="false">VLOOKUP(U655,'Powder Core Toroid OD'!$A$2:$B$36,2,0)</f>
        <v>32.8</v>
      </c>
    </row>
    <row r="656" customFormat="false" ht="14.4" hidden="true" customHeight="false" outlineLevel="0" collapsed="false">
      <c r="A656" s="45" t="n">
        <v>77550</v>
      </c>
      <c r="B656" s="22" t="s">
        <v>732</v>
      </c>
      <c r="C656" s="23" t="n">
        <v>548</v>
      </c>
      <c r="D656" s="22" t="n">
        <v>26</v>
      </c>
      <c r="E656" s="22" t="s">
        <v>33</v>
      </c>
      <c r="F656" s="22" t="n">
        <v>28</v>
      </c>
      <c r="G656" s="22" t="s">
        <v>51</v>
      </c>
      <c r="H656" s="22" t="n">
        <v>8.14</v>
      </c>
      <c r="I656" s="22" t="n">
        <v>81.4</v>
      </c>
      <c r="J656" s="22" t="n">
        <v>0.766</v>
      </c>
      <c r="K656" s="22" t="n">
        <v>19.4</v>
      </c>
      <c r="L656" s="22" t="n">
        <v>1.325</v>
      </c>
      <c r="M656" s="22" t="n">
        <v>33.66</v>
      </c>
      <c r="N656" s="43" t="n">
        <v>0.45</v>
      </c>
      <c r="O656" s="22" t="n">
        <v>11.5</v>
      </c>
      <c r="P656" s="22" t="n">
        <v>0.656</v>
      </c>
      <c r="Q656" s="22" t="n">
        <v>65.6</v>
      </c>
      <c r="R656" s="42" t="n">
        <v>5.34</v>
      </c>
      <c r="S656" s="22" t="n">
        <v>5340</v>
      </c>
      <c r="T656" s="22" t="n">
        <v>2.97</v>
      </c>
      <c r="U656" s="22" t="n">
        <f aca="false">C656*1</f>
        <v>548</v>
      </c>
      <c r="V656" s="22" t="n">
        <f aca="false">VLOOKUP(U656,'Powder Core Toroid OD'!$A$2:$B$36,2,0)</f>
        <v>32.8</v>
      </c>
    </row>
    <row r="657" customFormat="false" ht="14.4" hidden="true" customHeight="false" outlineLevel="0" collapsed="false">
      <c r="A657" s="45" t="n">
        <v>77552</v>
      </c>
      <c r="B657" s="22" t="s">
        <v>733</v>
      </c>
      <c r="C657" s="23" t="n">
        <v>548</v>
      </c>
      <c r="D657" s="22" t="n">
        <v>90</v>
      </c>
      <c r="E657" s="22" t="s">
        <v>33</v>
      </c>
      <c r="F657" s="22" t="n">
        <v>91</v>
      </c>
      <c r="G657" s="22" t="s">
        <v>51</v>
      </c>
      <c r="H657" s="22" t="n">
        <v>8.14</v>
      </c>
      <c r="I657" s="22" t="n">
        <v>81.4</v>
      </c>
      <c r="J657" s="22" t="n">
        <v>0.766</v>
      </c>
      <c r="K657" s="22" t="n">
        <v>19.4</v>
      </c>
      <c r="L657" s="22" t="n">
        <v>1.325</v>
      </c>
      <c r="M657" s="22" t="n">
        <v>33.66</v>
      </c>
      <c r="N657" s="43" t="n">
        <v>0.45</v>
      </c>
      <c r="O657" s="22" t="n">
        <v>11.5</v>
      </c>
      <c r="P657" s="22" t="n">
        <v>0.656</v>
      </c>
      <c r="Q657" s="22" t="n">
        <v>65.6</v>
      </c>
      <c r="R657" s="42" t="n">
        <v>5.34</v>
      </c>
      <c r="S657" s="22" t="n">
        <v>5340</v>
      </c>
      <c r="T657" s="22" t="n">
        <v>2.97</v>
      </c>
      <c r="U657" s="22" t="n">
        <f aca="false">C657*1</f>
        <v>548</v>
      </c>
      <c r="V657" s="22" t="n">
        <f aca="false">VLOOKUP(U657,'Powder Core Toroid OD'!$A$2:$B$36,2,0)</f>
        <v>32.8</v>
      </c>
    </row>
    <row r="658" customFormat="false" ht="14.4" hidden="true" customHeight="false" outlineLevel="0" collapsed="false">
      <c r="A658" s="45" t="n">
        <v>77553</v>
      </c>
      <c r="B658" s="22" t="s">
        <v>734</v>
      </c>
      <c r="C658" s="23" t="n">
        <v>548</v>
      </c>
      <c r="D658" s="22" t="n">
        <v>75</v>
      </c>
      <c r="E658" s="22" t="s">
        <v>33</v>
      </c>
      <c r="F658" s="22" t="n">
        <v>76</v>
      </c>
      <c r="G658" s="22" t="s">
        <v>51</v>
      </c>
      <c r="H658" s="22" t="n">
        <v>8.14</v>
      </c>
      <c r="I658" s="22" t="n">
        <v>81.4</v>
      </c>
      <c r="J658" s="22" t="n">
        <v>0.766</v>
      </c>
      <c r="K658" s="22" t="n">
        <v>19.4</v>
      </c>
      <c r="L658" s="22" t="n">
        <v>1.325</v>
      </c>
      <c r="M658" s="22" t="n">
        <v>33.66</v>
      </c>
      <c r="N658" s="43" t="n">
        <v>0.45</v>
      </c>
      <c r="O658" s="22" t="n">
        <v>11.5</v>
      </c>
      <c r="P658" s="22" t="n">
        <v>0.656</v>
      </c>
      <c r="Q658" s="22" t="n">
        <v>65.6</v>
      </c>
      <c r="R658" s="42" t="n">
        <v>5.34</v>
      </c>
      <c r="S658" s="22" t="n">
        <v>5340</v>
      </c>
      <c r="T658" s="22" t="n">
        <v>2.97</v>
      </c>
      <c r="U658" s="22" t="n">
        <f aca="false">C658*1</f>
        <v>548</v>
      </c>
      <c r="V658" s="22" t="n">
        <f aca="false">VLOOKUP(U658,'Powder Core Toroid OD'!$A$2:$B$36,2,0)</f>
        <v>32.8</v>
      </c>
    </row>
    <row r="659" customFormat="false" ht="14.4" hidden="true" customHeight="false" outlineLevel="0" collapsed="false">
      <c r="A659" s="45" t="n">
        <v>77555</v>
      </c>
      <c r="B659" s="22" t="s">
        <v>735</v>
      </c>
      <c r="C659" s="23" t="n">
        <v>548</v>
      </c>
      <c r="D659" s="22" t="n">
        <v>40</v>
      </c>
      <c r="E659" s="22" t="s">
        <v>33</v>
      </c>
      <c r="F659" s="22" t="n">
        <v>41</v>
      </c>
      <c r="G659" s="22" t="s">
        <v>51</v>
      </c>
      <c r="H659" s="22" t="n">
        <v>8.14</v>
      </c>
      <c r="I659" s="22" t="n">
        <v>81.4</v>
      </c>
      <c r="J659" s="22" t="n">
        <v>0.766</v>
      </c>
      <c r="K659" s="22" t="n">
        <v>19.4</v>
      </c>
      <c r="L659" s="22" t="n">
        <v>1.325</v>
      </c>
      <c r="M659" s="22" t="n">
        <v>33.66</v>
      </c>
      <c r="N659" s="43" t="n">
        <v>0.45</v>
      </c>
      <c r="O659" s="22" t="n">
        <v>11.5</v>
      </c>
      <c r="P659" s="22" t="n">
        <v>0.656</v>
      </c>
      <c r="Q659" s="22" t="n">
        <v>65.6</v>
      </c>
      <c r="R659" s="42" t="n">
        <v>5.34</v>
      </c>
      <c r="S659" s="22" t="n">
        <v>5340</v>
      </c>
      <c r="T659" s="22" t="n">
        <v>2.97</v>
      </c>
      <c r="U659" s="22" t="n">
        <f aca="false">C659*1</f>
        <v>548</v>
      </c>
      <c r="V659" s="22" t="n">
        <f aca="false">VLOOKUP(U659,'Powder Core Toroid OD'!$A$2:$B$36,2,0)</f>
        <v>32.8</v>
      </c>
    </row>
    <row r="660" customFormat="false" ht="14.4" hidden="true" customHeight="false" outlineLevel="0" collapsed="false">
      <c r="A660" s="45" t="n">
        <v>77585</v>
      </c>
      <c r="B660" s="22" t="s">
        <v>736</v>
      </c>
      <c r="C660" s="23" t="n">
        <v>585</v>
      </c>
      <c r="D660" s="22" t="n">
        <v>125</v>
      </c>
      <c r="E660" s="22" t="s">
        <v>33</v>
      </c>
      <c r="F660" s="22" t="n">
        <v>79</v>
      </c>
      <c r="G660" s="22" t="s">
        <v>51</v>
      </c>
      <c r="H660" s="22" t="n">
        <v>8.95</v>
      </c>
      <c r="I660" s="22" t="n">
        <v>89.5</v>
      </c>
      <c r="J660" s="22" t="n">
        <v>0.888</v>
      </c>
      <c r="K660" s="22" t="n">
        <v>22.5</v>
      </c>
      <c r="L660" s="22" t="n">
        <v>1.385</v>
      </c>
      <c r="M660" s="22" t="n">
        <v>35.18</v>
      </c>
      <c r="N660" s="22" t="n">
        <v>0.385</v>
      </c>
      <c r="O660" s="22" t="n">
        <v>9.78</v>
      </c>
      <c r="P660" s="22" t="n">
        <v>0.464</v>
      </c>
      <c r="Q660" s="22" t="n">
        <v>46.4</v>
      </c>
      <c r="R660" s="42" t="n">
        <v>4.15</v>
      </c>
      <c r="S660" s="22" t="n">
        <v>4150</v>
      </c>
      <c r="T660" s="22" t="n">
        <v>3.99</v>
      </c>
      <c r="U660" s="22" t="n">
        <f aca="false">C660*1</f>
        <v>585</v>
      </c>
      <c r="V660" s="22" t="n">
        <f aca="false">VLOOKUP(U660,'Powder Core Toroid OD'!$A$2:$B$36,2,0)</f>
        <v>34.3</v>
      </c>
    </row>
    <row r="661" customFormat="false" ht="14.4" hidden="true" customHeight="false" outlineLevel="0" collapsed="false">
      <c r="A661" s="45" t="n">
        <v>77586</v>
      </c>
      <c r="B661" s="22" t="s">
        <v>737</v>
      </c>
      <c r="C661" s="23" t="n">
        <v>585</v>
      </c>
      <c r="D661" s="22" t="n">
        <v>60</v>
      </c>
      <c r="E661" s="22" t="s">
        <v>33</v>
      </c>
      <c r="F661" s="22" t="n">
        <v>38</v>
      </c>
      <c r="G661" s="22" t="s">
        <v>51</v>
      </c>
      <c r="H661" s="22" t="n">
        <v>8.95</v>
      </c>
      <c r="I661" s="22" t="n">
        <v>89.5</v>
      </c>
      <c r="J661" s="22" t="n">
        <v>0.888</v>
      </c>
      <c r="K661" s="22" t="n">
        <v>22.5</v>
      </c>
      <c r="L661" s="22" t="n">
        <v>1.385</v>
      </c>
      <c r="M661" s="22" t="n">
        <v>35.18</v>
      </c>
      <c r="N661" s="22" t="n">
        <v>0.385</v>
      </c>
      <c r="O661" s="22" t="n">
        <v>9.78</v>
      </c>
      <c r="P661" s="22" t="n">
        <v>0.464</v>
      </c>
      <c r="Q661" s="22" t="n">
        <v>46.4</v>
      </c>
      <c r="R661" s="42" t="n">
        <v>4.15</v>
      </c>
      <c r="S661" s="22" t="n">
        <v>4150</v>
      </c>
      <c r="T661" s="22" t="n">
        <v>3.99</v>
      </c>
      <c r="U661" s="22" t="n">
        <f aca="false">C661*1</f>
        <v>585</v>
      </c>
      <c r="V661" s="22" t="n">
        <f aca="false">VLOOKUP(U661,'Powder Core Toroid OD'!$A$2:$B$36,2,0)</f>
        <v>34.3</v>
      </c>
    </row>
    <row r="662" customFormat="false" ht="14.4" hidden="true" customHeight="false" outlineLevel="0" collapsed="false">
      <c r="A662" s="45" t="n">
        <v>77587</v>
      </c>
      <c r="B662" s="22" t="s">
        <v>738</v>
      </c>
      <c r="C662" s="23" t="n">
        <v>585</v>
      </c>
      <c r="D662" s="22" t="n">
        <v>26</v>
      </c>
      <c r="E662" s="22" t="s">
        <v>33</v>
      </c>
      <c r="F662" s="22" t="n">
        <v>16</v>
      </c>
      <c r="G662" s="22" t="s">
        <v>51</v>
      </c>
      <c r="H662" s="22" t="n">
        <v>8.95</v>
      </c>
      <c r="I662" s="22" t="n">
        <v>89.5</v>
      </c>
      <c r="J662" s="22" t="n">
        <v>0.888</v>
      </c>
      <c r="K662" s="22" t="n">
        <v>22.5</v>
      </c>
      <c r="L662" s="22" t="n">
        <v>1.385</v>
      </c>
      <c r="M662" s="22" t="n">
        <v>35.18</v>
      </c>
      <c r="N662" s="22" t="n">
        <v>0.385</v>
      </c>
      <c r="O662" s="22" t="n">
        <v>9.78</v>
      </c>
      <c r="P662" s="22" t="n">
        <v>0.464</v>
      </c>
      <c r="Q662" s="22" t="n">
        <v>46.4</v>
      </c>
      <c r="R662" s="42" t="n">
        <v>4.15</v>
      </c>
      <c r="S662" s="22" t="n">
        <v>4150</v>
      </c>
      <c r="T662" s="22" t="n">
        <v>3.99</v>
      </c>
      <c r="U662" s="22" t="n">
        <f aca="false">C662*1</f>
        <v>585</v>
      </c>
      <c r="V662" s="22" t="n">
        <f aca="false">VLOOKUP(U662,'Powder Core Toroid OD'!$A$2:$B$36,2,0)</f>
        <v>34.3</v>
      </c>
    </row>
    <row r="663" customFormat="false" ht="14.4" hidden="true" customHeight="false" outlineLevel="0" collapsed="false">
      <c r="A663" s="45" t="n">
        <v>77589</v>
      </c>
      <c r="B663" s="22" t="s">
        <v>739</v>
      </c>
      <c r="C663" s="23" t="n">
        <v>585</v>
      </c>
      <c r="D663" s="22" t="n">
        <v>90</v>
      </c>
      <c r="E663" s="22" t="s">
        <v>33</v>
      </c>
      <c r="F663" s="22" t="n">
        <v>57</v>
      </c>
      <c r="G663" s="22" t="s">
        <v>51</v>
      </c>
      <c r="H663" s="22" t="n">
        <v>8.95</v>
      </c>
      <c r="I663" s="22" t="n">
        <v>89.5</v>
      </c>
      <c r="J663" s="22" t="n">
        <v>0.888</v>
      </c>
      <c r="K663" s="22" t="n">
        <v>22.5</v>
      </c>
      <c r="L663" s="22" t="n">
        <v>1.385</v>
      </c>
      <c r="M663" s="22" t="n">
        <v>35.18</v>
      </c>
      <c r="N663" s="22" t="n">
        <v>0.385</v>
      </c>
      <c r="O663" s="22" t="n">
        <v>9.78</v>
      </c>
      <c r="P663" s="22" t="n">
        <v>0.464</v>
      </c>
      <c r="Q663" s="22" t="n">
        <v>46.4</v>
      </c>
      <c r="R663" s="42" t="n">
        <v>4.15</v>
      </c>
      <c r="S663" s="22" t="n">
        <v>4150</v>
      </c>
      <c r="T663" s="22" t="n">
        <v>3.99</v>
      </c>
      <c r="U663" s="22" t="n">
        <f aca="false">C663*1</f>
        <v>585</v>
      </c>
      <c r="V663" s="22" t="n">
        <f aca="false">VLOOKUP(U663,'Powder Core Toroid OD'!$A$2:$B$36,2,0)</f>
        <v>34.3</v>
      </c>
    </row>
    <row r="664" customFormat="false" ht="14.4" hidden="true" customHeight="false" outlineLevel="0" collapsed="false">
      <c r="A664" s="45" t="n">
        <v>77590</v>
      </c>
      <c r="B664" s="22" t="s">
        <v>740</v>
      </c>
      <c r="C664" s="23" t="n">
        <v>585</v>
      </c>
      <c r="D664" s="22" t="n">
        <v>75</v>
      </c>
      <c r="E664" s="22" t="s">
        <v>33</v>
      </c>
      <c r="F664" s="22" t="n">
        <v>47</v>
      </c>
      <c r="G664" s="22" t="s">
        <v>51</v>
      </c>
      <c r="H664" s="22" t="n">
        <v>8.95</v>
      </c>
      <c r="I664" s="22" t="n">
        <v>89.5</v>
      </c>
      <c r="J664" s="22" t="n">
        <v>0.888</v>
      </c>
      <c r="K664" s="22" t="n">
        <v>22.5</v>
      </c>
      <c r="L664" s="22" t="n">
        <v>1.385</v>
      </c>
      <c r="M664" s="22" t="n">
        <v>35.18</v>
      </c>
      <c r="N664" s="22" t="n">
        <v>0.385</v>
      </c>
      <c r="O664" s="22" t="n">
        <v>9.78</v>
      </c>
      <c r="P664" s="22" t="n">
        <v>0.464</v>
      </c>
      <c r="Q664" s="22" t="n">
        <v>46.4</v>
      </c>
      <c r="R664" s="42" t="n">
        <v>4.15</v>
      </c>
      <c r="S664" s="22" t="n">
        <v>4150</v>
      </c>
      <c r="T664" s="22" t="n">
        <v>3.99</v>
      </c>
      <c r="U664" s="22" t="n">
        <f aca="false">C664*1</f>
        <v>585</v>
      </c>
      <c r="V664" s="22" t="n">
        <f aca="false">VLOOKUP(U664,'Powder Core Toroid OD'!$A$2:$B$36,2,0)</f>
        <v>34.3</v>
      </c>
    </row>
    <row r="665" customFormat="false" ht="14.4" hidden="true" customHeight="false" outlineLevel="0" collapsed="false">
      <c r="A665" s="45" t="n">
        <v>77591</v>
      </c>
      <c r="B665" s="22" t="s">
        <v>741</v>
      </c>
      <c r="C665" s="23" t="n">
        <v>585</v>
      </c>
      <c r="D665" s="22" t="n">
        <v>40</v>
      </c>
      <c r="E665" s="22" t="s">
        <v>33</v>
      </c>
      <c r="F665" s="22" t="n">
        <v>25</v>
      </c>
      <c r="G665" s="22" t="s">
        <v>51</v>
      </c>
      <c r="H665" s="22" t="n">
        <v>8.95</v>
      </c>
      <c r="I665" s="22" t="n">
        <v>89.5</v>
      </c>
      <c r="J665" s="22" t="n">
        <v>0.888</v>
      </c>
      <c r="K665" s="22" t="n">
        <v>22.5</v>
      </c>
      <c r="L665" s="22" t="n">
        <v>1.385</v>
      </c>
      <c r="M665" s="22" t="n">
        <v>35.18</v>
      </c>
      <c r="N665" s="22" t="n">
        <v>0.385</v>
      </c>
      <c r="O665" s="22" t="n">
        <v>9.78</v>
      </c>
      <c r="P665" s="22" t="n">
        <v>0.464</v>
      </c>
      <c r="Q665" s="22" t="n">
        <v>46.4</v>
      </c>
      <c r="R665" s="42" t="n">
        <v>4.15</v>
      </c>
      <c r="S665" s="22" t="n">
        <v>4150</v>
      </c>
      <c r="T665" s="22" t="n">
        <v>3.99</v>
      </c>
      <c r="U665" s="22" t="n">
        <f aca="false">C665*1</f>
        <v>585</v>
      </c>
      <c r="V665" s="22" t="n">
        <f aca="false">VLOOKUP(U665,'Powder Core Toroid OD'!$A$2:$B$36,2,0)</f>
        <v>34.3</v>
      </c>
    </row>
    <row r="666" customFormat="false" ht="14.4" hidden="true" customHeight="false" outlineLevel="0" collapsed="false">
      <c r="A666" s="45" t="n">
        <v>77715</v>
      </c>
      <c r="B666" s="22" t="s">
        <v>742</v>
      </c>
      <c r="C666" s="23" t="n">
        <v>715</v>
      </c>
      <c r="D666" s="22" t="n">
        <v>125</v>
      </c>
      <c r="E666" s="22" t="s">
        <v>33</v>
      </c>
      <c r="F666" s="22" t="n">
        <v>152</v>
      </c>
      <c r="G666" s="22" t="s">
        <v>51</v>
      </c>
      <c r="H666" s="22" t="n">
        <v>12.7</v>
      </c>
      <c r="I666" s="22" t="n">
        <v>127</v>
      </c>
      <c r="J666" s="22" t="n">
        <v>1.218</v>
      </c>
      <c r="K666" s="22" t="n">
        <v>30.93</v>
      </c>
      <c r="L666" s="22" t="n">
        <v>2.035</v>
      </c>
      <c r="M666" s="22" t="n">
        <v>51.69</v>
      </c>
      <c r="N666" s="22" t="n">
        <v>0.565</v>
      </c>
      <c r="O666" s="22" t="n">
        <v>14.4</v>
      </c>
      <c r="P666" s="22" t="n">
        <v>1.25</v>
      </c>
      <c r="Q666" s="22" t="n">
        <v>125</v>
      </c>
      <c r="R666" s="22" t="n">
        <v>15.9</v>
      </c>
      <c r="S666" s="22" t="n">
        <v>15900</v>
      </c>
      <c r="T666" s="22" t="n">
        <v>7.51</v>
      </c>
      <c r="U666" s="22" t="n">
        <f aca="false">C666*1</f>
        <v>715</v>
      </c>
      <c r="V666" s="22" t="n">
        <f aca="false">VLOOKUP(U666,'Powder Core Toroid OD'!$A$2:$B$36,2,0)</f>
        <v>50.8</v>
      </c>
    </row>
    <row r="667" customFormat="false" ht="14.4" hidden="true" customHeight="false" outlineLevel="0" collapsed="false">
      <c r="A667" s="45" t="n">
        <v>77716</v>
      </c>
      <c r="B667" s="22" t="s">
        <v>743</v>
      </c>
      <c r="C667" s="23" t="n">
        <v>715</v>
      </c>
      <c r="D667" s="22" t="n">
        <v>60</v>
      </c>
      <c r="E667" s="22" t="s">
        <v>33</v>
      </c>
      <c r="F667" s="22" t="n">
        <v>73</v>
      </c>
      <c r="G667" s="22" t="s">
        <v>51</v>
      </c>
      <c r="H667" s="22" t="n">
        <v>12.7</v>
      </c>
      <c r="I667" s="22" t="n">
        <v>127</v>
      </c>
      <c r="J667" s="22" t="n">
        <v>1.218</v>
      </c>
      <c r="K667" s="22" t="n">
        <v>30.93</v>
      </c>
      <c r="L667" s="22" t="n">
        <v>2.035</v>
      </c>
      <c r="M667" s="22" t="n">
        <v>51.69</v>
      </c>
      <c r="N667" s="22" t="n">
        <v>0.565</v>
      </c>
      <c r="O667" s="22" t="n">
        <v>14.4</v>
      </c>
      <c r="P667" s="22" t="n">
        <v>1.25</v>
      </c>
      <c r="Q667" s="22" t="n">
        <v>125</v>
      </c>
      <c r="R667" s="22" t="n">
        <v>15.9</v>
      </c>
      <c r="S667" s="22" t="n">
        <v>15900</v>
      </c>
      <c r="T667" s="22" t="n">
        <v>7.51</v>
      </c>
      <c r="U667" s="22" t="n">
        <f aca="false">C667*1</f>
        <v>715</v>
      </c>
      <c r="V667" s="22" t="n">
        <f aca="false">VLOOKUP(U667,'Powder Core Toroid OD'!$A$2:$B$36,2,0)</f>
        <v>50.8</v>
      </c>
    </row>
    <row r="668" customFormat="false" ht="14.4" hidden="true" customHeight="false" outlineLevel="0" collapsed="false">
      <c r="A668" s="45" t="n">
        <v>77717</v>
      </c>
      <c r="B668" s="22" t="s">
        <v>744</v>
      </c>
      <c r="C668" s="23" t="n">
        <v>715</v>
      </c>
      <c r="D668" s="22" t="n">
        <v>26</v>
      </c>
      <c r="E668" s="22" t="s">
        <v>33</v>
      </c>
      <c r="F668" s="22" t="n">
        <v>32</v>
      </c>
      <c r="G668" s="22" t="s">
        <v>51</v>
      </c>
      <c r="H668" s="22" t="n">
        <v>12.7</v>
      </c>
      <c r="I668" s="22" t="n">
        <v>127</v>
      </c>
      <c r="J668" s="22" t="n">
        <v>1.218</v>
      </c>
      <c r="K668" s="22" t="n">
        <v>30.93</v>
      </c>
      <c r="L668" s="22" t="n">
        <v>2.035</v>
      </c>
      <c r="M668" s="22" t="n">
        <v>51.69</v>
      </c>
      <c r="N668" s="22" t="n">
        <v>0.565</v>
      </c>
      <c r="O668" s="22" t="n">
        <v>14.4</v>
      </c>
      <c r="P668" s="22" t="n">
        <v>1.25</v>
      </c>
      <c r="Q668" s="22" t="n">
        <v>125</v>
      </c>
      <c r="R668" s="22" t="n">
        <v>15.9</v>
      </c>
      <c r="S668" s="22" t="n">
        <v>15900</v>
      </c>
      <c r="T668" s="22" t="n">
        <v>7.51</v>
      </c>
      <c r="U668" s="22" t="n">
        <f aca="false">C668*1</f>
        <v>715</v>
      </c>
      <c r="V668" s="22" t="n">
        <f aca="false">VLOOKUP(U668,'Powder Core Toroid OD'!$A$2:$B$36,2,0)</f>
        <v>50.8</v>
      </c>
    </row>
    <row r="669" customFormat="false" ht="14.4" hidden="true" customHeight="false" outlineLevel="0" collapsed="false">
      <c r="A669" s="45" t="n">
        <v>77719</v>
      </c>
      <c r="B669" s="22" t="s">
        <v>745</v>
      </c>
      <c r="C669" s="23" t="n">
        <v>715</v>
      </c>
      <c r="D669" s="22" t="n">
        <v>90</v>
      </c>
      <c r="E669" s="22" t="s">
        <v>33</v>
      </c>
      <c r="F669" s="22" t="n">
        <v>109</v>
      </c>
      <c r="G669" s="22" t="s">
        <v>51</v>
      </c>
      <c r="H669" s="22" t="n">
        <v>12.7</v>
      </c>
      <c r="I669" s="22" t="n">
        <v>127</v>
      </c>
      <c r="J669" s="22" t="n">
        <v>1.218</v>
      </c>
      <c r="K669" s="22" t="n">
        <v>30.93</v>
      </c>
      <c r="L669" s="22" t="n">
        <v>2.035</v>
      </c>
      <c r="M669" s="22" t="n">
        <v>51.69</v>
      </c>
      <c r="N669" s="22" t="n">
        <v>0.565</v>
      </c>
      <c r="O669" s="22" t="n">
        <v>14.4</v>
      </c>
      <c r="P669" s="22" t="n">
        <v>1.25</v>
      </c>
      <c r="Q669" s="22" t="n">
        <v>125</v>
      </c>
      <c r="R669" s="22" t="n">
        <v>15.9</v>
      </c>
      <c r="S669" s="22" t="n">
        <v>15900</v>
      </c>
      <c r="T669" s="22" t="n">
        <v>7.51</v>
      </c>
      <c r="U669" s="22" t="n">
        <f aca="false">C669*1</f>
        <v>715</v>
      </c>
      <c r="V669" s="22" t="n">
        <f aca="false">VLOOKUP(U669,'Powder Core Toroid OD'!$A$2:$B$36,2,0)</f>
        <v>50.8</v>
      </c>
    </row>
    <row r="670" customFormat="false" ht="14.4" hidden="true" customHeight="false" outlineLevel="0" collapsed="false">
      <c r="A670" s="45" t="n">
        <v>77720</v>
      </c>
      <c r="B670" s="22" t="s">
        <v>746</v>
      </c>
      <c r="C670" s="23" t="n">
        <v>715</v>
      </c>
      <c r="D670" s="22" t="n">
        <v>75</v>
      </c>
      <c r="E670" s="22" t="s">
        <v>33</v>
      </c>
      <c r="F670" s="22" t="n">
        <v>91</v>
      </c>
      <c r="G670" s="22" t="s">
        <v>51</v>
      </c>
      <c r="H670" s="22" t="n">
        <v>12.7</v>
      </c>
      <c r="I670" s="22" t="n">
        <v>127</v>
      </c>
      <c r="J670" s="22" t="n">
        <v>1.218</v>
      </c>
      <c r="K670" s="22" t="n">
        <v>30.93</v>
      </c>
      <c r="L670" s="22" t="n">
        <v>2.035</v>
      </c>
      <c r="M670" s="22" t="n">
        <v>51.69</v>
      </c>
      <c r="N670" s="22" t="n">
        <v>0.565</v>
      </c>
      <c r="O670" s="22" t="n">
        <v>14.4</v>
      </c>
      <c r="P670" s="22" t="n">
        <v>1.25</v>
      </c>
      <c r="Q670" s="22" t="n">
        <v>125</v>
      </c>
      <c r="R670" s="22" t="n">
        <v>15.9</v>
      </c>
      <c r="S670" s="22" t="n">
        <v>15900</v>
      </c>
      <c r="T670" s="22" t="n">
        <v>7.51</v>
      </c>
      <c r="U670" s="22" t="n">
        <f aca="false">C670*1</f>
        <v>715</v>
      </c>
      <c r="V670" s="22" t="n">
        <f aca="false">VLOOKUP(U670,'Powder Core Toroid OD'!$A$2:$B$36,2,0)</f>
        <v>50.8</v>
      </c>
    </row>
    <row r="671" customFormat="false" ht="14.4" hidden="true" customHeight="false" outlineLevel="0" collapsed="false">
      <c r="A671" s="45" t="n">
        <v>77721</v>
      </c>
      <c r="B671" s="22" t="s">
        <v>747</v>
      </c>
      <c r="C671" s="23" t="n">
        <v>715</v>
      </c>
      <c r="D671" s="22" t="n">
        <v>40</v>
      </c>
      <c r="E671" s="22" t="s">
        <v>33</v>
      </c>
      <c r="F671" s="22" t="n">
        <v>49</v>
      </c>
      <c r="G671" s="22" t="s">
        <v>51</v>
      </c>
      <c r="H671" s="22" t="n">
        <v>12.7</v>
      </c>
      <c r="I671" s="22" t="n">
        <v>127</v>
      </c>
      <c r="J671" s="22" t="n">
        <v>1.218</v>
      </c>
      <c r="K671" s="22" t="n">
        <v>30.93</v>
      </c>
      <c r="L671" s="22" t="n">
        <v>2.035</v>
      </c>
      <c r="M671" s="22" t="n">
        <v>51.69</v>
      </c>
      <c r="N671" s="22" t="n">
        <v>0.565</v>
      </c>
      <c r="O671" s="22" t="n">
        <v>14.4</v>
      </c>
      <c r="P671" s="22" t="n">
        <v>1.25</v>
      </c>
      <c r="Q671" s="22" t="n">
        <v>125</v>
      </c>
      <c r="R671" s="22" t="n">
        <v>15.9</v>
      </c>
      <c r="S671" s="22" t="n">
        <v>15900</v>
      </c>
      <c r="T671" s="22" t="n">
        <v>7.51</v>
      </c>
      <c r="U671" s="22" t="n">
        <f aca="false">C671*1</f>
        <v>715</v>
      </c>
      <c r="V671" s="22" t="n">
        <f aca="false">VLOOKUP(U671,'Powder Core Toroid OD'!$A$2:$B$36,2,0)</f>
        <v>50.8</v>
      </c>
    </row>
    <row r="672" customFormat="false" ht="14.4" hidden="true" customHeight="false" outlineLevel="0" collapsed="false">
      <c r="A672" s="45" t="n">
        <v>77824</v>
      </c>
      <c r="B672" s="22" t="s">
        <v>748</v>
      </c>
      <c r="C672" s="23" t="s">
        <v>208</v>
      </c>
      <c r="D672" s="22" t="n">
        <v>90</v>
      </c>
      <c r="E672" s="22" t="s">
        <v>33</v>
      </c>
      <c r="F672" s="22" t="n">
        <v>36</v>
      </c>
      <c r="G672" s="22" t="s">
        <v>51</v>
      </c>
      <c r="H672" s="22" t="n">
        <v>1.36</v>
      </c>
      <c r="I672" s="22" t="n">
        <v>13.6</v>
      </c>
      <c r="J672" s="43" t="n">
        <v>0.09</v>
      </c>
      <c r="K672" s="22" t="n">
        <v>2.28</v>
      </c>
      <c r="L672" s="22" t="n">
        <v>0.275</v>
      </c>
      <c r="M672" s="22" t="n">
        <v>6.99</v>
      </c>
      <c r="N672" s="22" t="n">
        <v>0.135</v>
      </c>
      <c r="O672" s="22" t="n">
        <v>3.43</v>
      </c>
      <c r="P672" s="22" t="n">
        <v>0.047</v>
      </c>
      <c r="Q672" s="22" t="n">
        <v>4.7</v>
      </c>
      <c r="R672" s="43" t="n">
        <v>0.064</v>
      </c>
      <c r="S672" s="36" t="n">
        <v>64</v>
      </c>
      <c r="T672" s="22" t="n">
        <v>0.0408</v>
      </c>
      <c r="U672" s="22" t="n">
        <f aca="false">C672*1</f>
        <v>20</v>
      </c>
      <c r="V672" s="22" t="n">
        <f aca="false">VLOOKUP(U672,'Powder Core Toroid OD'!$A$2:$B$36,2,0)</f>
        <v>6.35</v>
      </c>
    </row>
    <row r="673" customFormat="false" ht="14.4" hidden="true" customHeight="false" outlineLevel="0" collapsed="false">
      <c r="A673" s="45" t="n">
        <v>77825</v>
      </c>
      <c r="B673" s="22" t="s">
        <v>749</v>
      </c>
      <c r="C673" s="23" t="s">
        <v>208</v>
      </c>
      <c r="D673" s="22" t="n">
        <v>75</v>
      </c>
      <c r="E673" s="22" t="s">
        <v>33</v>
      </c>
      <c r="F673" s="22" t="n">
        <v>30</v>
      </c>
      <c r="G673" s="22" t="s">
        <v>51</v>
      </c>
      <c r="H673" s="22" t="n">
        <v>1.36</v>
      </c>
      <c r="I673" s="22" t="n">
        <v>13.6</v>
      </c>
      <c r="J673" s="43" t="n">
        <v>0.09</v>
      </c>
      <c r="K673" s="22" t="n">
        <v>2.28</v>
      </c>
      <c r="L673" s="22" t="n">
        <v>0.275</v>
      </c>
      <c r="M673" s="22" t="n">
        <v>6.99</v>
      </c>
      <c r="N673" s="22" t="n">
        <v>0.135</v>
      </c>
      <c r="O673" s="22" t="n">
        <v>3.43</v>
      </c>
      <c r="P673" s="22" t="n">
        <v>0.047</v>
      </c>
      <c r="Q673" s="22" t="n">
        <v>4.7</v>
      </c>
      <c r="R673" s="43" t="n">
        <v>0.064</v>
      </c>
      <c r="S673" s="36" t="n">
        <v>64</v>
      </c>
      <c r="T673" s="22" t="n">
        <v>0.0408</v>
      </c>
      <c r="U673" s="22" t="n">
        <f aca="false">C673*1</f>
        <v>20</v>
      </c>
      <c r="V673" s="22" t="n">
        <f aca="false">VLOOKUP(U673,'Powder Core Toroid OD'!$A$2:$B$36,2,0)</f>
        <v>6.35</v>
      </c>
    </row>
    <row r="674" customFormat="false" ht="14.4" hidden="true" customHeight="false" outlineLevel="0" collapsed="false">
      <c r="A674" s="45" t="n">
        <v>77834</v>
      </c>
      <c r="B674" s="22" t="s">
        <v>750</v>
      </c>
      <c r="C674" s="23" t="s">
        <v>220</v>
      </c>
      <c r="D674" s="22" t="n">
        <v>90</v>
      </c>
      <c r="E674" s="22" t="s">
        <v>33</v>
      </c>
      <c r="F674" s="22" t="n">
        <v>37</v>
      </c>
      <c r="G674" s="22" t="s">
        <v>51</v>
      </c>
      <c r="H674" s="22" t="n">
        <v>1.79</v>
      </c>
      <c r="I674" s="22" t="n">
        <v>17.9</v>
      </c>
      <c r="J674" s="22" t="n">
        <v>0.136</v>
      </c>
      <c r="K674" s="22" t="n">
        <v>3.45</v>
      </c>
      <c r="L674" s="22" t="n">
        <v>0.335</v>
      </c>
      <c r="M674" s="22" t="n">
        <v>8.51</v>
      </c>
      <c r="N674" s="43" t="n">
        <v>0.15</v>
      </c>
      <c r="O674" s="22" t="n">
        <v>3.81</v>
      </c>
      <c r="P674" s="22" t="n">
        <v>0.0599</v>
      </c>
      <c r="Q674" s="22" t="n">
        <v>5.99</v>
      </c>
      <c r="R674" s="22" t="n">
        <v>0.107</v>
      </c>
      <c r="S674" s="22" t="n">
        <v>107</v>
      </c>
      <c r="T674" s="22" t="n">
        <v>0.0935</v>
      </c>
      <c r="U674" s="22" t="n">
        <f aca="false">C674*1</f>
        <v>30</v>
      </c>
      <c r="V674" s="22" t="n">
        <f aca="false">VLOOKUP(U674,'Powder Core Toroid OD'!$A$2:$B$36,2,0)</f>
        <v>7.87</v>
      </c>
    </row>
    <row r="675" customFormat="false" ht="14.4" hidden="true" customHeight="false" outlineLevel="0" collapsed="false">
      <c r="A675" s="45" t="n">
        <v>77835</v>
      </c>
      <c r="B675" s="22" t="s">
        <v>751</v>
      </c>
      <c r="C675" s="23" t="s">
        <v>220</v>
      </c>
      <c r="D675" s="22" t="n">
        <v>75</v>
      </c>
      <c r="E675" s="22" t="s">
        <v>33</v>
      </c>
      <c r="F675" s="22" t="n">
        <v>31</v>
      </c>
      <c r="G675" s="22" t="s">
        <v>51</v>
      </c>
      <c r="H675" s="22" t="n">
        <v>1.79</v>
      </c>
      <c r="I675" s="22" t="n">
        <v>17.9</v>
      </c>
      <c r="J675" s="22" t="n">
        <v>0.136</v>
      </c>
      <c r="K675" s="22" t="n">
        <v>3.45</v>
      </c>
      <c r="L675" s="22" t="n">
        <v>0.335</v>
      </c>
      <c r="M675" s="22" t="n">
        <v>8.51</v>
      </c>
      <c r="N675" s="43" t="n">
        <v>0.15</v>
      </c>
      <c r="O675" s="22" t="n">
        <v>3.81</v>
      </c>
      <c r="P675" s="22" t="n">
        <v>0.0599</v>
      </c>
      <c r="Q675" s="22" t="n">
        <v>5.99</v>
      </c>
      <c r="R675" s="22" t="n">
        <v>0.107</v>
      </c>
      <c r="S675" s="22" t="n">
        <v>107</v>
      </c>
      <c r="T675" s="22" t="n">
        <v>0.0935</v>
      </c>
      <c r="U675" s="22" t="n">
        <f aca="false">C675*1</f>
        <v>30</v>
      </c>
      <c r="V675" s="22" t="n">
        <f aca="false">VLOOKUP(U675,'Powder Core Toroid OD'!$A$2:$B$36,2,0)</f>
        <v>7.87</v>
      </c>
    </row>
    <row r="676" customFormat="false" ht="14.4" hidden="true" customHeight="false" outlineLevel="0" collapsed="false">
      <c r="A676" s="45" t="n">
        <v>77844</v>
      </c>
      <c r="B676" s="22" t="s">
        <v>752</v>
      </c>
      <c r="C676" s="23" t="s">
        <v>232</v>
      </c>
      <c r="D676" s="22" t="n">
        <v>90</v>
      </c>
      <c r="E676" s="22" t="s">
        <v>33</v>
      </c>
      <c r="F676" s="22" t="n">
        <v>48</v>
      </c>
      <c r="G676" s="22" t="s">
        <v>51</v>
      </c>
      <c r="H676" s="42" t="n">
        <v>2.3</v>
      </c>
      <c r="I676" s="36" t="n">
        <v>23</v>
      </c>
      <c r="J676" s="43" t="n">
        <v>0.18</v>
      </c>
      <c r="K676" s="22" t="n">
        <v>4.57</v>
      </c>
      <c r="L676" s="22" t="n">
        <v>0.425</v>
      </c>
      <c r="M676" s="22" t="n">
        <v>10.8</v>
      </c>
      <c r="N676" s="22" t="n">
        <v>0.181</v>
      </c>
      <c r="O676" s="22" t="n">
        <v>4.6</v>
      </c>
      <c r="P676" s="22" t="n">
        <v>0.0957</v>
      </c>
      <c r="Q676" s="22" t="n">
        <v>9.57</v>
      </c>
      <c r="R676" s="22" t="n">
        <v>0.22</v>
      </c>
      <c r="S676" s="22" t="n">
        <v>220</v>
      </c>
      <c r="T676" s="22" t="n">
        <v>0.164</v>
      </c>
      <c r="U676" s="22" t="n">
        <f aca="false">C676*1</f>
        <v>40</v>
      </c>
      <c r="V676" s="22" t="n">
        <f aca="false">VLOOKUP(U676,'Powder Core Toroid OD'!$A$2:$B$36,2,0)</f>
        <v>10.2</v>
      </c>
    </row>
    <row r="677" customFormat="false" ht="14.4" hidden="true" customHeight="false" outlineLevel="0" collapsed="false">
      <c r="A677" s="45" t="n">
        <v>77847</v>
      </c>
      <c r="B677" s="22" t="s">
        <v>753</v>
      </c>
      <c r="C677" s="23" t="n">
        <v>206</v>
      </c>
      <c r="D677" s="22" t="n">
        <v>40</v>
      </c>
      <c r="E677" s="22" t="s">
        <v>33</v>
      </c>
      <c r="F677" s="22" t="n">
        <v>21</v>
      </c>
      <c r="G677" s="22" t="s">
        <v>51</v>
      </c>
      <c r="H677" s="22" t="n">
        <v>5.09</v>
      </c>
      <c r="I677" s="22" t="n">
        <v>50.9</v>
      </c>
      <c r="J677" s="22" t="n">
        <v>0.475</v>
      </c>
      <c r="K677" s="36" t="n">
        <v>12</v>
      </c>
      <c r="L677" s="43" t="n">
        <v>0.83</v>
      </c>
      <c r="M677" s="22" t="n">
        <v>21.1</v>
      </c>
      <c r="N677" s="43" t="n">
        <v>0.28</v>
      </c>
      <c r="O677" s="22" t="n">
        <v>7.12</v>
      </c>
      <c r="P677" s="22" t="n">
        <v>0.221</v>
      </c>
      <c r="Q677" s="22" t="n">
        <v>22.1</v>
      </c>
      <c r="R677" s="42" t="n">
        <v>1.12</v>
      </c>
      <c r="S677" s="22" t="n">
        <v>1120</v>
      </c>
      <c r="T677" s="22" t="n">
        <v>1.14</v>
      </c>
      <c r="U677" s="22" t="n">
        <f aca="false">C677*1</f>
        <v>206</v>
      </c>
      <c r="V677" s="22" t="n">
        <f aca="false">VLOOKUP(U677,'Powder Core Toroid OD'!$A$2:$B$36,2,0)</f>
        <v>20.3</v>
      </c>
    </row>
    <row r="678" customFormat="false" ht="14.4" hidden="true" customHeight="false" outlineLevel="0" collapsed="false">
      <c r="A678" s="45" t="n">
        <v>77848</v>
      </c>
      <c r="B678" s="22" t="s">
        <v>754</v>
      </c>
      <c r="C678" s="23" t="n">
        <v>206</v>
      </c>
      <c r="D678" s="22" t="n">
        <v>60</v>
      </c>
      <c r="E678" s="22" t="s">
        <v>33</v>
      </c>
      <c r="F678" s="22" t="n">
        <v>32</v>
      </c>
      <c r="G678" s="22" t="s">
        <v>51</v>
      </c>
      <c r="H678" s="22" t="n">
        <v>5.09</v>
      </c>
      <c r="I678" s="22" t="n">
        <v>50.9</v>
      </c>
      <c r="J678" s="22" t="n">
        <v>0.475</v>
      </c>
      <c r="K678" s="36" t="n">
        <v>12</v>
      </c>
      <c r="L678" s="43" t="n">
        <v>0.83</v>
      </c>
      <c r="M678" s="22" t="n">
        <v>21.1</v>
      </c>
      <c r="N678" s="43" t="n">
        <v>0.28</v>
      </c>
      <c r="O678" s="22" t="n">
        <v>7.12</v>
      </c>
      <c r="P678" s="22" t="n">
        <v>0.221</v>
      </c>
      <c r="Q678" s="22" t="n">
        <v>22.1</v>
      </c>
      <c r="R678" s="42" t="n">
        <v>1.12</v>
      </c>
      <c r="S678" s="22" t="n">
        <v>1120</v>
      </c>
      <c r="T678" s="22" t="n">
        <v>1.14</v>
      </c>
      <c r="U678" s="22" t="n">
        <f aca="false">C678*1</f>
        <v>206</v>
      </c>
      <c r="V678" s="22" t="n">
        <f aca="false">VLOOKUP(U678,'Powder Core Toroid OD'!$A$2:$B$36,2,0)</f>
        <v>20.3</v>
      </c>
    </row>
    <row r="679" customFormat="false" ht="14.4" hidden="true" customHeight="false" outlineLevel="0" collapsed="false">
      <c r="A679" s="45" t="n">
        <v>77867</v>
      </c>
      <c r="B679" s="22" t="s">
        <v>755</v>
      </c>
      <c r="C679" s="23" t="n">
        <v>866</v>
      </c>
      <c r="D679" s="22" t="n">
        <v>60</v>
      </c>
      <c r="E679" s="22" t="s">
        <v>33</v>
      </c>
      <c r="F679" s="22" t="n">
        <v>68</v>
      </c>
      <c r="G679" s="22" t="s">
        <v>51</v>
      </c>
      <c r="H679" s="22" t="n">
        <v>19.6</v>
      </c>
      <c r="I679" s="22" t="n">
        <v>196</v>
      </c>
      <c r="J679" s="22" t="n">
        <v>1.898</v>
      </c>
      <c r="K679" s="42" t="n">
        <v>48.2</v>
      </c>
      <c r="L679" s="22" t="n">
        <v>3.108</v>
      </c>
      <c r="M679" s="22" t="n">
        <v>78.95</v>
      </c>
      <c r="N679" s="22" t="n">
        <v>0.545</v>
      </c>
      <c r="O679" s="22" t="n">
        <v>13.9</v>
      </c>
      <c r="P679" s="22" t="n">
        <v>1.76</v>
      </c>
      <c r="Q679" s="22" t="n">
        <v>176</v>
      </c>
      <c r="R679" s="22" t="n">
        <v>34.5</v>
      </c>
      <c r="S679" s="22" t="n">
        <v>34500</v>
      </c>
      <c r="T679" s="22" t="n">
        <v>18.2</v>
      </c>
      <c r="U679" s="22" t="n">
        <f aca="false">C679*1</f>
        <v>866</v>
      </c>
      <c r="V679" s="22" t="n">
        <f aca="false">VLOOKUP(U679,'Powder Core Toroid OD'!$A$2:$B$36,2,0)</f>
        <v>77.8</v>
      </c>
    </row>
    <row r="680" customFormat="false" ht="14.4" hidden="true" customHeight="false" outlineLevel="0" collapsed="false">
      <c r="A680" s="45" t="n">
        <v>77868</v>
      </c>
      <c r="B680" s="22" t="s">
        <v>756</v>
      </c>
      <c r="C680" s="23" t="n">
        <v>866</v>
      </c>
      <c r="D680" s="22" t="n">
        <v>26</v>
      </c>
      <c r="E680" s="22" t="s">
        <v>33</v>
      </c>
      <c r="F680" s="22" t="n">
        <v>30</v>
      </c>
      <c r="G680" s="22" t="s">
        <v>51</v>
      </c>
      <c r="H680" s="22" t="n">
        <v>19.6</v>
      </c>
      <c r="I680" s="22" t="n">
        <v>196</v>
      </c>
      <c r="J680" s="22" t="n">
        <v>1.898</v>
      </c>
      <c r="K680" s="42" t="n">
        <v>48.2</v>
      </c>
      <c r="L680" s="22" t="n">
        <v>3.108</v>
      </c>
      <c r="M680" s="22" t="n">
        <v>78.95</v>
      </c>
      <c r="N680" s="22" t="n">
        <v>0.545</v>
      </c>
      <c r="O680" s="22" t="n">
        <v>13.9</v>
      </c>
      <c r="P680" s="22" t="n">
        <v>1.76</v>
      </c>
      <c r="Q680" s="22" t="n">
        <v>176</v>
      </c>
      <c r="R680" s="22" t="n">
        <v>34.5</v>
      </c>
      <c r="S680" s="22" t="n">
        <v>34500</v>
      </c>
      <c r="T680" s="22" t="n">
        <v>18.2</v>
      </c>
      <c r="U680" s="22" t="n">
        <f aca="false">C680*1</f>
        <v>866</v>
      </c>
      <c r="V680" s="22" t="n">
        <f aca="false">VLOOKUP(U680,'Powder Core Toroid OD'!$A$2:$B$36,2,0)</f>
        <v>77.8</v>
      </c>
    </row>
    <row r="681" customFormat="false" ht="14.4" hidden="true" customHeight="false" outlineLevel="0" collapsed="false">
      <c r="A681" s="45" t="n">
        <v>77872</v>
      </c>
      <c r="B681" s="22" t="s">
        <v>757</v>
      </c>
      <c r="C681" s="23" t="n">
        <v>866</v>
      </c>
      <c r="D681" s="22" t="n">
        <v>40</v>
      </c>
      <c r="E681" s="22" t="s">
        <v>33</v>
      </c>
      <c r="F681" s="22" t="n">
        <v>45</v>
      </c>
      <c r="G681" s="22" t="s">
        <v>51</v>
      </c>
      <c r="H681" s="22" t="n">
        <v>19.6</v>
      </c>
      <c r="I681" s="22" t="n">
        <v>196</v>
      </c>
      <c r="J681" s="22" t="n">
        <v>1.898</v>
      </c>
      <c r="K681" s="42" t="n">
        <v>48.2</v>
      </c>
      <c r="L681" s="22" t="n">
        <v>3.108</v>
      </c>
      <c r="M681" s="22" t="n">
        <v>78.95</v>
      </c>
      <c r="N681" s="22" t="n">
        <v>0.545</v>
      </c>
      <c r="O681" s="22" t="n">
        <v>13.9</v>
      </c>
      <c r="P681" s="22" t="n">
        <v>1.76</v>
      </c>
      <c r="Q681" s="22" t="n">
        <v>176</v>
      </c>
      <c r="R681" s="22" t="n">
        <v>34.5</v>
      </c>
      <c r="S681" s="22" t="n">
        <v>34500</v>
      </c>
      <c r="T681" s="22" t="n">
        <v>18.2</v>
      </c>
      <c r="U681" s="22" t="n">
        <f aca="false">C681*1</f>
        <v>866</v>
      </c>
      <c r="V681" s="22" t="n">
        <f aca="false">VLOOKUP(U681,'Powder Core Toroid OD'!$A$2:$B$36,2,0)</f>
        <v>77.8</v>
      </c>
    </row>
    <row r="682" customFormat="false" ht="14.4" hidden="true" customHeight="false" outlineLevel="0" collapsed="false">
      <c r="A682" s="45" t="n">
        <v>77874</v>
      </c>
      <c r="B682" s="22" t="s">
        <v>758</v>
      </c>
      <c r="C682" s="23" t="n">
        <v>270</v>
      </c>
      <c r="D682" s="22" t="n">
        <v>90</v>
      </c>
      <c r="E682" s="22" t="s">
        <v>33</v>
      </c>
      <c r="F682" s="22" t="n">
        <v>74</v>
      </c>
      <c r="G682" s="22" t="s">
        <v>51</v>
      </c>
      <c r="H682" s="22" t="n">
        <v>1.36</v>
      </c>
      <c r="I682" s="22" t="n">
        <v>13.6</v>
      </c>
      <c r="J682" s="22" t="n">
        <v>0.085</v>
      </c>
      <c r="K682" s="22" t="n">
        <v>2.15</v>
      </c>
      <c r="L682" s="22" t="n">
        <v>0.285</v>
      </c>
      <c r="M682" s="22" t="n">
        <v>7.24</v>
      </c>
      <c r="N682" s="22" t="n">
        <v>0.213</v>
      </c>
      <c r="O682" s="22" t="n">
        <v>5.42</v>
      </c>
      <c r="P682" s="22" t="n">
        <v>0.092</v>
      </c>
      <c r="Q682" s="22" t="n">
        <v>9.2</v>
      </c>
      <c r="R682" s="22" t="n">
        <v>0.125</v>
      </c>
      <c r="S682" s="22" t="n">
        <v>125</v>
      </c>
      <c r="T682" s="22" t="n">
        <v>0.0363</v>
      </c>
      <c r="U682" s="22" t="n">
        <f aca="false">C682*1</f>
        <v>270</v>
      </c>
      <c r="V682" s="22" t="n">
        <f aca="false">VLOOKUP(U682,'Powder Core Toroid OD'!$A$2:$B$36,2,0)</f>
        <v>6.6</v>
      </c>
    </row>
    <row r="683" customFormat="false" ht="14.4" hidden="true" customHeight="false" outlineLevel="0" collapsed="false">
      <c r="A683" s="45" t="n">
        <v>77875</v>
      </c>
      <c r="B683" s="22" t="s">
        <v>759</v>
      </c>
      <c r="C683" s="23" t="n">
        <v>270</v>
      </c>
      <c r="D683" s="22" t="n">
        <v>75</v>
      </c>
      <c r="E683" s="22" t="s">
        <v>33</v>
      </c>
      <c r="F683" s="22" t="n">
        <v>62</v>
      </c>
      <c r="G683" s="22" t="s">
        <v>51</v>
      </c>
      <c r="H683" s="22" t="n">
        <v>1.36</v>
      </c>
      <c r="I683" s="22" t="n">
        <v>13.6</v>
      </c>
      <c r="J683" s="22" t="n">
        <v>0.085</v>
      </c>
      <c r="K683" s="22" t="n">
        <v>2.15</v>
      </c>
      <c r="L683" s="22" t="n">
        <v>0.285</v>
      </c>
      <c r="M683" s="22" t="n">
        <v>7.24</v>
      </c>
      <c r="N683" s="22" t="n">
        <v>0.213</v>
      </c>
      <c r="O683" s="22" t="n">
        <v>5.42</v>
      </c>
      <c r="P683" s="22" t="n">
        <v>0.092</v>
      </c>
      <c r="Q683" s="22" t="n">
        <v>9.2</v>
      </c>
      <c r="R683" s="22" t="n">
        <v>0.125</v>
      </c>
      <c r="S683" s="22" t="n">
        <v>125</v>
      </c>
      <c r="T683" s="22" t="n">
        <v>0.0363</v>
      </c>
      <c r="U683" s="22" t="n">
        <f aca="false">C683*1</f>
        <v>270</v>
      </c>
      <c r="V683" s="22" t="n">
        <f aca="false">VLOOKUP(U683,'Powder Core Toroid OD'!$A$2:$B$36,2,0)</f>
        <v>6.6</v>
      </c>
    </row>
    <row r="684" customFormat="false" ht="14.4" hidden="true" customHeight="false" outlineLevel="0" collapsed="false">
      <c r="A684" s="45" t="n">
        <v>77884</v>
      </c>
      <c r="B684" s="22" t="s">
        <v>760</v>
      </c>
      <c r="C684" s="23" t="n">
        <v>280</v>
      </c>
      <c r="D684" s="22" t="n">
        <v>90</v>
      </c>
      <c r="E684" s="22" t="s">
        <v>33</v>
      </c>
      <c r="F684" s="22" t="n">
        <v>38</v>
      </c>
      <c r="G684" s="22" t="s">
        <v>51</v>
      </c>
      <c r="H684" s="22" t="n">
        <v>2.18</v>
      </c>
      <c r="I684" s="22" t="n">
        <v>21.8</v>
      </c>
      <c r="J684" s="22" t="n">
        <v>0.168</v>
      </c>
      <c r="K684" s="22" t="n">
        <v>4.26</v>
      </c>
      <c r="L684" s="22" t="n">
        <v>0.405</v>
      </c>
      <c r="M684" s="22" t="n">
        <v>10.3</v>
      </c>
      <c r="N684" s="43" t="n">
        <v>0.15</v>
      </c>
      <c r="O684" s="22" t="n">
        <v>3.81</v>
      </c>
      <c r="P684" s="22" t="n">
        <v>0.0752</v>
      </c>
      <c r="Q684" s="22" t="n">
        <v>7.52</v>
      </c>
      <c r="R684" s="22" t="n">
        <v>0.164</v>
      </c>
      <c r="S684" s="22" t="n">
        <v>164</v>
      </c>
      <c r="T684" s="22" t="n">
        <v>0.143</v>
      </c>
      <c r="U684" s="22" t="n">
        <f aca="false">C684*1</f>
        <v>280</v>
      </c>
      <c r="V684" s="22" t="n">
        <f aca="false">VLOOKUP(U684,'Powder Core Toroid OD'!$A$2:$B$36,2,0)</f>
        <v>9.65</v>
      </c>
    </row>
    <row r="685" customFormat="false" ht="14.4" hidden="true" customHeight="false" outlineLevel="0" collapsed="false">
      <c r="A685" s="45" t="n">
        <v>77885</v>
      </c>
      <c r="B685" s="22" t="s">
        <v>761</v>
      </c>
      <c r="C685" s="23" t="n">
        <v>280</v>
      </c>
      <c r="D685" s="22" t="n">
        <v>75</v>
      </c>
      <c r="E685" s="22" t="s">
        <v>33</v>
      </c>
      <c r="F685" s="22" t="n">
        <v>32</v>
      </c>
      <c r="G685" s="22" t="s">
        <v>51</v>
      </c>
      <c r="H685" s="22" t="n">
        <v>2.18</v>
      </c>
      <c r="I685" s="22" t="n">
        <v>21.8</v>
      </c>
      <c r="J685" s="22" t="n">
        <v>0.168</v>
      </c>
      <c r="K685" s="22" t="n">
        <v>4.26</v>
      </c>
      <c r="L685" s="22" t="n">
        <v>0.405</v>
      </c>
      <c r="M685" s="22" t="n">
        <v>10.3</v>
      </c>
      <c r="N685" s="43" t="n">
        <v>0.15</v>
      </c>
      <c r="O685" s="22" t="n">
        <v>3.81</v>
      </c>
      <c r="P685" s="22" t="n">
        <v>0.0752</v>
      </c>
      <c r="Q685" s="22" t="n">
        <v>7.52</v>
      </c>
      <c r="R685" s="22" t="n">
        <v>0.164</v>
      </c>
      <c r="S685" s="22" t="n">
        <v>164</v>
      </c>
      <c r="T685" s="22" t="n">
        <v>0.143</v>
      </c>
      <c r="U685" s="22" t="n">
        <f aca="false">C685*1</f>
        <v>280</v>
      </c>
      <c r="V685" s="22" t="n">
        <f aca="false">VLOOKUP(U685,'Powder Core Toroid OD'!$A$2:$B$36,2,0)</f>
        <v>9.65</v>
      </c>
    </row>
    <row r="686" customFormat="false" ht="14.4" hidden="true" customHeight="false" outlineLevel="0" collapsed="false">
      <c r="A686" s="45" t="n">
        <v>77894</v>
      </c>
      <c r="B686" s="22" t="s">
        <v>762</v>
      </c>
      <c r="C686" s="23" t="n">
        <v>930</v>
      </c>
      <c r="D686" s="22" t="n">
        <v>60</v>
      </c>
      <c r="E686" s="22" t="s">
        <v>33</v>
      </c>
      <c r="F686" s="22" t="n">
        <v>75</v>
      </c>
      <c r="G686" s="22" t="s">
        <v>51</v>
      </c>
      <c r="H686" s="22" t="n">
        <v>6.35</v>
      </c>
      <c r="I686" s="22" t="n">
        <v>63.5</v>
      </c>
      <c r="J686" s="22" t="n">
        <v>0.555</v>
      </c>
      <c r="K686" s="22" t="n">
        <v>14.1</v>
      </c>
      <c r="L686" s="43" t="n">
        <v>1.09</v>
      </c>
      <c r="M686" s="22" t="n">
        <v>27.69</v>
      </c>
      <c r="N686" s="43" t="n">
        <v>0.47</v>
      </c>
      <c r="O686" s="36" t="n">
        <v>12</v>
      </c>
      <c r="P686" s="22" t="n">
        <v>0.654</v>
      </c>
      <c r="Q686" s="22" t="n">
        <v>65.4</v>
      </c>
      <c r="R686" s="22" t="n">
        <v>4.15</v>
      </c>
      <c r="S686" s="22" t="n">
        <v>4150</v>
      </c>
      <c r="T686" s="22" t="n">
        <v>1.56</v>
      </c>
      <c r="U686" s="22" t="n">
        <f aca="false">C686*1</f>
        <v>930</v>
      </c>
      <c r="V686" s="22" t="n">
        <f aca="false">VLOOKUP(U686,'Powder Core Toroid OD'!$A$2:$B$36,2,0)</f>
        <v>26.9</v>
      </c>
    </row>
    <row r="687" customFormat="false" ht="14.4" hidden="true" customHeight="false" outlineLevel="0" collapsed="false">
      <c r="A687" s="45" t="n">
        <v>77906</v>
      </c>
      <c r="B687" s="22" t="s">
        <v>763</v>
      </c>
      <c r="C687" s="23" t="n">
        <v>906</v>
      </c>
      <c r="D687" s="22" t="n">
        <v>125</v>
      </c>
      <c r="E687" s="22" t="s">
        <v>33</v>
      </c>
      <c r="F687" s="22" t="n">
        <v>177</v>
      </c>
      <c r="G687" s="22" t="s">
        <v>51</v>
      </c>
      <c r="H687" s="22" t="n">
        <v>19.6</v>
      </c>
      <c r="I687" s="22" t="n">
        <v>196</v>
      </c>
      <c r="J687" s="22" t="n">
        <v>1.898</v>
      </c>
      <c r="K687" s="42" t="n">
        <v>48.2</v>
      </c>
      <c r="L687" s="22" t="n">
        <v>3.108</v>
      </c>
      <c r="M687" s="22" t="n">
        <v>78.95</v>
      </c>
      <c r="N687" s="43" t="n">
        <v>0.67</v>
      </c>
      <c r="O687" s="22" t="n">
        <v>17.1</v>
      </c>
      <c r="P687" s="22" t="n">
        <v>2.21</v>
      </c>
      <c r="Q687" s="22" t="n">
        <v>221</v>
      </c>
      <c r="R687" s="22" t="n">
        <v>43.4</v>
      </c>
      <c r="S687" s="22" t="n">
        <v>43400</v>
      </c>
      <c r="T687" s="22" t="n">
        <v>18.2</v>
      </c>
      <c r="U687" s="22" t="n">
        <f aca="false">C687*1</f>
        <v>906</v>
      </c>
      <c r="V687" s="22" t="n">
        <f aca="false">VLOOKUP(U687,'Powder Core Toroid OD'!$A$2:$B$36,2,0)</f>
        <v>77.8</v>
      </c>
    </row>
    <row r="688" customFormat="false" ht="14.4" hidden="true" customHeight="false" outlineLevel="0" collapsed="false">
      <c r="A688" s="45" t="n">
        <v>77907</v>
      </c>
      <c r="B688" s="22" t="s">
        <v>764</v>
      </c>
      <c r="C688" s="23" t="n">
        <v>906</v>
      </c>
      <c r="D688" s="22" t="n">
        <v>60</v>
      </c>
      <c r="E688" s="22" t="s">
        <v>33</v>
      </c>
      <c r="F688" s="22" t="n">
        <v>85</v>
      </c>
      <c r="G688" s="22" t="s">
        <v>51</v>
      </c>
      <c r="H688" s="22" t="n">
        <v>19.6</v>
      </c>
      <c r="I688" s="22" t="n">
        <v>196</v>
      </c>
      <c r="J688" s="22" t="n">
        <v>1.898</v>
      </c>
      <c r="K688" s="42" t="n">
        <v>48.2</v>
      </c>
      <c r="L688" s="22" t="n">
        <v>3.108</v>
      </c>
      <c r="M688" s="22" t="n">
        <v>78.95</v>
      </c>
      <c r="N688" s="43" t="n">
        <v>0.67</v>
      </c>
      <c r="O688" s="22" t="n">
        <v>17.1</v>
      </c>
      <c r="P688" s="22" t="n">
        <v>2.21</v>
      </c>
      <c r="Q688" s="22" t="n">
        <v>221</v>
      </c>
      <c r="R688" s="22" t="n">
        <v>43.4</v>
      </c>
      <c r="S688" s="22" t="n">
        <v>43400</v>
      </c>
      <c r="T688" s="22" t="n">
        <v>18.2</v>
      </c>
      <c r="U688" s="22" t="n">
        <f aca="false">C688*1</f>
        <v>906</v>
      </c>
      <c r="V688" s="22" t="n">
        <f aca="false">VLOOKUP(U688,'Powder Core Toroid OD'!$A$2:$B$36,2,0)</f>
        <v>77.8</v>
      </c>
    </row>
    <row r="689" customFormat="false" ht="14.4" hidden="true" customHeight="false" outlineLevel="0" collapsed="false">
      <c r="A689" s="45" t="n">
        <v>77908</v>
      </c>
      <c r="B689" s="22" t="s">
        <v>765</v>
      </c>
      <c r="C689" s="23" t="n">
        <v>906</v>
      </c>
      <c r="D689" s="22" t="n">
        <v>26</v>
      </c>
      <c r="E689" s="22" t="s">
        <v>33</v>
      </c>
      <c r="F689" s="22" t="n">
        <v>37</v>
      </c>
      <c r="G689" s="22" t="s">
        <v>51</v>
      </c>
      <c r="H689" s="22" t="n">
        <v>19.6</v>
      </c>
      <c r="I689" s="22" t="n">
        <v>196</v>
      </c>
      <c r="J689" s="22" t="n">
        <v>1.898</v>
      </c>
      <c r="K689" s="42" t="n">
        <v>48.2</v>
      </c>
      <c r="L689" s="22" t="n">
        <v>3.108</v>
      </c>
      <c r="M689" s="22" t="n">
        <v>78.95</v>
      </c>
      <c r="N689" s="43" t="n">
        <v>0.67</v>
      </c>
      <c r="O689" s="22" t="n">
        <v>17.1</v>
      </c>
      <c r="P689" s="22" t="n">
        <v>2.21</v>
      </c>
      <c r="Q689" s="22" t="n">
        <v>221</v>
      </c>
      <c r="R689" s="22" t="n">
        <v>43.4</v>
      </c>
      <c r="S689" s="22" t="n">
        <v>43400</v>
      </c>
      <c r="T689" s="22" t="n">
        <v>18.2</v>
      </c>
      <c r="U689" s="22" t="n">
        <f aca="false">C689*1</f>
        <v>906</v>
      </c>
      <c r="V689" s="22" t="n">
        <f aca="false">VLOOKUP(U689,'Powder Core Toroid OD'!$A$2:$B$36,2,0)</f>
        <v>77.8</v>
      </c>
    </row>
    <row r="690" customFormat="false" ht="14.4" hidden="true" customHeight="false" outlineLevel="0" collapsed="false">
      <c r="A690" s="45" t="n">
        <v>77912</v>
      </c>
      <c r="B690" s="22" t="s">
        <v>766</v>
      </c>
      <c r="C690" s="23" t="n">
        <v>906</v>
      </c>
      <c r="D690" s="22" t="n">
        <v>40</v>
      </c>
      <c r="E690" s="22" t="s">
        <v>33</v>
      </c>
      <c r="F690" s="22" t="n">
        <v>57</v>
      </c>
      <c r="G690" s="22" t="s">
        <v>51</v>
      </c>
      <c r="H690" s="22" t="n">
        <v>19.6</v>
      </c>
      <c r="I690" s="22" t="n">
        <v>196</v>
      </c>
      <c r="J690" s="22" t="n">
        <v>1.898</v>
      </c>
      <c r="K690" s="42" t="n">
        <v>48.2</v>
      </c>
      <c r="L690" s="22" t="n">
        <v>3.108</v>
      </c>
      <c r="M690" s="22" t="n">
        <v>78.95</v>
      </c>
      <c r="N690" s="43" t="n">
        <v>0.67</v>
      </c>
      <c r="O690" s="22" t="n">
        <v>17.1</v>
      </c>
      <c r="P690" s="22" t="n">
        <v>2.21</v>
      </c>
      <c r="Q690" s="22" t="n">
        <v>221</v>
      </c>
      <c r="R690" s="22" t="n">
        <v>43.4</v>
      </c>
      <c r="S690" s="22" t="n">
        <v>43400</v>
      </c>
      <c r="T690" s="22" t="n">
        <v>18.2</v>
      </c>
      <c r="U690" s="22" t="n">
        <f aca="false">C690*1</f>
        <v>906</v>
      </c>
      <c r="V690" s="22" t="n">
        <f aca="false">VLOOKUP(U690,'Powder Core Toroid OD'!$A$2:$B$36,2,0)</f>
        <v>77.8</v>
      </c>
    </row>
    <row r="691" customFormat="false" ht="14.4" hidden="true" customHeight="false" outlineLevel="0" collapsed="false">
      <c r="A691" s="35" t="n">
        <v>77930</v>
      </c>
      <c r="B691" s="22" t="s">
        <v>767</v>
      </c>
      <c r="C691" s="23" t="n">
        <v>930</v>
      </c>
      <c r="D691" s="22" t="n">
        <v>125</v>
      </c>
      <c r="E691" s="22" t="s">
        <v>33</v>
      </c>
      <c r="F691" s="22" t="n">
        <v>157</v>
      </c>
      <c r="G691" s="22" t="s">
        <v>51</v>
      </c>
      <c r="H691" s="22" t="n">
        <v>6.35</v>
      </c>
      <c r="I691" s="22" t="n">
        <v>63.5</v>
      </c>
      <c r="J691" s="22" t="n">
        <v>0.555</v>
      </c>
      <c r="K691" s="22" t="n">
        <v>14.1</v>
      </c>
      <c r="L691" s="43" t="n">
        <v>1.09</v>
      </c>
      <c r="M691" s="22" t="n">
        <v>27.69</v>
      </c>
      <c r="N691" s="43" t="n">
        <v>0.47</v>
      </c>
      <c r="O691" s="36" t="n">
        <v>12</v>
      </c>
      <c r="P691" s="22" t="n">
        <v>0.654</v>
      </c>
      <c r="Q691" s="22" t="n">
        <v>65.4</v>
      </c>
      <c r="R691" s="22" t="n">
        <v>4.15</v>
      </c>
      <c r="S691" s="22" t="n">
        <v>4150</v>
      </c>
      <c r="T691" s="22" t="n">
        <v>1.56</v>
      </c>
      <c r="U691" s="22" t="n">
        <f aca="false">C691*1</f>
        <v>930</v>
      </c>
      <c r="V691" s="22" t="n">
        <f aca="false">VLOOKUP(U691,'Powder Core Toroid OD'!$A$2:$B$36,2,0)</f>
        <v>26.9</v>
      </c>
    </row>
    <row r="692" customFormat="false" ht="14.4" hidden="true" customHeight="false" outlineLevel="0" collapsed="false">
      <c r="A692" s="45" t="n">
        <v>77932</v>
      </c>
      <c r="B692" s="22" t="s">
        <v>768</v>
      </c>
      <c r="C692" s="23" t="n">
        <v>930</v>
      </c>
      <c r="D692" s="22" t="n">
        <v>26</v>
      </c>
      <c r="E692" s="22" t="s">
        <v>33</v>
      </c>
      <c r="F692" s="22" t="n">
        <v>32</v>
      </c>
      <c r="G692" s="22" t="s">
        <v>51</v>
      </c>
      <c r="H692" s="22" t="n">
        <v>6.35</v>
      </c>
      <c r="I692" s="22" t="n">
        <v>63.5</v>
      </c>
      <c r="J692" s="22" t="n">
        <v>0.555</v>
      </c>
      <c r="K692" s="22" t="n">
        <v>14.1</v>
      </c>
      <c r="L692" s="43" t="n">
        <v>1.09</v>
      </c>
      <c r="M692" s="22" t="n">
        <v>27.69</v>
      </c>
      <c r="N692" s="43" t="n">
        <v>0.47</v>
      </c>
      <c r="O692" s="36" t="n">
        <v>12</v>
      </c>
      <c r="P692" s="22" t="n">
        <v>0.654</v>
      </c>
      <c r="Q692" s="22" t="n">
        <v>65.4</v>
      </c>
      <c r="R692" s="22" t="n">
        <v>4.15</v>
      </c>
      <c r="S692" s="22" t="n">
        <v>4150</v>
      </c>
      <c r="T692" s="22" t="n">
        <v>1.56</v>
      </c>
      <c r="U692" s="22" t="n">
        <f aca="false">C692*1</f>
        <v>930</v>
      </c>
      <c r="V692" s="22" t="n">
        <f aca="false">VLOOKUP(U692,'Powder Core Toroid OD'!$A$2:$B$36,2,0)</f>
        <v>26.9</v>
      </c>
    </row>
    <row r="693" customFormat="false" ht="14.4" hidden="true" customHeight="false" outlineLevel="0" collapsed="false">
      <c r="A693" s="45" t="n">
        <v>77934</v>
      </c>
      <c r="B693" s="22" t="s">
        <v>769</v>
      </c>
      <c r="C693" s="23" t="n">
        <v>930</v>
      </c>
      <c r="D693" s="22" t="n">
        <v>90</v>
      </c>
      <c r="E693" s="22" t="s">
        <v>33</v>
      </c>
      <c r="F693" s="22" t="n">
        <v>113</v>
      </c>
      <c r="G693" s="22" t="s">
        <v>51</v>
      </c>
      <c r="H693" s="22" t="n">
        <v>6.35</v>
      </c>
      <c r="I693" s="22" t="n">
        <v>63.5</v>
      </c>
      <c r="J693" s="22" t="n">
        <v>0.555</v>
      </c>
      <c r="K693" s="22" t="n">
        <v>14.1</v>
      </c>
      <c r="L693" s="43" t="n">
        <v>1.09</v>
      </c>
      <c r="M693" s="22" t="n">
        <v>27.69</v>
      </c>
      <c r="N693" s="43" t="n">
        <v>0.47</v>
      </c>
      <c r="O693" s="36" t="n">
        <v>12</v>
      </c>
      <c r="P693" s="22" t="n">
        <v>0.654</v>
      </c>
      <c r="Q693" s="22" t="n">
        <v>65.4</v>
      </c>
      <c r="R693" s="22" t="n">
        <v>4.15</v>
      </c>
      <c r="S693" s="22" t="n">
        <v>4150</v>
      </c>
      <c r="T693" s="22" t="n">
        <v>1.56</v>
      </c>
      <c r="U693" s="22" t="n">
        <f aca="false">C693*1</f>
        <v>930</v>
      </c>
      <c r="V693" s="22" t="n">
        <f aca="false">VLOOKUP(U693,'Powder Core Toroid OD'!$A$2:$B$36,2,0)</f>
        <v>26.9</v>
      </c>
    </row>
    <row r="694" customFormat="false" ht="14.4" hidden="true" customHeight="false" outlineLevel="0" collapsed="false">
      <c r="A694" s="45" t="n">
        <v>77935</v>
      </c>
      <c r="B694" s="22" t="s">
        <v>770</v>
      </c>
      <c r="C694" s="23" t="n">
        <v>930</v>
      </c>
      <c r="D694" s="22" t="n">
        <v>75</v>
      </c>
      <c r="E694" s="22" t="s">
        <v>33</v>
      </c>
      <c r="F694" s="22" t="n">
        <v>94</v>
      </c>
      <c r="G694" s="22" t="s">
        <v>51</v>
      </c>
      <c r="H694" s="22" t="n">
        <v>6.35</v>
      </c>
      <c r="I694" s="22" t="n">
        <v>63.5</v>
      </c>
      <c r="J694" s="22" t="n">
        <v>0.555</v>
      </c>
      <c r="K694" s="22" t="n">
        <v>14.1</v>
      </c>
      <c r="L694" s="43" t="n">
        <v>1.09</v>
      </c>
      <c r="M694" s="22" t="n">
        <v>27.69</v>
      </c>
      <c r="N694" s="43" t="n">
        <v>0.47</v>
      </c>
      <c r="O694" s="36" t="n">
        <v>12</v>
      </c>
      <c r="P694" s="22" t="n">
        <v>0.654</v>
      </c>
      <c r="Q694" s="22" t="n">
        <v>65.4</v>
      </c>
      <c r="R694" s="22" t="n">
        <v>4.15</v>
      </c>
      <c r="S694" s="22" t="n">
        <v>4150</v>
      </c>
      <c r="T694" s="22" t="n">
        <v>1.56</v>
      </c>
      <c r="U694" s="22" t="n">
        <f aca="false">C694*1</f>
        <v>930</v>
      </c>
      <c r="V694" s="22" t="n">
        <f aca="false">VLOOKUP(U694,'Powder Core Toroid OD'!$A$2:$B$36,2,0)</f>
        <v>26.9</v>
      </c>
    </row>
    <row r="695" customFormat="false" ht="14.4" hidden="true" customHeight="false" outlineLevel="0" collapsed="false">
      <c r="A695" s="45" t="n">
        <v>77936</v>
      </c>
      <c r="B695" s="22" t="s">
        <v>771</v>
      </c>
      <c r="C695" s="23" t="n">
        <v>930</v>
      </c>
      <c r="D695" s="22" t="n">
        <v>40</v>
      </c>
      <c r="E695" s="22" t="s">
        <v>33</v>
      </c>
      <c r="F695" s="22" t="n">
        <v>50</v>
      </c>
      <c r="G695" s="22" t="s">
        <v>51</v>
      </c>
      <c r="H695" s="22" t="n">
        <v>6.35</v>
      </c>
      <c r="I695" s="22" t="n">
        <v>63.5</v>
      </c>
      <c r="J695" s="22" t="n">
        <v>0.555</v>
      </c>
      <c r="K695" s="22" t="n">
        <v>14.1</v>
      </c>
      <c r="L695" s="43" t="n">
        <v>1.09</v>
      </c>
      <c r="M695" s="22" t="n">
        <v>27.69</v>
      </c>
      <c r="N695" s="43" t="n">
        <v>0.47</v>
      </c>
      <c r="O695" s="36" t="n">
        <v>12</v>
      </c>
      <c r="P695" s="22" t="n">
        <v>0.654</v>
      </c>
      <c r="Q695" s="22" t="n">
        <v>65.4</v>
      </c>
      <c r="R695" s="22" t="n">
        <v>4.15</v>
      </c>
      <c r="S695" s="22" t="n">
        <v>4150</v>
      </c>
      <c r="T695" s="22" t="n">
        <v>1.56</v>
      </c>
      <c r="U695" s="22" t="n">
        <f aca="false">C695*1</f>
        <v>930</v>
      </c>
      <c r="V695" s="22" t="n">
        <f aca="false">VLOOKUP(U695,'Powder Core Toroid OD'!$A$2:$B$36,2,0)</f>
        <v>26.9</v>
      </c>
    </row>
    <row r="696" customFormat="false" ht="14.4" hidden="false" customHeight="false" outlineLevel="0" collapsed="false">
      <c r="A696" s="45" t="n">
        <v>78051</v>
      </c>
      <c r="B696" s="22" t="s">
        <v>772</v>
      </c>
      <c r="C696" s="23" t="s">
        <v>243</v>
      </c>
      <c r="D696" s="22" t="n">
        <v>60</v>
      </c>
      <c r="E696" s="22" t="s">
        <v>223</v>
      </c>
      <c r="F696" s="22" t="n">
        <v>27</v>
      </c>
      <c r="G696" s="22" t="s">
        <v>51</v>
      </c>
      <c r="H696" s="22" t="n">
        <v>3.12</v>
      </c>
      <c r="I696" s="22" t="n">
        <v>31.2</v>
      </c>
      <c r="J696" s="22" t="n">
        <v>0.275</v>
      </c>
      <c r="K696" s="22" t="n">
        <v>6.98</v>
      </c>
      <c r="L696" s="43" t="n">
        <v>0.53</v>
      </c>
      <c r="M696" s="22" t="n">
        <v>13.5</v>
      </c>
      <c r="N696" s="22" t="n">
        <v>0.217</v>
      </c>
      <c r="O696" s="22" t="n">
        <v>5.52</v>
      </c>
      <c r="P696" s="22" t="n">
        <v>0.109</v>
      </c>
      <c r="Q696" s="22" t="n">
        <v>10.9</v>
      </c>
      <c r="R696" s="22" t="n">
        <v>0.34</v>
      </c>
      <c r="S696" s="22" t="n">
        <v>340</v>
      </c>
      <c r="T696" s="22" t="n">
        <v>0.383</v>
      </c>
      <c r="U696" s="22" t="n">
        <f aca="false">C696*1</f>
        <v>50</v>
      </c>
      <c r="V696" s="22" t="n">
        <f aca="false">VLOOKUP(U696,'Powder Core Toroid OD'!$A$2:$B$36,2,0)</f>
        <v>12.7</v>
      </c>
    </row>
    <row r="697" customFormat="false" ht="14.4" hidden="false" customHeight="false" outlineLevel="0" collapsed="false">
      <c r="A697" s="45" t="n">
        <v>78059</v>
      </c>
      <c r="B697" s="22" t="s">
        <v>773</v>
      </c>
      <c r="C697" s="23" t="n">
        <v>310</v>
      </c>
      <c r="D697" s="22" t="n">
        <v>60</v>
      </c>
      <c r="E697" s="22" t="s">
        <v>223</v>
      </c>
      <c r="F697" s="22" t="n">
        <v>43</v>
      </c>
      <c r="G697" s="22" t="s">
        <v>51</v>
      </c>
      <c r="H697" s="22" t="n">
        <v>5.67</v>
      </c>
      <c r="I697" s="22" t="n">
        <v>56.7</v>
      </c>
      <c r="J697" s="22" t="n">
        <v>0.525</v>
      </c>
      <c r="K697" s="22" t="n">
        <v>13.3</v>
      </c>
      <c r="L697" s="43" t="n">
        <v>0.93</v>
      </c>
      <c r="M697" s="22" t="n">
        <v>23.7</v>
      </c>
      <c r="N697" s="43" t="n">
        <v>0.33</v>
      </c>
      <c r="O697" s="22" t="n">
        <v>8.39</v>
      </c>
      <c r="P697" s="22" t="n">
        <v>0.317</v>
      </c>
      <c r="Q697" s="22" t="n">
        <v>31.7</v>
      </c>
      <c r="R697" s="42" t="n">
        <v>1.8</v>
      </c>
      <c r="S697" s="22" t="n">
        <v>1800</v>
      </c>
      <c r="T697" s="22" t="n">
        <v>1.39</v>
      </c>
      <c r="U697" s="22" t="n">
        <f aca="false">C697*1</f>
        <v>310</v>
      </c>
      <c r="V697" s="22" t="n">
        <f aca="false">VLOOKUP(U697,'Powder Core Toroid OD'!$A$2:$B$36,2,0)</f>
        <v>22.9</v>
      </c>
    </row>
    <row r="698" customFormat="false" ht="14.4" hidden="false" customHeight="false" outlineLevel="0" collapsed="false">
      <c r="A698" s="45" t="n">
        <v>78071</v>
      </c>
      <c r="B698" s="22" t="s">
        <v>774</v>
      </c>
      <c r="C698" s="23" t="n">
        <v>548</v>
      </c>
      <c r="D698" s="22" t="n">
        <v>60</v>
      </c>
      <c r="E698" s="22" t="s">
        <v>223</v>
      </c>
      <c r="F698" s="22" t="n">
        <v>61</v>
      </c>
      <c r="G698" s="22" t="s">
        <v>51</v>
      </c>
      <c r="H698" s="22" t="n">
        <v>8.14</v>
      </c>
      <c r="I698" s="22" t="n">
        <v>81.4</v>
      </c>
      <c r="J698" s="22" t="n">
        <v>0.766</v>
      </c>
      <c r="K698" s="22" t="n">
        <v>19.4</v>
      </c>
      <c r="L698" s="22" t="n">
        <v>1.325</v>
      </c>
      <c r="M698" s="22" t="n">
        <v>33.66</v>
      </c>
      <c r="N698" s="43" t="n">
        <v>0.45</v>
      </c>
      <c r="O698" s="22" t="n">
        <v>11.5</v>
      </c>
      <c r="P698" s="22" t="n">
        <v>0.656</v>
      </c>
      <c r="Q698" s="22" t="n">
        <v>65.6</v>
      </c>
      <c r="R698" s="42" t="n">
        <v>5.34</v>
      </c>
      <c r="S698" s="22" t="n">
        <v>5340</v>
      </c>
      <c r="T698" s="22" t="n">
        <v>2.97</v>
      </c>
      <c r="U698" s="22" t="n">
        <f aca="false">C698*1</f>
        <v>548</v>
      </c>
      <c r="V698" s="22" t="n">
        <f aca="false">VLOOKUP(U698,'Powder Core Toroid OD'!$A$2:$B$36,2,0)</f>
        <v>32.8</v>
      </c>
    </row>
    <row r="699" customFormat="false" ht="14.4" hidden="false" customHeight="false" outlineLevel="0" collapsed="false">
      <c r="A699" s="45" t="n">
        <v>78076</v>
      </c>
      <c r="B699" s="22" t="s">
        <v>775</v>
      </c>
      <c r="C699" s="23" t="n">
        <v>324</v>
      </c>
      <c r="D699" s="22" t="n">
        <v>60</v>
      </c>
      <c r="E699" s="22" t="s">
        <v>223</v>
      </c>
      <c r="F699" s="22" t="n">
        <v>56</v>
      </c>
      <c r="G699" s="22" t="s">
        <v>51</v>
      </c>
      <c r="H699" s="22" t="n">
        <v>8.98</v>
      </c>
      <c r="I699" s="22" t="n">
        <v>89.8</v>
      </c>
      <c r="J699" s="22" t="n">
        <v>0.848</v>
      </c>
      <c r="K699" s="22" t="n">
        <v>21.5</v>
      </c>
      <c r="L699" s="22" t="n">
        <v>1.445</v>
      </c>
      <c r="M699" s="22" t="n">
        <v>36.71</v>
      </c>
      <c r="N699" s="22" t="n">
        <v>0.447</v>
      </c>
      <c r="O699" s="22" t="n">
        <v>11.4</v>
      </c>
      <c r="P699" s="22" t="n">
        <v>0.678</v>
      </c>
      <c r="Q699" s="22" t="n">
        <v>67.8</v>
      </c>
      <c r="R699" s="42" t="n">
        <v>6.09</v>
      </c>
      <c r="S699" s="22" t="n">
        <v>6090</v>
      </c>
      <c r="T699" s="22" t="n">
        <v>3.64</v>
      </c>
      <c r="U699" s="22" t="n">
        <f aca="false">C699*1</f>
        <v>324</v>
      </c>
      <c r="V699" s="22" t="n">
        <f aca="false">VLOOKUP(U699,'Powder Core Toroid OD'!$A$2:$B$36,2,0)</f>
        <v>35.8</v>
      </c>
    </row>
    <row r="700" customFormat="false" ht="14.4" hidden="false" customHeight="false" outlineLevel="0" collapsed="false">
      <c r="A700" s="45" t="n">
        <v>78083</v>
      </c>
      <c r="B700" s="22" t="s">
        <v>776</v>
      </c>
      <c r="C700" s="23" t="n">
        <v>254</v>
      </c>
      <c r="D700" s="22" t="n">
        <v>60</v>
      </c>
      <c r="E700" s="22" t="s">
        <v>223</v>
      </c>
      <c r="F700" s="22" t="n">
        <v>81</v>
      </c>
      <c r="G700" s="22" t="s">
        <v>51</v>
      </c>
      <c r="H700" s="22" t="n">
        <v>9.84</v>
      </c>
      <c r="I700" s="22" t="n">
        <v>98.4</v>
      </c>
      <c r="J700" s="22" t="n">
        <v>0.918</v>
      </c>
      <c r="K700" s="22" t="n">
        <v>23.3</v>
      </c>
      <c r="L700" s="22" t="n">
        <v>1.605</v>
      </c>
      <c r="M700" s="22" t="n">
        <v>40.77</v>
      </c>
      <c r="N700" s="22" t="n">
        <v>0.605</v>
      </c>
      <c r="O700" s="22" t="n">
        <v>15.4</v>
      </c>
      <c r="P700" s="22" t="n">
        <v>1.07</v>
      </c>
      <c r="Q700" s="22" t="n">
        <v>107</v>
      </c>
      <c r="R700" s="36" t="n">
        <v>10.6</v>
      </c>
      <c r="S700" s="22" t="n">
        <v>10600</v>
      </c>
      <c r="T700" s="22" t="n">
        <v>4.27</v>
      </c>
      <c r="U700" s="22" t="n">
        <f aca="false">C700*1</f>
        <v>254</v>
      </c>
      <c r="V700" s="22" t="n">
        <f aca="false">VLOOKUP(U700,'Powder Core Toroid OD'!$A$2:$B$36,2,0)</f>
        <v>39.9</v>
      </c>
    </row>
    <row r="701" s="38" customFormat="true" ht="14.4" hidden="false" customHeight="false" outlineLevel="0" collapsed="false">
      <c r="A701" s="35" t="n">
        <v>78090</v>
      </c>
      <c r="B701" s="22" t="s">
        <v>777</v>
      </c>
      <c r="C701" s="23" t="s">
        <v>258</v>
      </c>
      <c r="D701" s="22" t="n">
        <v>60</v>
      </c>
      <c r="E701" s="22" t="s">
        <v>223</v>
      </c>
      <c r="F701" s="22" t="n">
        <v>86</v>
      </c>
      <c r="G701" s="22" t="s">
        <v>51</v>
      </c>
      <c r="H701" s="22" t="n">
        <v>11.6</v>
      </c>
      <c r="I701" s="22" t="n">
        <v>116</v>
      </c>
      <c r="J701" s="22" t="n">
        <v>1.098</v>
      </c>
      <c r="K701" s="22" t="n">
        <v>27.88</v>
      </c>
      <c r="L701" s="22" t="n">
        <v>1.875</v>
      </c>
      <c r="M701" s="22" t="n">
        <v>47.63</v>
      </c>
      <c r="N701" s="22" t="n">
        <v>0.635</v>
      </c>
      <c r="O701" s="22" t="n">
        <v>16.1</v>
      </c>
      <c r="P701" s="22" t="n">
        <v>1.34</v>
      </c>
      <c r="Q701" s="22" t="n">
        <v>134</v>
      </c>
      <c r="R701" s="22" t="n">
        <v>15.6</v>
      </c>
      <c r="S701" s="22" t="n">
        <v>15600</v>
      </c>
      <c r="T701" s="22" t="n">
        <v>6.1</v>
      </c>
      <c r="U701" s="22" t="n">
        <f aca="false">C701*1</f>
        <v>89</v>
      </c>
      <c r="V701" s="22" t="n">
        <f aca="false">VLOOKUP(U701,'Powder Core Toroid OD'!$A$2:$B$36,2,0)</f>
        <v>46.7</v>
      </c>
    </row>
    <row r="702" s="38" customFormat="true" ht="14.4" hidden="false" customHeight="false" outlineLevel="0" collapsed="false">
      <c r="A702" s="35" t="n">
        <v>78110</v>
      </c>
      <c r="B702" s="22" t="s">
        <v>778</v>
      </c>
      <c r="C702" s="23" t="n">
        <v>109</v>
      </c>
      <c r="D702" s="22" t="n">
        <v>60</v>
      </c>
      <c r="E702" s="22" t="s">
        <v>223</v>
      </c>
      <c r="F702" s="22" t="n">
        <v>75</v>
      </c>
      <c r="G702" s="22" t="s">
        <v>51</v>
      </c>
      <c r="H702" s="22" t="n">
        <v>14.3</v>
      </c>
      <c r="I702" s="22" t="n">
        <v>143</v>
      </c>
      <c r="J702" s="22" t="n">
        <v>1.368</v>
      </c>
      <c r="K702" s="22" t="n">
        <v>34.74</v>
      </c>
      <c r="L702" s="22" t="n">
        <v>2.285</v>
      </c>
      <c r="M702" s="22" t="n">
        <v>58.04</v>
      </c>
      <c r="N702" s="22" t="n">
        <v>0.585</v>
      </c>
      <c r="O702" s="22" t="n">
        <v>14.9</v>
      </c>
      <c r="P702" s="22" t="n">
        <v>1.44</v>
      </c>
      <c r="Q702" s="22" t="n">
        <v>144</v>
      </c>
      <c r="R702" s="22" t="n">
        <v>20.7</v>
      </c>
      <c r="S702" s="22" t="n">
        <v>20700</v>
      </c>
      <c r="T702" s="22" t="n">
        <v>9.48</v>
      </c>
      <c r="U702" s="22" t="n">
        <f aca="false">C702*1</f>
        <v>109</v>
      </c>
      <c r="V702" s="22" t="n">
        <f aca="false">VLOOKUP(U702,'Powder Core Toroid OD'!$A$2:$B$36,2,0)</f>
        <v>57.2</v>
      </c>
    </row>
    <row r="703" s="38" customFormat="true" ht="14.4" hidden="false" customHeight="false" outlineLevel="0" collapsed="false">
      <c r="A703" s="35" t="n">
        <v>78121</v>
      </c>
      <c r="B703" s="22" t="s">
        <v>779</v>
      </c>
      <c r="C703" s="23" t="n">
        <v>120</v>
      </c>
      <c r="D703" s="22" t="n">
        <v>60</v>
      </c>
      <c r="E703" s="22" t="s">
        <v>223</v>
      </c>
      <c r="F703" s="22" t="n">
        <v>35</v>
      </c>
      <c r="G703" s="22" t="s">
        <v>51</v>
      </c>
      <c r="H703" s="22" t="n">
        <v>4.12</v>
      </c>
      <c r="I703" s="22" t="n">
        <v>41.2</v>
      </c>
      <c r="J703" s="22" t="n">
        <v>0.375</v>
      </c>
      <c r="K703" s="22" t="n">
        <v>9.52</v>
      </c>
      <c r="L703" s="43" t="n">
        <v>0.68</v>
      </c>
      <c r="M703" s="22" t="n">
        <v>17.3</v>
      </c>
      <c r="N703" s="43" t="n">
        <v>0.28</v>
      </c>
      <c r="O703" s="22" t="n">
        <v>7.12</v>
      </c>
      <c r="P703" s="22" t="n">
        <v>0.192</v>
      </c>
      <c r="Q703" s="22" t="n">
        <v>19.2</v>
      </c>
      <c r="R703" s="22" t="n">
        <v>0.791</v>
      </c>
      <c r="S703" s="22" t="n">
        <v>791</v>
      </c>
      <c r="T703" s="22" t="n">
        <v>0.712</v>
      </c>
      <c r="U703" s="22" t="n">
        <f aca="false">C703*1</f>
        <v>120</v>
      </c>
      <c r="V703" s="22" t="n">
        <f aca="false">VLOOKUP(U703,'Powder Core Toroid OD'!$A$2:$B$36,2,0)</f>
        <v>16.6</v>
      </c>
    </row>
    <row r="704" s="38" customFormat="true" ht="14.4" hidden="false" customHeight="false" outlineLevel="0" collapsed="false">
      <c r="A704" s="35" t="n">
        <v>78192</v>
      </c>
      <c r="B704" s="22" t="s">
        <v>780</v>
      </c>
      <c r="C704" s="23" t="n">
        <v>195</v>
      </c>
      <c r="D704" s="22" t="n">
        <v>60</v>
      </c>
      <c r="E704" s="22" t="s">
        <v>223</v>
      </c>
      <c r="F704" s="22" t="n">
        <v>138</v>
      </c>
      <c r="G704" s="22" t="s">
        <v>51</v>
      </c>
      <c r="H704" s="22" t="n">
        <v>12.5</v>
      </c>
      <c r="I704" s="22" t="n">
        <v>125</v>
      </c>
      <c r="J704" s="22" t="n">
        <v>1.007</v>
      </c>
      <c r="K704" s="22" t="n">
        <v>25.57</v>
      </c>
      <c r="L704" s="22" t="n">
        <v>2.285</v>
      </c>
      <c r="M704" s="22" t="n">
        <v>58.04</v>
      </c>
      <c r="N704" s="22" t="n">
        <v>0.635</v>
      </c>
      <c r="O704" s="22" t="n">
        <v>16.2</v>
      </c>
      <c r="P704" s="22" t="n">
        <v>2.29</v>
      </c>
      <c r="Q704" s="22" t="n">
        <v>229</v>
      </c>
      <c r="R704" s="22" t="n">
        <v>28.6</v>
      </c>
      <c r="S704" s="22" t="n">
        <v>28600</v>
      </c>
      <c r="T704" s="22" t="n">
        <v>5.14</v>
      </c>
      <c r="U704" s="22" t="n">
        <f aca="false">C704*1</f>
        <v>195</v>
      </c>
      <c r="V704" s="22" t="n">
        <f aca="false">VLOOKUP(U704,'Powder Core Toroid OD'!$A$2:$B$36,2,0)</f>
        <v>57.2</v>
      </c>
    </row>
    <row r="705" s="38" customFormat="true" ht="14.4" hidden="false" customHeight="false" outlineLevel="0" collapsed="false">
      <c r="A705" s="35" t="n">
        <v>78351</v>
      </c>
      <c r="B705" s="22" t="s">
        <v>781</v>
      </c>
      <c r="C705" s="23" t="n">
        <v>350</v>
      </c>
      <c r="D705" s="22" t="n">
        <v>60</v>
      </c>
      <c r="E705" s="22" t="s">
        <v>223</v>
      </c>
      <c r="F705" s="22" t="n">
        <v>51</v>
      </c>
      <c r="G705" s="22" t="s">
        <v>51</v>
      </c>
      <c r="H705" s="22" t="n">
        <v>5.88</v>
      </c>
      <c r="I705" s="22" t="n">
        <v>58.8</v>
      </c>
      <c r="J705" s="22" t="n">
        <v>0.542</v>
      </c>
      <c r="K705" s="22" t="n">
        <v>13.7</v>
      </c>
      <c r="L705" s="22" t="n">
        <v>0.958</v>
      </c>
      <c r="M705" s="22" t="n">
        <v>24.4</v>
      </c>
      <c r="N705" s="43" t="n">
        <v>0.38</v>
      </c>
      <c r="O705" s="22" t="n">
        <v>9.66</v>
      </c>
      <c r="P705" s="22" t="n">
        <v>0.388</v>
      </c>
      <c r="Q705" s="22" t="n">
        <v>38.8</v>
      </c>
      <c r="R705" s="42" t="n">
        <v>2.28144</v>
      </c>
      <c r="S705" s="22" t="n">
        <v>2280</v>
      </c>
      <c r="T705" s="22" t="n">
        <v>1.49</v>
      </c>
      <c r="U705" s="22" t="n">
        <f aca="false">C705*1</f>
        <v>350</v>
      </c>
      <c r="V705" s="22" t="n">
        <f aca="false">VLOOKUP(U705,'Powder Core Toroid OD'!$A$2:$B$36,2,0)</f>
        <v>23.6</v>
      </c>
    </row>
    <row r="706" s="38" customFormat="true" ht="14.4" hidden="false" customHeight="false" outlineLevel="0" collapsed="false">
      <c r="A706" s="35" t="n">
        <v>78381</v>
      </c>
      <c r="B706" s="22" t="s">
        <v>782</v>
      </c>
      <c r="C706" s="23" t="n">
        <v>380</v>
      </c>
      <c r="D706" s="22" t="n">
        <v>60</v>
      </c>
      <c r="E706" s="22" t="s">
        <v>223</v>
      </c>
      <c r="F706" s="22" t="n">
        <v>43</v>
      </c>
      <c r="G706" s="22" t="s">
        <v>51</v>
      </c>
      <c r="H706" s="22" t="n">
        <v>4.14</v>
      </c>
      <c r="I706" s="22" t="n">
        <v>41.4</v>
      </c>
      <c r="J706" s="22" t="n">
        <v>0.355</v>
      </c>
      <c r="K706" s="22" t="n">
        <v>9.01</v>
      </c>
      <c r="L706" s="43" t="n">
        <v>0.71</v>
      </c>
      <c r="M706" s="22" t="n">
        <v>18.1</v>
      </c>
      <c r="N706" s="43" t="n">
        <v>0.28</v>
      </c>
      <c r="O706" s="22" t="n">
        <v>7.12</v>
      </c>
      <c r="P706" s="22" t="n">
        <v>0.232</v>
      </c>
      <c r="Q706" s="22" t="n">
        <v>23.2</v>
      </c>
      <c r="R706" s="43" t="n">
        <v>0.96048</v>
      </c>
      <c r="S706" s="22" t="n">
        <v>960</v>
      </c>
      <c r="T706" s="22" t="n">
        <v>0.638</v>
      </c>
      <c r="U706" s="22" t="n">
        <f aca="false">C706*1</f>
        <v>380</v>
      </c>
      <c r="V706" s="22" t="n">
        <f aca="false">VLOOKUP(U706,'Powder Core Toroid OD'!$A$2:$B$36,2,0)</f>
        <v>17.3</v>
      </c>
    </row>
    <row r="707" s="38" customFormat="true" ht="14.4" hidden="false" customHeight="false" outlineLevel="0" collapsed="false">
      <c r="A707" s="35" t="n">
        <v>78439</v>
      </c>
      <c r="B707" s="22" t="s">
        <v>783</v>
      </c>
      <c r="C707" s="23" t="n">
        <v>438</v>
      </c>
      <c r="D707" s="22" t="n">
        <v>60</v>
      </c>
      <c r="E707" s="22" t="s">
        <v>223</v>
      </c>
      <c r="F707" s="22" t="n">
        <v>135</v>
      </c>
      <c r="G707" s="22" t="s">
        <v>51</v>
      </c>
      <c r="H707" s="22" t="n">
        <v>10.7</v>
      </c>
      <c r="I707" s="22" t="n">
        <v>107</v>
      </c>
      <c r="J707" s="22" t="n">
        <v>0.918</v>
      </c>
      <c r="K707" s="22" t="n">
        <v>23.3</v>
      </c>
      <c r="L707" s="22" t="n">
        <v>1.875</v>
      </c>
      <c r="M707" s="22" t="n">
        <v>47.63</v>
      </c>
      <c r="N707" s="22" t="n">
        <v>0.745</v>
      </c>
      <c r="O707" s="36" t="n">
        <v>19</v>
      </c>
      <c r="P707" s="22" t="n">
        <v>1.99</v>
      </c>
      <c r="Q707" s="22" t="n">
        <v>199</v>
      </c>
      <c r="R707" s="22" t="n">
        <v>21.3</v>
      </c>
      <c r="S707" s="22" t="n">
        <v>21300</v>
      </c>
      <c r="T707" s="22" t="n">
        <v>4.27</v>
      </c>
      <c r="U707" s="22" t="n">
        <f aca="false">C707*1</f>
        <v>438</v>
      </c>
      <c r="V707" s="22" t="n">
        <f aca="false">VLOOKUP(U707,'Powder Core Toroid OD'!$A$2:$B$36,2,0)</f>
        <v>46.7</v>
      </c>
    </row>
    <row r="708" s="38" customFormat="true" ht="14.4" hidden="false" customHeight="false" outlineLevel="0" collapsed="false">
      <c r="A708" s="35" t="n">
        <v>78586</v>
      </c>
      <c r="B708" s="22" t="s">
        <v>784</v>
      </c>
      <c r="C708" s="23" t="n">
        <v>585</v>
      </c>
      <c r="D708" s="22" t="n">
        <v>60</v>
      </c>
      <c r="E708" s="22" t="s">
        <v>223</v>
      </c>
      <c r="F708" s="22" t="n">
        <v>38</v>
      </c>
      <c r="G708" s="22" t="s">
        <v>51</v>
      </c>
      <c r="H708" s="22" t="n">
        <v>8.95</v>
      </c>
      <c r="I708" s="22" t="n">
        <v>89.5</v>
      </c>
      <c r="J708" s="22" t="n">
        <v>0.888</v>
      </c>
      <c r="K708" s="22" t="n">
        <v>22.5</v>
      </c>
      <c r="L708" s="22" t="n">
        <v>1.385</v>
      </c>
      <c r="M708" s="22" t="n">
        <v>35.18</v>
      </c>
      <c r="N708" s="22" t="n">
        <v>0.385</v>
      </c>
      <c r="O708" s="22" t="n">
        <v>9.78</v>
      </c>
      <c r="P708" s="22" t="n">
        <v>0.464</v>
      </c>
      <c r="Q708" s="22" t="n">
        <v>46.4</v>
      </c>
      <c r="R708" s="42" t="n">
        <v>4.15</v>
      </c>
      <c r="S708" s="22" t="n">
        <v>4150</v>
      </c>
      <c r="T708" s="22" t="n">
        <v>3.99</v>
      </c>
      <c r="U708" s="22" t="n">
        <f aca="false">C708*1</f>
        <v>585</v>
      </c>
      <c r="V708" s="22" t="n">
        <f aca="false">VLOOKUP(U708,'Powder Core Toroid OD'!$A$2:$B$36,2,0)</f>
        <v>34.3</v>
      </c>
    </row>
    <row r="709" s="38" customFormat="true" ht="14.25" hidden="false" customHeight="true" outlineLevel="0" collapsed="false">
      <c r="A709" s="35" t="n">
        <v>78716</v>
      </c>
      <c r="B709" s="22" t="s">
        <v>785</v>
      </c>
      <c r="C709" s="23" t="n">
        <v>715</v>
      </c>
      <c r="D709" s="22" t="n">
        <v>60</v>
      </c>
      <c r="E709" s="22" t="s">
        <v>223</v>
      </c>
      <c r="F709" s="22" t="n">
        <v>73</v>
      </c>
      <c r="G709" s="22" t="s">
        <v>51</v>
      </c>
      <c r="H709" s="22" t="n">
        <v>12.7</v>
      </c>
      <c r="I709" s="22" t="n">
        <v>127</v>
      </c>
      <c r="J709" s="22" t="n">
        <v>1.218</v>
      </c>
      <c r="K709" s="22" t="n">
        <v>30.93</v>
      </c>
      <c r="L709" s="22" t="n">
        <v>2.035</v>
      </c>
      <c r="M709" s="22" t="n">
        <v>51.69</v>
      </c>
      <c r="N709" s="22" t="n">
        <v>0.565</v>
      </c>
      <c r="O709" s="22" t="n">
        <v>14.4</v>
      </c>
      <c r="P709" s="22" t="n">
        <v>1.25</v>
      </c>
      <c r="Q709" s="22" t="n">
        <v>125</v>
      </c>
      <c r="R709" s="22" t="n">
        <v>15.9</v>
      </c>
      <c r="S709" s="22" t="n">
        <v>15900</v>
      </c>
      <c r="T709" s="22" t="n">
        <v>7.51</v>
      </c>
      <c r="U709" s="22" t="n">
        <f aca="false">C709*1</f>
        <v>715</v>
      </c>
      <c r="V709" s="22" t="n">
        <f aca="false">VLOOKUP(U709,'Powder Core Toroid OD'!$A$2:$B$36,2,0)</f>
        <v>50.8</v>
      </c>
    </row>
    <row r="710" s="38" customFormat="true" ht="14.4" hidden="false" customHeight="false" outlineLevel="0" collapsed="false">
      <c r="A710" s="35" t="n">
        <v>78848</v>
      </c>
      <c r="B710" s="22" t="s">
        <v>786</v>
      </c>
      <c r="C710" s="23" t="n">
        <v>206</v>
      </c>
      <c r="D710" s="22" t="n">
        <v>60</v>
      </c>
      <c r="E710" s="22" t="s">
        <v>223</v>
      </c>
      <c r="F710" s="22" t="n">
        <v>32</v>
      </c>
      <c r="G710" s="22" t="s">
        <v>51</v>
      </c>
      <c r="H710" s="22" t="n">
        <v>5.09</v>
      </c>
      <c r="I710" s="22" t="n">
        <v>50.9</v>
      </c>
      <c r="J710" s="22" t="n">
        <v>0.475</v>
      </c>
      <c r="K710" s="36" t="n">
        <v>12</v>
      </c>
      <c r="L710" s="43" t="n">
        <v>0.83</v>
      </c>
      <c r="M710" s="22" t="n">
        <v>21.1</v>
      </c>
      <c r="N710" s="43" t="n">
        <v>0.28</v>
      </c>
      <c r="O710" s="22" t="n">
        <v>7.12</v>
      </c>
      <c r="P710" s="22" t="n">
        <v>0.221</v>
      </c>
      <c r="Q710" s="22" t="n">
        <v>22.1</v>
      </c>
      <c r="R710" s="42" t="n">
        <v>1.12</v>
      </c>
      <c r="S710" s="22" t="n">
        <v>1120</v>
      </c>
      <c r="T710" s="22" t="n">
        <v>1.14</v>
      </c>
      <c r="U710" s="22" t="n">
        <f aca="false">C710*1</f>
        <v>206</v>
      </c>
      <c r="V710" s="22" t="n">
        <f aca="false">VLOOKUP(U710,'Powder Core Toroid OD'!$A$2:$B$36,2,0)</f>
        <v>20.3</v>
      </c>
    </row>
    <row r="711" s="38" customFormat="true" ht="14.4" hidden="false" customHeight="false" outlineLevel="0" collapsed="false">
      <c r="A711" s="35" t="n">
        <v>78867</v>
      </c>
      <c r="B711" s="22" t="s">
        <v>787</v>
      </c>
      <c r="C711" s="23" t="n">
        <v>866</v>
      </c>
      <c r="D711" s="22" t="n">
        <v>60</v>
      </c>
      <c r="E711" s="22" t="s">
        <v>223</v>
      </c>
      <c r="F711" s="22" t="n">
        <v>68</v>
      </c>
      <c r="G711" s="22" t="s">
        <v>51</v>
      </c>
      <c r="H711" s="22" t="n">
        <v>19.6</v>
      </c>
      <c r="I711" s="22" t="n">
        <v>196</v>
      </c>
      <c r="J711" s="22" t="n">
        <v>1.898</v>
      </c>
      <c r="K711" s="42" t="n">
        <v>48.2</v>
      </c>
      <c r="L711" s="22" t="n">
        <v>3.108</v>
      </c>
      <c r="M711" s="22" t="n">
        <v>78.95</v>
      </c>
      <c r="N711" s="22" t="n">
        <v>0.545</v>
      </c>
      <c r="O711" s="22" t="n">
        <v>13.9</v>
      </c>
      <c r="P711" s="22" t="n">
        <v>1.76</v>
      </c>
      <c r="Q711" s="22" t="n">
        <v>176</v>
      </c>
      <c r="R711" s="22" t="n">
        <v>34.5</v>
      </c>
      <c r="S711" s="22" t="n">
        <v>34500</v>
      </c>
      <c r="T711" s="22" t="n">
        <v>18.2</v>
      </c>
      <c r="U711" s="22" t="n">
        <f aca="false">C711*1</f>
        <v>866</v>
      </c>
      <c r="V711" s="22" t="n">
        <f aca="false">VLOOKUP(U711,'Powder Core Toroid OD'!$A$2:$B$36,2,0)</f>
        <v>77.8</v>
      </c>
    </row>
    <row r="712" s="38" customFormat="true" ht="14.4" hidden="false" customHeight="false" outlineLevel="0" collapsed="false">
      <c r="A712" s="35" t="n">
        <v>78894</v>
      </c>
      <c r="B712" s="22" t="s">
        <v>788</v>
      </c>
      <c r="C712" s="23" t="n">
        <v>930</v>
      </c>
      <c r="D712" s="22" t="n">
        <v>60</v>
      </c>
      <c r="E712" s="22" t="s">
        <v>223</v>
      </c>
      <c r="F712" s="22" t="n">
        <v>75</v>
      </c>
      <c r="G712" s="22" t="s">
        <v>51</v>
      </c>
      <c r="H712" s="22" t="n">
        <v>6.35</v>
      </c>
      <c r="I712" s="22" t="n">
        <v>63.5</v>
      </c>
      <c r="J712" s="22" t="n">
        <v>0.555</v>
      </c>
      <c r="K712" s="22" t="n">
        <v>14.1</v>
      </c>
      <c r="L712" s="43" t="n">
        <v>1.09</v>
      </c>
      <c r="M712" s="22" t="n">
        <v>27.69</v>
      </c>
      <c r="N712" s="43" t="n">
        <v>0.47</v>
      </c>
      <c r="O712" s="36" t="n">
        <v>12</v>
      </c>
      <c r="P712" s="22" t="n">
        <v>0.654</v>
      </c>
      <c r="Q712" s="22" t="n">
        <v>65.4</v>
      </c>
      <c r="R712" s="22" t="n">
        <v>4.15</v>
      </c>
      <c r="S712" s="22" t="n">
        <v>4150</v>
      </c>
      <c r="T712" s="22" t="n">
        <v>1.56</v>
      </c>
      <c r="U712" s="22" t="n">
        <f aca="false">C712*1</f>
        <v>930</v>
      </c>
      <c r="V712" s="22" t="n">
        <f aca="false">VLOOKUP(U712,'Powder Core Toroid OD'!$A$2:$B$36,2,0)</f>
        <v>26.9</v>
      </c>
    </row>
    <row r="713" s="38" customFormat="true" ht="14.4" hidden="false" customHeight="false" outlineLevel="0" collapsed="false">
      <c r="A713" s="35" t="n">
        <v>78907</v>
      </c>
      <c r="B713" s="22" t="s">
        <v>789</v>
      </c>
      <c r="C713" s="23" t="n">
        <v>906</v>
      </c>
      <c r="D713" s="22" t="n">
        <v>60</v>
      </c>
      <c r="E713" s="22" t="s">
        <v>223</v>
      </c>
      <c r="F713" s="22" t="n">
        <v>85</v>
      </c>
      <c r="G713" s="22" t="s">
        <v>51</v>
      </c>
      <c r="H713" s="22" t="n">
        <v>19.6</v>
      </c>
      <c r="I713" s="22" t="n">
        <v>196</v>
      </c>
      <c r="J713" s="22" t="n">
        <v>1.898</v>
      </c>
      <c r="K713" s="42" t="n">
        <v>48.2</v>
      </c>
      <c r="L713" s="22" t="n">
        <v>3.108</v>
      </c>
      <c r="M713" s="22" t="n">
        <v>78.95</v>
      </c>
      <c r="N713" s="43" t="n">
        <v>0.67</v>
      </c>
      <c r="O713" s="22" t="n">
        <v>17.1</v>
      </c>
      <c r="P713" s="22" t="n">
        <v>2.21</v>
      </c>
      <c r="Q713" s="22" t="n">
        <v>221</v>
      </c>
      <c r="R713" s="22" t="n">
        <v>43.4</v>
      </c>
      <c r="S713" s="22" t="n">
        <v>43400</v>
      </c>
      <c r="T713" s="22" t="n">
        <v>18.2</v>
      </c>
      <c r="U713" s="22" t="n">
        <f aca="false">C713*1</f>
        <v>906</v>
      </c>
      <c r="V713" s="22" t="n">
        <f aca="false">VLOOKUP(U713,'Powder Core Toroid OD'!$A$2:$B$36,2,0)</f>
        <v>77.8</v>
      </c>
    </row>
    <row r="714" s="46" customFormat="true" ht="14.4" hidden="true" customHeight="false" outlineLevel="0" collapsed="false">
      <c r="A714" s="30" t="n">
        <v>8020</v>
      </c>
      <c r="B714" s="46" t="s">
        <v>790</v>
      </c>
      <c r="C714" s="31" t="s">
        <v>791</v>
      </c>
      <c r="D714" s="31" t="n">
        <v>26</v>
      </c>
      <c r="E714" s="31" t="s">
        <v>33</v>
      </c>
      <c r="F714" s="31" t="n">
        <v>64</v>
      </c>
      <c r="G714" s="31" t="s">
        <v>167</v>
      </c>
      <c r="H714" s="31" t="n">
        <v>27.3</v>
      </c>
      <c r="I714" s="31" t="n">
        <v>273</v>
      </c>
      <c r="J714" s="31" t="n">
        <v>1.525</v>
      </c>
      <c r="K714" s="31" t="n">
        <v>38.74</v>
      </c>
      <c r="L714" s="31" t="n">
        <v>3.185</v>
      </c>
      <c r="M714" s="32" t="n">
        <v>80.9</v>
      </c>
      <c r="N714" s="31" t="n">
        <v>0.795</v>
      </c>
      <c r="O714" s="31" t="n">
        <v>20.2</v>
      </c>
      <c r="P714" s="31" t="n">
        <v>1.95</v>
      </c>
      <c r="Q714" s="31" t="n">
        <v>195</v>
      </c>
      <c r="R714" s="31" t="n">
        <v>53.2</v>
      </c>
      <c r="S714" s="31" t="n">
        <v>53200</v>
      </c>
      <c r="T714" s="31"/>
    </row>
    <row r="715" s="46" customFormat="true" ht="14.4" hidden="true" customHeight="false" outlineLevel="0" collapsed="false">
      <c r="A715" s="30" t="n">
        <v>8020</v>
      </c>
      <c r="B715" s="46" t="s">
        <v>792</v>
      </c>
      <c r="C715" s="31" t="s">
        <v>791</v>
      </c>
      <c r="D715" s="31" t="n">
        <v>26</v>
      </c>
      <c r="E715" s="31" t="s">
        <v>33</v>
      </c>
      <c r="F715" s="31" t="n">
        <v>103</v>
      </c>
      <c r="G715" s="31" t="s">
        <v>44</v>
      </c>
      <c r="H715" s="31" t="n">
        <v>18.5</v>
      </c>
      <c r="I715" s="31" t="n">
        <v>185</v>
      </c>
      <c r="J715" s="31" t="n">
        <v>1.525</v>
      </c>
      <c r="K715" s="31" t="n">
        <v>38.74</v>
      </c>
      <c r="L715" s="31" t="n">
        <v>3.197</v>
      </c>
      <c r="M715" s="31" t="n">
        <v>81.21</v>
      </c>
      <c r="N715" s="31" t="n">
        <v>0.795</v>
      </c>
      <c r="O715" s="31" t="n">
        <v>20.2</v>
      </c>
      <c r="P715" s="31" t="n">
        <v>3.89</v>
      </c>
      <c r="Q715" s="31" t="n">
        <v>389</v>
      </c>
      <c r="R715" s="33" t="n">
        <v>72</v>
      </c>
      <c r="S715" s="31" t="n">
        <v>72000</v>
      </c>
      <c r="T715" s="31"/>
    </row>
    <row r="716" s="46" customFormat="true" ht="14.4" hidden="true" customHeight="false" outlineLevel="0" collapsed="false">
      <c r="A716" s="30" t="n">
        <v>8020</v>
      </c>
      <c r="B716" s="46" t="s">
        <v>793</v>
      </c>
      <c r="C716" s="31" t="s">
        <v>791</v>
      </c>
      <c r="D716" s="31" t="n">
        <v>40</v>
      </c>
      <c r="E716" s="31" t="s">
        <v>33</v>
      </c>
      <c r="F716" s="31" t="n">
        <v>145</v>
      </c>
      <c r="G716" s="31" t="s">
        <v>44</v>
      </c>
      <c r="H716" s="31" t="n">
        <v>18.5</v>
      </c>
      <c r="I716" s="31" t="n">
        <v>185</v>
      </c>
      <c r="J716" s="31" t="n">
        <v>1.525</v>
      </c>
      <c r="K716" s="31" t="n">
        <v>38.74</v>
      </c>
      <c r="L716" s="31" t="n">
        <v>3.197</v>
      </c>
      <c r="M716" s="31" t="n">
        <v>81.21</v>
      </c>
      <c r="N716" s="31" t="n">
        <v>0.795</v>
      </c>
      <c r="O716" s="31" t="n">
        <v>20.2</v>
      </c>
      <c r="P716" s="31" t="n">
        <v>3.89</v>
      </c>
      <c r="Q716" s="31" t="n">
        <v>389</v>
      </c>
      <c r="R716" s="33" t="n">
        <v>72</v>
      </c>
      <c r="S716" s="31" t="n">
        <v>72000</v>
      </c>
      <c r="T716" s="31"/>
    </row>
    <row r="717" customFormat="false" ht="14.4" hidden="true" customHeight="false" outlineLevel="0" collapsed="false">
      <c r="A717" s="30" t="n">
        <v>8020</v>
      </c>
      <c r="B717" s="22" t="s">
        <v>794</v>
      </c>
      <c r="C717" s="31" t="s">
        <v>791</v>
      </c>
      <c r="D717" s="31" t="n">
        <v>60</v>
      </c>
      <c r="E717" s="31" t="s">
        <v>33</v>
      </c>
      <c r="F717" s="31" t="n">
        <v>190</v>
      </c>
      <c r="G717" s="31" t="s">
        <v>44</v>
      </c>
      <c r="H717" s="31" t="n">
        <v>18.5</v>
      </c>
      <c r="I717" s="31" t="n">
        <v>185</v>
      </c>
      <c r="J717" s="31" t="n">
        <v>1.525</v>
      </c>
      <c r="K717" s="31" t="n">
        <v>38.74</v>
      </c>
      <c r="L717" s="31" t="n">
        <v>3.197</v>
      </c>
      <c r="M717" s="31" t="n">
        <v>81.21</v>
      </c>
      <c r="N717" s="31" t="n">
        <v>0.795</v>
      </c>
      <c r="O717" s="31" t="n">
        <v>20.2</v>
      </c>
      <c r="P717" s="31" t="n">
        <v>3.89</v>
      </c>
      <c r="Q717" s="31" t="n">
        <v>389</v>
      </c>
      <c r="R717" s="33" t="n">
        <v>72</v>
      </c>
      <c r="S717" s="31" t="n">
        <v>72000</v>
      </c>
      <c r="T717" s="31"/>
    </row>
    <row r="718" customFormat="false" ht="14.4" hidden="true" customHeight="false" outlineLevel="0" collapsed="false">
      <c r="A718" s="30" t="n">
        <v>8038</v>
      </c>
      <c r="B718" s="22" t="s">
        <v>795</v>
      </c>
      <c r="C718" s="31" t="s">
        <v>796</v>
      </c>
      <c r="D718" s="31" t="n">
        <v>26</v>
      </c>
      <c r="E718" s="31" t="s">
        <v>33</v>
      </c>
      <c r="F718" s="31" t="n">
        <v>97</v>
      </c>
      <c r="G718" s="31" t="s">
        <v>167</v>
      </c>
      <c r="H718" s="31" t="n">
        <v>23.7</v>
      </c>
      <c r="I718" s="31" t="n">
        <v>237</v>
      </c>
      <c r="J718" s="31" t="n">
        <v>1.525</v>
      </c>
      <c r="K718" s="31" t="n">
        <v>38.74</v>
      </c>
      <c r="L718" s="31" t="n">
        <v>3.185</v>
      </c>
      <c r="M718" s="32" t="n">
        <v>80.9</v>
      </c>
      <c r="N718" s="31" t="n">
        <v>0.922</v>
      </c>
      <c r="O718" s="31" t="n">
        <v>23.4</v>
      </c>
      <c r="P718" s="31" t="n">
        <v>3.54</v>
      </c>
      <c r="Q718" s="31" t="n">
        <v>354</v>
      </c>
      <c r="R718" s="31" t="n">
        <v>83.9</v>
      </c>
      <c r="S718" s="31" t="n">
        <v>83900</v>
      </c>
      <c r="T718" s="31"/>
    </row>
    <row r="719" customFormat="false" ht="14.4" hidden="true" customHeight="false" outlineLevel="0" collapsed="false">
      <c r="A719" s="30" t="n">
        <v>8038</v>
      </c>
      <c r="B719" s="22" t="s">
        <v>797</v>
      </c>
      <c r="C719" s="31" t="s">
        <v>796</v>
      </c>
      <c r="D719" s="31" t="n">
        <v>60</v>
      </c>
      <c r="E719" s="31" t="s">
        <v>33</v>
      </c>
      <c r="F719" s="31" t="n">
        <v>179</v>
      </c>
      <c r="G719" s="31" t="s">
        <v>167</v>
      </c>
      <c r="H719" s="31" t="n">
        <v>23.7</v>
      </c>
      <c r="I719" s="31" t="n">
        <v>237</v>
      </c>
      <c r="J719" s="31" t="n">
        <v>1.525</v>
      </c>
      <c r="K719" s="31" t="n">
        <v>38.74</v>
      </c>
      <c r="L719" s="31" t="n">
        <v>3.185</v>
      </c>
      <c r="M719" s="32" t="n">
        <v>80.9</v>
      </c>
      <c r="N719" s="31" t="n">
        <v>0.922</v>
      </c>
      <c r="O719" s="31" t="n">
        <v>23.4</v>
      </c>
      <c r="P719" s="31" t="n">
        <v>3.54</v>
      </c>
      <c r="Q719" s="31" t="n">
        <v>354</v>
      </c>
      <c r="R719" s="31" t="n">
        <v>83.9</v>
      </c>
      <c r="S719" s="31" t="n">
        <v>83900</v>
      </c>
      <c r="T719" s="31"/>
    </row>
    <row r="720" customFormat="false" ht="14.4" hidden="true" customHeight="false" outlineLevel="0" collapsed="false">
      <c r="A720" s="30" t="n">
        <v>8044</v>
      </c>
      <c r="B720" s="22" t="s">
        <v>798</v>
      </c>
      <c r="C720" s="31" t="s">
        <v>799</v>
      </c>
      <c r="D720" s="31" t="n">
        <v>26</v>
      </c>
      <c r="E720" s="31" t="s">
        <v>33</v>
      </c>
      <c r="F720" s="31" t="n">
        <v>91</v>
      </c>
      <c r="G720" s="31" t="s">
        <v>44</v>
      </c>
      <c r="H720" s="31" t="n">
        <v>20.8</v>
      </c>
      <c r="I720" s="31" t="n">
        <v>208</v>
      </c>
      <c r="J720" s="34" t="n">
        <v>1.78</v>
      </c>
      <c r="K720" s="31" t="n">
        <v>45.21</v>
      </c>
      <c r="L720" s="31" t="n">
        <v>3.197</v>
      </c>
      <c r="M720" s="32" t="n">
        <v>81.2</v>
      </c>
      <c r="N720" s="31" t="n">
        <v>0.795</v>
      </c>
      <c r="O720" s="31" t="n">
        <v>20.2</v>
      </c>
      <c r="P720" s="31" t="n">
        <v>3.89</v>
      </c>
      <c r="Q720" s="31" t="n">
        <v>389</v>
      </c>
      <c r="R720" s="31" t="n">
        <v>80.9</v>
      </c>
      <c r="S720" s="31" t="n">
        <v>80900</v>
      </c>
      <c r="T720" s="31"/>
    </row>
    <row r="721" customFormat="false" ht="14.4" hidden="true" customHeight="false" outlineLevel="0" collapsed="false">
      <c r="A721" s="37" t="n">
        <v>77166</v>
      </c>
      <c r="B721" s="38" t="s">
        <v>800</v>
      </c>
      <c r="C721" s="39" t="n">
        <v>165</v>
      </c>
      <c r="D721" s="38" t="n">
        <v>40</v>
      </c>
      <c r="E721" s="38" t="s">
        <v>33</v>
      </c>
      <c r="F721" s="38" t="n">
        <v>120</v>
      </c>
      <c r="G721" s="38" t="s">
        <v>51</v>
      </c>
      <c r="H721" s="38" t="n">
        <v>41.2</v>
      </c>
      <c r="I721" s="38" t="n">
        <v>412</v>
      </c>
      <c r="J721" s="38" t="n">
        <v>3.977</v>
      </c>
      <c r="K721" s="40" t="n">
        <v>101</v>
      </c>
      <c r="L721" s="38" t="n">
        <v>6.555</v>
      </c>
      <c r="M721" s="40" t="n">
        <v>166.5</v>
      </c>
      <c r="N721" s="38" t="n">
        <v>1.305</v>
      </c>
      <c r="O721" s="41" t="n">
        <v>33.15</v>
      </c>
      <c r="P721" s="38" t="n">
        <v>9.87</v>
      </c>
      <c r="Q721" s="38" t="n">
        <v>987</v>
      </c>
      <c r="R721" s="38" t="n">
        <v>407</v>
      </c>
      <c r="S721" s="38" t="n">
        <v>407000</v>
      </c>
      <c r="T721" s="38" t="n">
        <v>80.3</v>
      </c>
      <c r="U721" s="22" t="n">
        <f aca="false">C721*1</f>
        <v>165</v>
      </c>
      <c r="V721" s="22" t="n">
        <f aca="false">VLOOKUP(U721,'Powder Core Toroid OD'!$A$2:$B$36,2,0)</f>
        <v>165.1</v>
      </c>
    </row>
    <row r="722" customFormat="false" ht="14.4" hidden="true" customHeight="false" outlineLevel="0" collapsed="false">
      <c r="A722" s="22" t="n">
        <v>77155</v>
      </c>
      <c r="B722" s="22" t="s">
        <v>801</v>
      </c>
      <c r="C722" s="23" t="n">
        <v>150</v>
      </c>
      <c r="D722" s="22" t="n">
        <v>75</v>
      </c>
      <c r="E722" s="22" t="s">
        <v>33</v>
      </c>
      <c r="F722" s="22" t="n">
        <v>21</v>
      </c>
      <c r="G722" s="22" t="s">
        <v>51</v>
      </c>
      <c r="H722" s="22" t="n">
        <v>0.942</v>
      </c>
      <c r="I722" s="22" t="n">
        <v>9.42</v>
      </c>
      <c r="J722" s="22" t="n">
        <v>0.068</v>
      </c>
      <c r="K722" s="22" t="n">
        <v>1.72</v>
      </c>
      <c r="L722" s="22" t="n">
        <v>0.18</v>
      </c>
      <c r="M722" s="22" t="n">
        <v>4.58</v>
      </c>
      <c r="N722" s="22" t="n">
        <v>0.125</v>
      </c>
      <c r="O722" s="22" t="n">
        <v>3.18</v>
      </c>
      <c r="P722" s="22" t="n">
        <v>0.0211</v>
      </c>
      <c r="Q722" s="22" t="n">
        <v>2.11</v>
      </c>
      <c r="R722" s="22" t="n">
        <v>0.0199</v>
      </c>
      <c r="S722" s="22" t="n">
        <v>19.9</v>
      </c>
      <c r="T722" s="22" t="n">
        <v>0.0232</v>
      </c>
      <c r="U722" s="22" t="n">
        <f aca="false">C722*1</f>
        <v>150</v>
      </c>
      <c r="V722" s="22" t="n">
        <f aca="false">VLOOKUP(U722,'Powder Core Toroid OD'!$A$2:$B$36,2,0)</f>
        <v>3.94</v>
      </c>
    </row>
    <row r="723" customFormat="false" ht="14.4" hidden="true" customHeight="false" outlineLevel="0" collapsed="false">
      <c r="A723" s="22" t="n">
        <v>77185</v>
      </c>
      <c r="B723" s="22" t="s">
        <v>802</v>
      </c>
      <c r="C723" s="23" t="n">
        <v>180</v>
      </c>
      <c r="D723" s="22" t="n">
        <v>75</v>
      </c>
      <c r="E723" s="22" t="s">
        <v>33</v>
      </c>
      <c r="F723" s="22" t="n">
        <v>25</v>
      </c>
      <c r="G723" s="22" t="s">
        <v>51</v>
      </c>
      <c r="H723" s="22" t="n">
        <v>1.06</v>
      </c>
      <c r="I723" s="22" t="n">
        <v>10.6</v>
      </c>
      <c r="J723" s="22" t="n">
        <v>0.073</v>
      </c>
      <c r="K723" s="22" t="n">
        <v>1.85</v>
      </c>
      <c r="L723" s="22" t="n">
        <v>0.208</v>
      </c>
      <c r="M723" s="22" t="n">
        <v>5.29</v>
      </c>
      <c r="N723" s="22" t="n">
        <v>0.125</v>
      </c>
      <c r="O723" s="22" t="n">
        <v>3.18</v>
      </c>
      <c r="P723" s="22" t="n">
        <v>0.0285</v>
      </c>
      <c r="Q723" s="22" t="n">
        <v>2.85</v>
      </c>
      <c r="R723" s="22" t="n">
        <v>0.0303</v>
      </c>
      <c r="S723" s="22" t="n">
        <v>30.3</v>
      </c>
      <c r="T723" s="22" t="n">
        <v>0.0269</v>
      </c>
      <c r="U723" s="22" t="n">
        <f aca="false">C723*1</f>
        <v>180</v>
      </c>
      <c r="V723" s="22" t="n">
        <f aca="false">VLOOKUP(U723,'Powder Core Toroid OD'!$A$2:$B$36,2,0)</f>
        <v>4.65</v>
      </c>
    </row>
    <row r="724" customFormat="false" ht="14.4" hidden="true" customHeight="false" outlineLevel="0" collapsed="false">
      <c r="A724" s="22" t="n">
        <v>55016</v>
      </c>
      <c r="B724" s="22" t="s">
        <v>803</v>
      </c>
      <c r="C724" s="23" t="s">
        <v>208</v>
      </c>
      <c r="D724" s="22" t="n">
        <v>550</v>
      </c>
      <c r="E724" s="22" t="s">
        <v>50</v>
      </c>
      <c r="F724" s="22" t="n">
        <v>220</v>
      </c>
      <c r="G724" s="22" t="s">
        <v>51</v>
      </c>
      <c r="H724" s="22" t="n">
        <v>1.36</v>
      </c>
      <c r="I724" s="22" t="n">
        <v>13.6</v>
      </c>
      <c r="J724" s="43" t="n">
        <v>0.09</v>
      </c>
      <c r="K724" s="22" t="n">
        <v>2.28</v>
      </c>
      <c r="L724" s="22" t="n">
        <v>0.275</v>
      </c>
      <c r="M724" s="22" t="n">
        <v>6.99</v>
      </c>
      <c r="N724" s="22" t="n">
        <v>0.135</v>
      </c>
      <c r="O724" s="22" t="n">
        <v>3.43</v>
      </c>
      <c r="P724" s="22" t="n">
        <v>0.047</v>
      </c>
      <c r="Q724" s="22" t="n">
        <v>4.7</v>
      </c>
      <c r="R724" s="43" t="n">
        <v>0.064</v>
      </c>
      <c r="S724" s="36" t="n">
        <v>64</v>
      </c>
      <c r="T724" s="22" t="n">
        <v>0.0408</v>
      </c>
      <c r="U724" s="22" t="n">
        <f aca="false">C724*1</f>
        <v>20</v>
      </c>
      <c r="V724" s="22" t="n">
        <f aca="false">VLOOKUP(U724,'Powder Core Toroid OD'!$A$2:$B$36,2,0)</f>
        <v>6.35</v>
      </c>
    </row>
    <row r="725" customFormat="false" ht="14.4" hidden="true" customHeight="false" outlineLevel="0" collapsed="false">
      <c r="A725" s="22" t="n">
        <v>58022</v>
      </c>
      <c r="B725" s="22" t="s">
        <v>804</v>
      </c>
      <c r="C725" s="23" t="s">
        <v>208</v>
      </c>
      <c r="D725" s="22" t="n">
        <v>26</v>
      </c>
      <c r="E725" s="22" t="s">
        <v>72</v>
      </c>
      <c r="F725" s="22" t="n">
        <v>10</v>
      </c>
      <c r="G725" s="22" t="s">
        <v>51</v>
      </c>
      <c r="H725" s="22" t="n">
        <v>1.36</v>
      </c>
      <c r="I725" s="22" t="n">
        <v>13.6</v>
      </c>
      <c r="J725" s="43" t="n">
        <v>0.09</v>
      </c>
      <c r="K725" s="22" t="n">
        <v>2.28</v>
      </c>
      <c r="L725" s="22" t="n">
        <v>0.275</v>
      </c>
      <c r="M725" s="22" t="n">
        <v>6.99</v>
      </c>
      <c r="N725" s="22" t="n">
        <v>0.135</v>
      </c>
      <c r="O725" s="22" t="n">
        <v>3.43</v>
      </c>
      <c r="P725" s="22" t="n">
        <v>0.047</v>
      </c>
      <c r="Q725" s="22" t="n">
        <v>4.7</v>
      </c>
      <c r="R725" s="43" t="n">
        <v>0.064</v>
      </c>
      <c r="S725" s="36" t="n">
        <v>64</v>
      </c>
      <c r="T725" s="22" t="n">
        <v>0.0408</v>
      </c>
      <c r="U725" s="22" t="n">
        <f aca="false">C725*1</f>
        <v>20</v>
      </c>
      <c r="V725" s="22" t="n">
        <f aca="false">VLOOKUP(U725,'Powder Core Toroid OD'!$A$2:$B$36,2,0)</f>
        <v>6.35</v>
      </c>
    </row>
    <row r="726" customFormat="false" ht="14.4" hidden="true" customHeight="false" outlineLevel="0" collapsed="false">
      <c r="A726" s="22" t="n">
        <v>58242</v>
      </c>
      <c r="B726" s="22" t="s">
        <v>805</v>
      </c>
      <c r="C726" s="23" t="n">
        <v>240</v>
      </c>
      <c r="D726" s="22" t="n">
        <v>26</v>
      </c>
      <c r="E726" s="22" t="s">
        <v>806</v>
      </c>
      <c r="F726" s="22" t="n">
        <v>11</v>
      </c>
      <c r="G726" s="22" t="s">
        <v>51</v>
      </c>
      <c r="H726" s="22" t="n">
        <v>1.36</v>
      </c>
      <c r="I726" s="22" t="n">
        <v>13.6</v>
      </c>
      <c r="J726" s="22" t="n">
        <v>0.085</v>
      </c>
      <c r="K726" s="22" t="n">
        <v>2.15</v>
      </c>
      <c r="L726" s="22" t="n">
        <v>0.285</v>
      </c>
      <c r="M726" s="22" t="n">
        <v>7.24</v>
      </c>
      <c r="N726" s="22" t="n">
        <v>0.125</v>
      </c>
      <c r="O726" s="22" t="n">
        <v>3.18</v>
      </c>
      <c r="P726" s="22" t="n">
        <v>0.0476</v>
      </c>
      <c r="Q726" s="22" t="n">
        <v>4.76</v>
      </c>
      <c r="R726" s="22" t="n">
        <v>0.0649</v>
      </c>
      <c r="S726" s="22" t="n">
        <v>64.9</v>
      </c>
      <c r="T726" s="22" t="n">
        <v>0.0363</v>
      </c>
      <c r="U726" s="22" t="n">
        <f aca="false">C726*1</f>
        <v>240</v>
      </c>
      <c r="V726" s="22" t="n">
        <f aca="false">VLOOKUP(U726,'Powder Core Toroid OD'!$A$2:$B$36,2,0)</f>
        <v>6.6</v>
      </c>
    </row>
    <row r="727" customFormat="false" ht="14.4" hidden="true" customHeight="false" outlineLevel="0" collapsed="false">
      <c r="A727" s="22" t="n">
        <v>77241</v>
      </c>
      <c r="B727" s="22" t="s">
        <v>807</v>
      </c>
      <c r="C727" s="23" t="n">
        <v>240</v>
      </c>
      <c r="D727" s="22" t="n">
        <v>60</v>
      </c>
      <c r="E727" s="22" t="s">
        <v>33</v>
      </c>
      <c r="F727" s="22" t="n">
        <v>26</v>
      </c>
      <c r="G727" s="22" t="s">
        <v>51</v>
      </c>
      <c r="H727" s="22" t="n">
        <v>1.36</v>
      </c>
      <c r="I727" s="22" t="n">
        <v>13.6</v>
      </c>
      <c r="J727" s="22" t="n">
        <v>0.085</v>
      </c>
      <c r="K727" s="22" t="n">
        <v>2.15</v>
      </c>
      <c r="L727" s="22" t="n">
        <v>0.285</v>
      </c>
      <c r="M727" s="22" t="n">
        <v>7.24</v>
      </c>
      <c r="N727" s="22" t="n">
        <v>0.125</v>
      </c>
      <c r="O727" s="22" t="n">
        <v>3.18</v>
      </c>
      <c r="P727" s="22" t="n">
        <v>0.0476</v>
      </c>
      <c r="Q727" s="22" t="n">
        <v>4.76</v>
      </c>
      <c r="R727" s="22" t="n">
        <v>0.0649</v>
      </c>
      <c r="S727" s="22" t="n">
        <v>64.9</v>
      </c>
      <c r="T727" s="22" t="n">
        <v>0.0363</v>
      </c>
      <c r="U727" s="22" t="n">
        <f aca="false">C727*1</f>
        <v>240</v>
      </c>
      <c r="V727" s="22" t="n">
        <f aca="false">VLOOKUP(U727,'Powder Core Toroid OD'!$A$2:$B$36,2,0)</f>
        <v>6.6</v>
      </c>
    </row>
    <row r="728" customFormat="false" ht="14.4" hidden="true" customHeight="false" outlineLevel="0" collapsed="false">
      <c r="A728" s="22" t="n">
        <v>77245</v>
      </c>
      <c r="B728" s="22" t="s">
        <v>808</v>
      </c>
      <c r="C728" s="23" t="n">
        <v>240</v>
      </c>
      <c r="D728" s="22" t="n">
        <v>75</v>
      </c>
      <c r="E728" s="22" t="s">
        <v>33</v>
      </c>
      <c r="F728" s="22" t="n">
        <v>32</v>
      </c>
      <c r="G728" s="22" t="s">
        <v>51</v>
      </c>
      <c r="H728" s="22" t="n">
        <v>1.36</v>
      </c>
      <c r="I728" s="22" t="n">
        <v>13.6</v>
      </c>
      <c r="J728" s="22" t="n">
        <v>0.085</v>
      </c>
      <c r="K728" s="22" t="n">
        <v>2.15</v>
      </c>
      <c r="L728" s="22" t="n">
        <v>0.285</v>
      </c>
      <c r="M728" s="22" t="n">
        <v>7.24</v>
      </c>
      <c r="N728" s="22" t="n">
        <v>0.125</v>
      </c>
      <c r="O728" s="22" t="n">
        <v>3.18</v>
      </c>
      <c r="P728" s="22" t="n">
        <v>0.0476</v>
      </c>
      <c r="Q728" s="22" t="n">
        <v>4.76</v>
      </c>
      <c r="R728" s="22" t="n">
        <v>0.0649</v>
      </c>
      <c r="S728" s="22" t="n">
        <v>64.9</v>
      </c>
      <c r="T728" s="22" t="n">
        <v>0.0363</v>
      </c>
      <c r="U728" s="22" t="n">
        <f aca="false">C728*1</f>
        <v>240</v>
      </c>
      <c r="V728" s="22" t="n">
        <f aca="false">VLOOKUP(U728,'Powder Core Toroid OD'!$A$2:$B$36,2,0)</f>
        <v>6.6</v>
      </c>
    </row>
    <row r="729" customFormat="false" ht="14.4" hidden="true" customHeight="false" outlineLevel="0" collapsed="false">
      <c r="A729" s="22" t="n">
        <v>55273</v>
      </c>
      <c r="B729" s="22" t="s">
        <v>809</v>
      </c>
      <c r="C729" s="23" t="n">
        <v>270</v>
      </c>
      <c r="D729" s="22" t="n">
        <v>14</v>
      </c>
      <c r="E729" s="22" t="s">
        <v>50</v>
      </c>
      <c r="F729" s="22" t="n">
        <v>12</v>
      </c>
      <c r="G729" s="22" t="s">
        <v>51</v>
      </c>
      <c r="H729" s="22" t="n">
        <v>1.36</v>
      </c>
      <c r="I729" s="22" t="n">
        <v>13.6</v>
      </c>
      <c r="J729" s="22" t="n">
        <v>0.085</v>
      </c>
      <c r="K729" s="22" t="n">
        <v>2.15</v>
      </c>
      <c r="L729" s="22" t="n">
        <v>0.285</v>
      </c>
      <c r="M729" s="22" t="n">
        <v>7.24</v>
      </c>
      <c r="N729" s="22" t="n">
        <v>0.213</v>
      </c>
      <c r="O729" s="22" t="n">
        <v>5.42</v>
      </c>
      <c r="P729" s="22" t="n">
        <v>0.092</v>
      </c>
      <c r="Q729" s="22" t="n">
        <v>9.2</v>
      </c>
      <c r="R729" s="22" t="n">
        <v>0.125</v>
      </c>
      <c r="S729" s="22" t="n">
        <v>125</v>
      </c>
      <c r="T729" s="22" t="n">
        <v>0.0363</v>
      </c>
      <c r="U729" s="22" t="n">
        <f aca="false">C729*1</f>
        <v>270</v>
      </c>
      <c r="V729" s="22" t="n">
        <f aca="false">VLOOKUP(U729,'Powder Core Toroid OD'!$A$2:$B$36,2,0)</f>
        <v>6.6</v>
      </c>
    </row>
    <row r="730" customFormat="false" ht="14.4" hidden="true" customHeight="false" outlineLevel="0" collapsed="false">
      <c r="A730" s="22" t="n">
        <v>58269</v>
      </c>
      <c r="B730" s="22" t="s">
        <v>810</v>
      </c>
      <c r="C730" s="23" t="n">
        <v>270</v>
      </c>
      <c r="D730" s="22" t="n">
        <v>147</v>
      </c>
      <c r="E730" s="22" t="s">
        <v>72</v>
      </c>
      <c r="F730" s="22" t="n">
        <v>122</v>
      </c>
      <c r="G730" s="22" t="s">
        <v>51</v>
      </c>
      <c r="H730" s="22" t="n">
        <v>1.36</v>
      </c>
      <c r="I730" s="22" t="n">
        <v>13.6</v>
      </c>
      <c r="J730" s="22" t="n">
        <v>0.085</v>
      </c>
      <c r="K730" s="22" t="n">
        <v>2.15</v>
      </c>
      <c r="L730" s="22" t="n">
        <v>0.285</v>
      </c>
      <c r="M730" s="22" t="n">
        <v>7.24</v>
      </c>
      <c r="N730" s="22" t="n">
        <v>0.213</v>
      </c>
      <c r="O730" s="22" t="n">
        <v>5.42</v>
      </c>
      <c r="P730" s="22" t="n">
        <v>0.092</v>
      </c>
      <c r="Q730" s="22" t="n">
        <v>9.2</v>
      </c>
      <c r="R730" s="22" t="n">
        <v>0.125</v>
      </c>
      <c r="S730" s="22" t="n">
        <v>125</v>
      </c>
      <c r="T730" s="22" t="n">
        <v>0.0363</v>
      </c>
      <c r="U730" s="22" t="n">
        <f aca="false">C730*1</f>
        <v>270</v>
      </c>
      <c r="V730" s="22" t="n">
        <f aca="false">VLOOKUP(U730,'Powder Core Toroid OD'!$A$2:$B$36,2,0)</f>
        <v>6.6</v>
      </c>
    </row>
    <row r="731" customFormat="false" ht="14.4" hidden="true" customHeight="false" outlineLevel="0" collapsed="false">
      <c r="A731" s="22" t="n">
        <v>58272</v>
      </c>
      <c r="B731" s="22" t="s">
        <v>811</v>
      </c>
      <c r="C731" s="23" t="n">
        <v>270</v>
      </c>
      <c r="D731" s="22" t="n">
        <v>26</v>
      </c>
      <c r="E731" s="22" t="s">
        <v>72</v>
      </c>
      <c r="F731" s="22" t="n">
        <v>21</v>
      </c>
      <c r="G731" s="22" t="s">
        <v>51</v>
      </c>
      <c r="H731" s="22" t="n">
        <v>1.36</v>
      </c>
      <c r="I731" s="22" t="n">
        <v>13.6</v>
      </c>
      <c r="J731" s="22" t="n">
        <v>0.085</v>
      </c>
      <c r="K731" s="22" t="n">
        <v>2.15</v>
      </c>
      <c r="L731" s="22" t="n">
        <v>0.285</v>
      </c>
      <c r="M731" s="22" t="n">
        <v>7.24</v>
      </c>
      <c r="N731" s="22" t="n">
        <v>0.213</v>
      </c>
      <c r="O731" s="22" t="n">
        <v>5.42</v>
      </c>
      <c r="P731" s="22" t="n">
        <v>0.092</v>
      </c>
      <c r="Q731" s="22" t="n">
        <v>9.2</v>
      </c>
      <c r="R731" s="22" t="n">
        <v>0.125</v>
      </c>
      <c r="S731" s="22" t="n">
        <v>125</v>
      </c>
      <c r="T731" s="22" t="n">
        <v>0.0363</v>
      </c>
      <c r="U731" s="22" t="n">
        <f aca="false">C731*1</f>
        <v>270</v>
      </c>
      <c r="V731" s="22" t="n">
        <f aca="false">VLOOKUP(U731,'Powder Core Toroid OD'!$A$2:$B$36,2,0)</f>
        <v>6.6</v>
      </c>
    </row>
    <row r="732" customFormat="false" ht="14.4" hidden="true" customHeight="false" outlineLevel="0" collapsed="false">
      <c r="A732" s="22" t="n">
        <v>55412</v>
      </c>
      <c r="B732" s="22" t="s">
        <v>812</v>
      </c>
      <c r="C732" s="23" t="n">
        <v>410</v>
      </c>
      <c r="D732" s="22" t="n">
        <v>26</v>
      </c>
      <c r="E732" s="22" t="s">
        <v>50</v>
      </c>
      <c r="F732" s="22" t="n">
        <v>14</v>
      </c>
      <c r="G732" s="22" t="s">
        <v>51</v>
      </c>
      <c r="H732" s="22" t="n">
        <v>1.65</v>
      </c>
      <c r="I732" s="22" t="n">
        <v>16.5</v>
      </c>
      <c r="J732" s="22" t="n">
        <v>0.136</v>
      </c>
      <c r="K732" s="22" t="n">
        <v>3.45</v>
      </c>
      <c r="L732" s="22" t="n">
        <v>0.295</v>
      </c>
      <c r="M732" s="42" t="n">
        <v>7.5</v>
      </c>
      <c r="N732" s="22" t="n">
        <v>0.225</v>
      </c>
      <c r="O732" s="22" t="n">
        <v>5.72</v>
      </c>
      <c r="P732" s="22" t="n">
        <v>0.0725</v>
      </c>
      <c r="Q732" s="22" t="n">
        <v>7.25</v>
      </c>
      <c r="R732" s="22" t="n">
        <v>0.12</v>
      </c>
      <c r="S732" s="22" t="n">
        <v>120</v>
      </c>
      <c r="T732" s="22" t="n">
        <v>0.0935</v>
      </c>
      <c r="U732" s="22" t="n">
        <f aca="false">C732*1</f>
        <v>410</v>
      </c>
      <c r="V732" s="22" t="n">
        <f aca="false">VLOOKUP(U732,'Powder Core Toroid OD'!$A$2:$B$36,2,0)</f>
        <v>6.86</v>
      </c>
    </row>
    <row r="733" customFormat="false" ht="14.4" hidden="true" customHeight="false" outlineLevel="0" collapsed="false">
      <c r="A733" s="22" t="n">
        <v>55413</v>
      </c>
      <c r="B733" s="22" t="s">
        <v>813</v>
      </c>
      <c r="C733" s="23" t="n">
        <v>410</v>
      </c>
      <c r="D733" s="22" t="n">
        <v>14</v>
      </c>
      <c r="E733" s="22" t="s">
        <v>50</v>
      </c>
      <c r="F733" s="22" t="n">
        <v>8</v>
      </c>
      <c r="G733" s="22" t="s">
        <v>51</v>
      </c>
      <c r="H733" s="22" t="n">
        <v>1.65</v>
      </c>
      <c r="I733" s="22" t="n">
        <v>16.5</v>
      </c>
      <c r="J733" s="22" t="n">
        <v>0.136</v>
      </c>
      <c r="K733" s="22" t="n">
        <v>3.45</v>
      </c>
      <c r="L733" s="22" t="n">
        <v>0.295</v>
      </c>
      <c r="M733" s="42" t="n">
        <v>7.5</v>
      </c>
      <c r="N733" s="22" t="n">
        <v>0.225</v>
      </c>
      <c r="O733" s="22" t="n">
        <v>5.72</v>
      </c>
      <c r="P733" s="22" t="n">
        <v>0.0725</v>
      </c>
      <c r="Q733" s="22" t="n">
        <v>7.25</v>
      </c>
      <c r="R733" s="22" t="n">
        <v>0.12</v>
      </c>
      <c r="S733" s="22" t="n">
        <v>120</v>
      </c>
      <c r="T733" s="22" t="n">
        <v>0.0935</v>
      </c>
      <c r="U733" s="22" t="n">
        <f aca="false">C733*1</f>
        <v>410</v>
      </c>
      <c r="V733" s="22" t="n">
        <f aca="false">VLOOKUP(U733,'Powder Core Toroid OD'!$A$2:$B$36,2,0)</f>
        <v>6.86</v>
      </c>
    </row>
    <row r="734" customFormat="false" ht="14.4" hidden="true" customHeight="false" outlineLevel="0" collapsed="false">
      <c r="A734" s="22" t="n">
        <v>58409</v>
      </c>
      <c r="B734" s="22" t="s">
        <v>814</v>
      </c>
      <c r="C734" s="23" t="n">
        <v>410</v>
      </c>
      <c r="D734" s="22" t="n">
        <v>147</v>
      </c>
      <c r="E734" s="22" t="s">
        <v>72</v>
      </c>
      <c r="F734" s="22" t="n">
        <v>81</v>
      </c>
      <c r="G734" s="22" t="s">
        <v>51</v>
      </c>
      <c r="H734" s="22" t="n">
        <v>1.65</v>
      </c>
      <c r="I734" s="22" t="n">
        <v>16.5</v>
      </c>
      <c r="J734" s="22" t="n">
        <v>0.136</v>
      </c>
      <c r="K734" s="22" t="n">
        <v>3.45</v>
      </c>
      <c r="L734" s="22" t="n">
        <v>0.295</v>
      </c>
      <c r="M734" s="42" t="n">
        <v>7.5</v>
      </c>
      <c r="N734" s="22" t="n">
        <v>0.225</v>
      </c>
      <c r="O734" s="22" t="n">
        <v>5.72</v>
      </c>
      <c r="P734" s="22" t="n">
        <v>0.0725</v>
      </c>
      <c r="Q734" s="22" t="n">
        <v>7.25</v>
      </c>
      <c r="R734" s="22" t="n">
        <v>0.12</v>
      </c>
      <c r="S734" s="22" t="n">
        <v>120</v>
      </c>
      <c r="T734" s="22" t="n">
        <v>0.0935</v>
      </c>
      <c r="U734" s="22" t="n">
        <f aca="false">C734*1</f>
        <v>410</v>
      </c>
      <c r="V734" s="22" t="n">
        <f aca="false">VLOOKUP(U734,'Powder Core Toroid OD'!$A$2:$B$36,2,0)</f>
        <v>6.86</v>
      </c>
    </row>
    <row r="735" customFormat="false" ht="14.4" hidden="true" customHeight="false" outlineLevel="0" collapsed="false">
      <c r="A735" s="22" t="n">
        <v>58411</v>
      </c>
      <c r="B735" s="22" t="s">
        <v>815</v>
      </c>
      <c r="C735" s="23" t="n">
        <v>410</v>
      </c>
      <c r="D735" s="22" t="n">
        <v>60</v>
      </c>
      <c r="E735" s="22" t="s">
        <v>72</v>
      </c>
      <c r="F735" s="22" t="n">
        <v>33</v>
      </c>
      <c r="G735" s="22" t="s">
        <v>51</v>
      </c>
      <c r="H735" s="22" t="n">
        <v>1.65</v>
      </c>
      <c r="I735" s="22" t="n">
        <v>16.5</v>
      </c>
      <c r="J735" s="22" t="n">
        <v>0.136</v>
      </c>
      <c r="K735" s="22" t="n">
        <v>3.45</v>
      </c>
      <c r="L735" s="22" t="n">
        <v>0.295</v>
      </c>
      <c r="M735" s="42" t="n">
        <v>7.5</v>
      </c>
      <c r="N735" s="22" t="n">
        <v>0.225</v>
      </c>
      <c r="O735" s="22" t="n">
        <v>5.72</v>
      </c>
      <c r="P735" s="22" t="n">
        <v>0.0725</v>
      </c>
      <c r="Q735" s="22" t="n">
        <v>7.25</v>
      </c>
      <c r="R735" s="22" t="n">
        <v>0.12</v>
      </c>
      <c r="S735" s="22" t="n">
        <v>120</v>
      </c>
      <c r="T735" s="22" t="n">
        <v>0.0935</v>
      </c>
      <c r="U735" s="22" t="n">
        <f aca="false">C735*1</f>
        <v>410</v>
      </c>
      <c r="V735" s="22" t="n">
        <f aca="false">VLOOKUP(U735,'Powder Core Toroid OD'!$A$2:$B$36,2,0)</f>
        <v>6.86</v>
      </c>
    </row>
    <row r="736" customFormat="false" ht="14.4" hidden="true" customHeight="false" outlineLevel="0" collapsed="false">
      <c r="A736" s="22" t="n">
        <v>58412</v>
      </c>
      <c r="B736" s="22" t="s">
        <v>816</v>
      </c>
      <c r="C736" s="23" t="n">
        <v>410</v>
      </c>
      <c r="D736" s="22" t="n">
        <v>26</v>
      </c>
      <c r="E736" s="22" t="s">
        <v>72</v>
      </c>
      <c r="F736" s="22" t="n">
        <v>14</v>
      </c>
      <c r="G736" s="22" t="s">
        <v>51</v>
      </c>
      <c r="H736" s="22" t="n">
        <v>1.65</v>
      </c>
      <c r="I736" s="22" t="n">
        <v>16.5</v>
      </c>
      <c r="J736" s="22" t="n">
        <v>0.136</v>
      </c>
      <c r="K736" s="22" t="n">
        <v>3.45</v>
      </c>
      <c r="L736" s="22" t="n">
        <v>0.295</v>
      </c>
      <c r="M736" s="42" t="n">
        <v>7.5</v>
      </c>
      <c r="N736" s="22" t="n">
        <v>0.225</v>
      </c>
      <c r="O736" s="22" t="n">
        <v>5.72</v>
      </c>
      <c r="P736" s="22" t="n">
        <v>0.0725</v>
      </c>
      <c r="Q736" s="22" t="n">
        <v>7.25</v>
      </c>
      <c r="R736" s="22" t="n">
        <v>0.12</v>
      </c>
      <c r="S736" s="22" t="n">
        <v>120</v>
      </c>
      <c r="T736" s="22" t="n">
        <v>0.0935</v>
      </c>
      <c r="U736" s="22" t="n">
        <f aca="false">C736*1</f>
        <v>410</v>
      </c>
      <c r="V736" s="22" t="n">
        <f aca="false">VLOOKUP(U736,'Powder Core Toroid OD'!$A$2:$B$36,2,0)</f>
        <v>6.86</v>
      </c>
    </row>
    <row r="737" customFormat="false" ht="14.4" hidden="true" customHeight="false" outlineLevel="0" collapsed="false">
      <c r="A737" s="22" t="n">
        <v>58413</v>
      </c>
      <c r="B737" s="22" t="s">
        <v>817</v>
      </c>
      <c r="C737" s="23" t="n">
        <v>410</v>
      </c>
      <c r="D737" s="22" t="n">
        <v>14</v>
      </c>
      <c r="E737" s="22" t="s">
        <v>72</v>
      </c>
      <c r="F737" s="22" t="n">
        <v>8</v>
      </c>
      <c r="G737" s="22" t="s">
        <v>51</v>
      </c>
      <c r="H737" s="22" t="n">
        <v>1.65</v>
      </c>
      <c r="I737" s="22" t="n">
        <v>16.5</v>
      </c>
      <c r="J737" s="22" t="n">
        <v>0.136</v>
      </c>
      <c r="K737" s="22" t="n">
        <v>3.45</v>
      </c>
      <c r="L737" s="22" t="n">
        <v>0.295</v>
      </c>
      <c r="M737" s="42" t="n">
        <v>7.5</v>
      </c>
      <c r="N737" s="22" t="n">
        <v>0.225</v>
      </c>
      <c r="O737" s="22" t="n">
        <v>5.72</v>
      </c>
      <c r="P737" s="22" t="n">
        <v>0.0725</v>
      </c>
      <c r="Q737" s="22" t="n">
        <v>7.25</v>
      </c>
      <c r="R737" s="22" t="n">
        <v>0.12</v>
      </c>
      <c r="S737" s="22" t="n">
        <v>120</v>
      </c>
      <c r="T737" s="22" t="n">
        <v>0.0935</v>
      </c>
      <c r="U737" s="22" t="n">
        <f aca="false">C737*1</f>
        <v>410</v>
      </c>
      <c r="V737" s="22" t="n">
        <f aca="false">VLOOKUP(U737,'Powder Core Toroid OD'!$A$2:$B$36,2,0)</f>
        <v>6.86</v>
      </c>
    </row>
    <row r="738" customFormat="false" ht="14.4" hidden="true" customHeight="false" outlineLevel="0" collapsed="false">
      <c r="A738" s="22" t="n">
        <v>77411</v>
      </c>
      <c r="B738" s="22" t="s">
        <v>818</v>
      </c>
      <c r="C738" s="23" t="n">
        <v>410</v>
      </c>
      <c r="D738" s="22" t="n">
        <v>60</v>
      </c>
      <c r="E738" s="22" t="s">
        <v>33</v>
      </c>
      <c r="F738" s="22" t="n">
        <v>33</v>
      </c>
      <c r="G738" s="22" t="s">
        <v>51</v>
      </c>
      <c r="H738" s="22" t="n">
        <v>1.65</v>
      </c>
      <c r="I738" s="22" t="n">
        <v>16.5</v>
      </c>
      <c r="J738" s="22" t="n">
        <v>0.136</v>
      </c>
      <c r="K738" s="22" t="n">
        <v>3.45</v>
      </c>
      <c r="L738" s="22" t="n">
        <v>0.295</v>
      </c>
      <c r="M738" s="42" t="n">
        <v>7.5</v>
      </c>
      <c r="N738" s="22" t="n">
        <v>0.225</v>
      </c>
      <c r="O738" s="22" t="n">
        <v>5.72</v>
      </c>
      <c r="P738" s="22" t="n">
        <v>0.0725</v>
      </c>
      <c r="Q738" s="22" t="n">
        <v>7.25</v>
      </c>
      <c r="R738" s="22" t="n">
        <v>0.12</v>
      </c>
      <c r="S738" s="22" t="n">
        <v>120</v>
      </c>
      <c r="T738" s="22" t="n">
        <v>0.0935</v>
      </c>
      <c r="U738" s="22" t="n">
        <f aca="false">C738*1</f>
        <v>410</v>
      </c>
      <c r="V738" s="22" t="n">
        <f aca="false">VLOOKUP(U738,'Powder Core Toroid OD'!$A$2:$B$36,2,0)</f>
        <v>6.86</v>
      </c>
    </row>
    <row r="739" customFormat="false" ht="14.4" hidden="true" customHeight="false" outlineLevel="0" collapsed="false">
      <c r="A739" s="22" t="n">
        <v>77415</v>
      </c>
      <c r="B739" s="22" t="s">
        <v>819</v>
      </c>
      <c r="C739" s="23" t="n">
        <v>410</v>
      </c>
      <c r="D739" s="22" t="n">
        <v>75</v>
      </c>
      <c r="E739" s="22" t="s">
        <v>33</v>
      </c>
      <c r="F739" s="22" t="n">
        <v>42</v>
      </c>
      <c r="G739" s="22" t="s">
        <v>51</v>
      </c>
      <c r="H739" s="22" t="n">
        <v>1.65</v>
      </c>
      <c r="I739" s="22" t="n">
        <v>16.5</v>
      </c>
      <c r="J739" s="22" t="n">
        <v>0.136</v>
      </c>
      <c r="K739" s="22" t="n">
        <v>3.45</v>
      </c>
      <c r="L739" s="22" t="n">
        <v>0.295</v>
      </c>
      <c r="M739" s="42" t="n">
        <v>7.5</v>
      </c>
      <c r="N739" s="22" t="n">
        <v>0.225</v>
      </c>
      <c r="O739" s="22" t="n">
        <v>5.72</v>
      </c>
      <c r="P739" s="22" t="n">
        <v>0.0725</v>
      </c>
      <c r="Q739" s="22" t="n">
        <v>7.25</v>
      </c>
      <c r="R739" s="22" t="n">
        <v>0.12</v>
      </c>
      <c r="S739" s="22" t="n">
        <v>120</v>
      </c>
      <c r="T739" s="22" t="n">
        <v>0.0935</v>
      </c>
      <c r="U739" s="22" t="n">
        <f aca="false">C739*1</f>
        <v>410</v>
      </c>
      <c r="V739" s="22" t="n">
        <f aca="false">VLOOKUP(U739,'Powder Core Toroid OD'!$A$2:$B$36,2,0)</f>
        <v>6.86</v>
      </c>
    </row>
    <row r="740" customFormat="false" ht="14.4" hidden="true" customHeight="false" outlineLevel="0" collapsed="false">
      <c r="A740" s="22" t="n">
        <v>55026</v>
      </c>
      <c r="B740" s="22" t="s">
        <v>820</v>
      </c>
      <c r="C740" s="23" t="s">
        <v>220</v>
      </c>
      <c r="D740" s="22" t="n">
        <v>550</v>
      </c>
      <c r="E740" s="22" t="s">
        <v>50</v>
      </c>
      <c r="F740" s="22" t="n">
        <v>226</v>
      </c>
      <c r="G740" s="22" t="s">
        <v>51</v>
      </c>
      <c r="H740" s="22" t="n">
        <v>1.79</v>
      </c>
      <c r="I740" s="22" t="n">
        <v>17.9</v>
      </c>
      <c r="J740" s="22" t="n">
        <v>0.136</v>
      </c>
      <c r="K740" s="22" t="n">
        <v>3.45</v>
      </c>
      <c r="L740" s="22" t="n">
        <v>0.335</v>
      </c>
      <c r="M740" s="22" t="n">
        <v>8.51</v>
      </c>
      <c r="N740" s="43" t="n">
        <v>0.15</v>
      </c>
      <c r="O740" s="22" t="n">
        <v>3.81</v>
      </c>
      <c r="P740" s="22" t="n">
        <v>0.0599</v>
      </c>
      <c r="Q740" s="22" t="n">
        <v>5.99</v>
      </c>
      <c r="R740" s="22" t="n">
        <v>0.107</v>
      </c>
      <c r="S740" s="22" t="n">
        <v>107</v>
      </c>
      <c r="T740" s="22" t="n">
        <v>0.0935</v>
      </c>
      <c r="U740" s="22" t="n">
        <f aca="false">C740*1</f>
        <v>30</v>
      </c>
      <c r="V740" s="22" t="n">
        <f aca="false">VLOOKUP(U740,'Powder Core Toroid OD'!$A$2:$B$36,2,0)</f>
        <v>7.87</v>
      </c>
    </row>
    <row r="741" customFormat="false" ht="14.4" hidden="true" customHeight="false" outlineLevel="0" collapsed="false">
      <c r="A741" s="22" t="n">
        <v>58283</v>
      </c>
      <c r="B741" s="22" t="s">
        <v>821</v>
      </c>
      <c r="C741" s="23" t="n">
        <v>280</v>
      </c>
      <c r="D741" s="22" t="n">
        <v>14</v>
      </c>
      <c r="E741" s="22" t="s">
        <v>72</v>
      </c>
      <c r="F741" s="22" t="n">
        <v>6</v>
      </c>
      <c r="G741" s="22" t="s">
        <v>51</v>
      </c>
      <c r="H741" s="22" t="n">
        <v>2.18</v>
      </c>
      <c r="I741" s="22" t="n">
        <v>21.8</v>
      </c>
      <c r="J741" s="22" t="n">
        <v>0.168</v>
      </c>
      <c r="K741" s="22" t="n">
        <v>4.26</v>
      </c>
      <c r="L741" s="22" t="n">
        <v>0.405</v>
      </c>
      <c r="M741" s="22" t="n">
        <v>10.3</v>
      </c>
      <c r="N741" s="43" t="n">
        <v>0.15</v>
      </c>
      <c r="O741" s="22" t="n">
        <v>3.81</v>
      </c>
      <c r="P741" s="22" t="n">
        <v>0.0752</v>
      </c>
      <c r="Q741" s="22" t="n">
        <v>7.52</v>
      </c>
      <c r="R741" s="22" t="n">
        <v>0.164</v>
      </c>
      <c r="S741" s="22" t="n">
        <v>164</v>
      </c>
      <c r="T741" s="22" t="n">
        <v>0.143</v>
      </c>
      <c r="U741" s="22" t="n">
        <f aca="false">C741*1</f>
        <v>280</v>
      </c>
      <c r="V741" s="22" t="n">
        <f aca="false">VLOOKUP(U741,'Powder Core Toroid OD'!$A$2:$B$36,2,0)</f>
        <v>9.65</v>
      </c>
    </row>
    <row r="742" customFormat="false" ht="14.4" hidden="true" customHeight="false" outlineLevel="0" collapsed="false">
      <c r="A742" s="22" t="n">
        <v>77295</v>
      </c>
      <c r="B742" s="22" t="s">
        <v>822</v>
      </c>
      <c r="C742" s="23" t="n">
        <v>290</v>
      </c>
      <c r="D742" s="22" t="n">
        <v>60</v>
      </c>
      <c r="E742" s="22" t="s">
        <v>33</v>
      </c>
      <c r="F742" s="22" t="n">
        <v>32</v>
      </c>
      <c r="G742" s="22" t="s">
        <v>51</v>
      </c>
      <c r="H742" s="22" t="n">
        <v>2.18</v>
      </c>
      <c r="I742" s="22" t="n">
        <v>21.8</v>
      </c>
      <c r="J742" s="22" t="n">
        <v>0.168</v>
      </c>
      <c r="K742" s="22" t="n">
        <v>4.26</v>
      </c>
      <c r="L742" s="22" t="n">
        <v>0.405</v>
      </c>
      <c r="M742" s="22" t="n">
        <v>10.3</v>
      </c>
      <c r="N742" s="22" t="n">
        <v>0.181</v>
      </c>
      <c r="O742" s="42" t="n">
        <v>4.6</v>
      </c>
      <c r="P742" s="22" t="n">
        <v>0.0945</v>
      </c>
      <c r="Q742" s="22" t="n">
        <v>9.45</v>
      </c>
      <c r="R742" s="22" t="n">
        <v>0.206</v>
      </c>
      <c r="S742" s="22" t="n">
        <v>206</v>
      </c>
      <c r="T742" s="22" t="n">
        <v>0.143</v>
      </c>
      <c r="U742" s="22" t="n">
        <f aca="false">C742*1</f>
        <v>290</v>
      </c>
      <c r="V742" s="22" t="n">
        <f aca="false">VLOOKUP(U742,'Powder Core Toroid OD'!$A$2:$B$36,2,0)</f>
        <v>9.65</v>
      </c>
    </row>
    <row r="743" customFormat="false" ht="14.4" hidden="true" customHeight="false" outlineLevel="0" collapsed="false">
      <c r="A743" s="22" t="n">
        <v>58043</v>
      </c>
      <c r="B743" s="22" t="s">
        <v>823</v>
      </c>
      <c r="C743" s="23" t="s">
        <v>232</v>
      </c>
      <c r="D743" s="22" t="n">
        <v>14</v>
      </c>
      <c r="E743" s="22" t="s">
        <v>72</v>
      </c>
      <c r="F743" s="22" t="n">
        <v>7</v>
      </c>
      <c r="G743" s="22" t="s">
        <v>51</v>
      </c>
      <c r="H743" s="42" t="n">
        <v>2.3</v>
      </c>
      <c r="I743" s="36" t="n">
        <v>23</v>
      </c>
      <c r="J743" s="43" t="n">
        <v>0.18</v>
      </c>
      <c r="K743" s="22" t="n">
        <v>4.57</v>
      </c>
      <c r="L743" s="22" t="n">
        <v>0.425</v>
      </c>
      <c r="M743" s="22" t="n">
        <v>10.8</v>
      </c>
      <c r="N743" s="22" t="n">
        <v>0.181</v>
      </c>
      <c r="O743" s="22" t="n">
        <v>4.6</v>
      </c>
      <c r="P743" s="22" t="n">
        <v>0.0957</v>
      </c>
      <c r="Q743" s="22" t="n">
        <v>9.57</v>
      </c>
      <c r="R743" s="22" t="n">
        <v>0.22</v>
      </c>
      <c r="S743" s="22" t="n">
        <v>220</v>
      </c>
      <c r="T743" s="22" t="n">
        <v>0.164</v>
      </c>
      <c r="U743" s="22" t="n">
        <f aca="false">C743*1</f>
        <v>40</v>
      </c>
      <c r="V743" s="22" t="n">
        <f aca="false">VLOOKUP(U743,'Powder Core Toroid OD'!$A$2:$B$36,2,0)</f>
        <v>10.2</v>
      </c>
    </row>
    <row r="744" customFormat="false" ht="14.4" hidden="true" customHeight="false" outlineLevel="0" collapsed="false">
      <c r="A744" s="22" t="n">
        <v>77845</v>
      </c>
      <c r="B744" s="22" t="s">
        <v>824</v>
      </c>
      <c r="C744" s="23" t="s">
        <v>232</v>
      </c>
      <c r="D744" s="22" t="n">
        <v>75</v>
      </c>
      <c r="E744" s="22" t="s">
        <v>33</v>
      </c>
      <c r="F744" s="22" t="n">
        <v>40</v>
      </c>
      <c r="G744" s="22" t="s">
        <v>51</v>
      </c>
      <c r="H744" s="42" t="n">
        <v>2.3</v>
      </c>
      <c r="I744" s="36" t="n">
        <v>23</v>
      </c>
      <c r="J744" s="43" t="n">
        <v>0.18</v>
      </c>
      <c r="K744" s="22" t="n">
        <v>4.57</v>
      </c>
      <c r="L744" s="22" t="n">
        <v>0.425</v>
      </c>
      <c r="M744" s="22" t="n">
        <v>10.8</v>
      </c>
      <c r="N744" s="22" t="n">
        <v>0.181</v>
      </c>
      <c r="O744" s="22" t="n">
        <v>4.6</v>
      </c>
      <c r="P744" s="22" t="n">
        <v>0.0957</v>
      </c>
      <c r="Q744" s="22" t="n">
        <v>9.57</v>
      </c>
      <c r="R744" s="22" t="n">
        <v>0.22</v>
      </c>
      <c r="S744" s="22" t="n">
        <v>220</v>
      </c>
      <c r="T744" s="22" t="n">
        <v>0.164</v>
      </c>
      <c r="U744" s="22" t="n">
        <f aca="false">C744*1</f>
        <v>40</v>
      </c>
      <c r="V744" s="22" t="n">
        <f aca="false">VLOOKUP(U744,'Powder Core Toroid OD'!$A$2:$B$36,2,0)</f>
        <v>10.2</v>
      </c>
    </row>
    <row r="745" customFormat="false" ht="14.4" hidden="true" customHeight="false" outlineLevel="0" collapsed="false">
      <c r="A745" s="22" t="n">
        <v>55059</v>
      </c>
      <c r="B745" s="22" t="s">
        <v>253</v>
      </c>
      <c r="C745" s="23" t="n">
        <v>310</v>
      </c>
      <c r="D745" s="22" t="n">
        <v>60</v>
      </c>
      <c r="E745" s="22" t="s">
        <v>50</v>
      </c>
      <c r="F745" s="22" t="n">
        <v>43</v>
      </c>
      <c r="G745" s="22" t="s">
        <v>51</v>
      </c>
      <c r="H745" s="22" t="n">
        <v>5.67</v>
      </c>
      <c r="I745" s="22" t="n">
        <v>56.7</v>
      </c>
      <c r="J745" s="22" t="n">
        <v>0.525</v>
      </c>
      <c r="K745" s="22" t="n">
        <v>13.3</v>
      </c>
      <c r="L745" s="43" t="n">
        <v>0.93</v>
      </c>
      <c r="M745" s="22" t="n">
        <v>23.7</v>
      </c>
      <c r="N745" s="43" t="n">
        <v>0.33</v>
      </c>
      <c r="O745" s="22" t="n">
        <v>8.39</v>
      </c>
      <c r="P745" s="22" t="n">
        <v>0.317</v>
      </c>
      <c r="Q745" s="22" t="n">
        <v>31.7</v>
      </c>
      <c r="R745" s="42" t="n">
        <v>1.8</v>
      </c>
      <c r="S745" s="22" t="n">
        <v>1800</v>
      </c>
      <c r="T745" s="22" t="n">
        <v>1.39</v>
      </c>
      <c r="U745" s="22" t="n">
        <f aca="false">C745*1</f>
        <v>310</v>
      </c>
      <c r="V745" s="22" t="n">
        <f aca="false">VLOOKUP(U745,'Powder Core Toroid OD'!$A$2:$B$36,2,0)</f>
        <v>22.9</v>
      </c>
    </row>
    <row r="746" customFormat="false" ht="14.4" hidden="true" customHeight="false" outlineLevel="0" collapsed="false">
      <c r="A746" s="22" t="n">
        <v>58059</v>
      </c>
      <c r="B746" s="22" t="s">
        <v>506</v>
      </c>
      <c r="C746" s="23" t="n">
        <v>310</v>
      </c>
      <c r="D746" s="22" t="n">
        <v>60</v>
      </c>
      <c r="E746" s="22" t="s">
        <v>72</v>
      </c>
      <c r="F746" s="22" t="n">
        <v>43</v>
      </c>
      <c r="G746" s="22" t="s">
        <v>51</v>
      </c>
      <c r="H746" s="22" t="n">
        <v>5.67</v>
      </c>
      <c r="I746" s="22" t="n">
        <v>56.7</v>
      </c>
      <c r="J746" s="22" t="n">
        <v>0.525</v>
      </c>
      <c r="K746" s="22" t="n">
        <v>13.3</v>
      </c>
      <c r="L746" s="43" t="n">
        <v>0.93</v>
      </c>
      <c r="M746" s="22" t="n">
        <v>23.7</v>
      </c>
      <c r="N746" s="43" t="n">
        <v>0.33</v>
      </c>
      <c r="O746" s="22" t="n">
        <v>8.39</v>
      </c>
      <c r="P746" s="22" t="n">
        <v>0.317</v>
      </c>
      <c r="Q746" s="22" t="n">
        <v>31.7</v>
      </c>
      <c r="R746" s="42" t="n">
        <v>1.8</v>
      </c>
      <c r="S746" s="22" t="n">
        <v>1800</v>
      </c>
      <c r="T746" s="22" t="n">
        <v>1.39</v>
      </c>
      <c r="U746" s="22" t="n">
        <f aca="false">C746*1</f>
        <v>310</v>
      </c>
      <c r="V746" s="22" t="n">
        <f aca="false">VLOOKUP(U746,'Powder Core Toroid OD'!$A$2:$B$36,2,0)</f>
        <v>22.9</v>
      </c>
    </row>
    <row r="747" customFormat="false" ht="14.4" hidden="true" customHeight="false" outlineLevel="0" collapsed="false">
      <c r="A747" s="22" t="n">
        <v>77313</v>
      </c>
      <c r="B747" s="22" t="s">
        <v>825</v>
      </c>
      <c r="C747" s="23" t="n">
        <v>310</v>
      </c>
      <c r="D747" s="22" t="n">
        <v>14</v>
      </c>
      <c r="E747" s="22" t="s">
        <v>33</v>
      </c>
      <c r="F747" s="22" t="n">
        <v>9.9</v>
      </c>
      <c r="G747" s="22" t="s">
        <v>51</v>
      </c>
      <c r="H747" s="22" t="n">
        <v>5.67</v>
      </c>
      <c r="I747" s="22" t="n">
        <v>56.7</v>
      </c>
      <c r="J747" s="22" t="n">
        <v>0.525</v>
      </c>
      <c r="K747" s="22" t="n">
        <v>13.3</v>
      </c>
      <c r="L747" s="43" t="n">
        <v>0.93</v>
      </c>
      <c r="M747" s="22" t="n">
        <v>23.7</v>
      </c>
      <c r="N747" s="43" t="n">
        <v>0.33</v>
      </c>
      <c r="O747" s="22" t="n">
        <v>8.39</v>
      </c>
      <c r="P747" s="22" t="n">
        <v>0.317</v>
      </c>
      <c r="Q747" s="22" t="n">
        <v>31.7</v>
      </c>
      <c r="R747" s="42" t="n">
        <v>1.8</v>
      </c>
      <c r="S747" s="22" t="n">
        <v>1800</v>
      </c>
      <c r="T747" s="22" t="n">
        <v>1.39</v>
      </c>
      <c r="U747" s="22" t="n">
        <f aca="false">C747*1</f>
        <v>310</v>
      </c>
      <c r="V747" s="22" t="n">
        <f aca="false">VLOOKUP(U747,'Powder Core Toroid OD'!$A$2:$B$36,2,0)</f>
        <v>22.9</v>
      </c>
    </row>
    <row r="748" customFormat="false" ht="14.4" hidden="true" customHeight="false" outlineLevel="0" collapsed="false">
      <c r="A748" s="22" t="n">
        <v>77353</v>
      </c>
      <c r="B748" s="22" t="s">
        <v>826</v>
      </c>
      <c r="C748" s="23" t="n">
        <v>350</v>
      </c>
      <c r="D748" s="22" t="n">
        <v>14</v>
      </c>
      <c r="E748" s="22" t="s">
        <v>33</v>
      </c>
      <c r="F748" s="22" t="n">
        <v>12</v>
      </c>
      <c r="G748" s="22" t="s">
        <v>51</v>
      </c>
      <c r="H748" s="22" t="n">
        <v>5.88</v>
      </c>
      <c r="I748" s="22" t="n">
        <v>58.8</v>
      </c>
      <c r="J748" s="22" t="n">
        <v>0.542</v>
      </c>
      <c r="K748" s="22" t="n">
        <v>13.7</v>
      </c>
      <c r="L748" s="22" t="n">
        <v>0.958</v>
      </c>
      <c r="M748" s="22" t="n">
        <v>24.4</v>
      </c>
      <c r="N748" s="43" t="n">
        <v>0.38</v>
      </c>
      <c r="O748" s="22" t="n">
        <v>9.66</v>
      </c>
      <c r="P748" s="22" t="n">
        <v>0.388</v>
      </c>
      <c r="Q748" s="22" t="n">
        <v>38.8</v>
      </c>
      <c r="R748" s="42" t="n">
        <v>2.28144</v>
      </c>
      <c r="S748" s="22" t="n">
        <v>2280</v>
      </c>
      <c r="T748" s="22" t="n">
        <v>1.49</v>
      </c>
      <c r="U748" s="22" t="n">
        <f aca="false">C748*1</f>
        <v>350</v>
      </c>
      <c r="V748" s="22" t="n">
        <f aca="false">VLOOKUP(U748,'Powder Core Toroid OD'!$A$2:$B$36,2,0)</f>
        <v>23.6</v>
      </c>
    </row>
    <row r="749" customFormat="false" ht="14.4" hidden="true" customHeight="false" outlineLevel="0" collapsed="false">
      <c r="A749" s="22" t="n">
        <v>77933</v>
      </c>
      <c r="B749" s="22" t="s">
        <v>827</v>
      </c>
      <c r="C749" s="23" t="n">
        <v>930</v>
      </c>
      <c r="D749" s="22" t="n">
        <v>14</v>
      </c>
      <c r="E749" s="22" t="s">
        <v>33</v>
      </c>
      <c r="F749" s="22" t="n">
        <v>18</v>
      </c>
      <c r="G749" s="22" t="s">
        <v>51</v>
      </c>
      <c r="H749" s="22" t="n">
        <v>6.35</v>
      </c>
      <c r="I749" s="22" t="n">
        <v>63.5</v>
      </c>
      <c r="J749" s="22" t="n">
        <v>0.555</v>
      </c>
      <c r="K749" s="22" t="n">
        <v>14.1</v>
      </c>
      <c r="L749" s="43" t="n">
        <v>1.09</v>
      </c>
      <c r="M749" s="22" t="n">
        <v>27.69</v>
      </c>
      <c r="N749" s="43" t="n">
        <v>0.47</v>
      </c>
      <c r="O749" s="36" t="n">
        <v>12</v>
      </c>
      <c r="P749" s="22" t="n">
        <v>0.654</v>
      </c>
      <c r="Q749" s="22" t="n">
        <v>65.4</v>
      </c>
      <c r="R749" s="22" t="n">
        <v>4.15</v>
      </c>
      <c r="S749" s="22" t="n">
        <v>4150</v>
      </c>
      <c r="T749" s="22" t="n">
        <v>1.56</v>
      </c>
      <c r="U749" s="22" t="n">
        <f aca="false">C749*1</f>
        <v>930</v>
      </c>
      <c r="V749" s="22" t="n">
        <f aca="false">VLOOKUP(U749,'Powder Core Toroid OD'!$A$2:$B$36,2,0)</f>
        <v>26.9</v>
      </c>
    </row>
    <row r="750" customFormat="false" ht="14.4" hidden="true" customHeight="false" outlineLevel="0" collapsed="false">
      <c r="A750" s="22" t="n">
        <v>77551</v>
      </c>
      <c r="B750" s="22" t="s">
        <v>828</v>
      </c>
      <c r="C750" s="23" t="n">
        <v>548</v>
      </c>
      <c r="D750" s="22" t="n">
        <v>14</v>
      </c>
      <c r="E750" s="22" t="s">
        <v>33</v>
      </c>
      <c r="F750" s="22" t="n">
        <v>14</v>
      </c>
      <c r="G750" s="22" t="s">
        <v>51</v>
      </c>
      <c r="H750" s="22" t="n">
        <v>8.14</v>
      </c>
      <c r="I750" s="22" t="n">
        <v>81.4</v>
      </c>
      <c r="J750" s="22" t="n">
        <v>0.766</v>
      </c>
      <c r="K750" s="22" t="n">
        <v>19.4</v>
      </c>
      <c r="L750" s="22" t="n">
        <v>1.325</v>
      </c>
      <c r="M750" s="22" t="n">
        <v>33.66</v>
      </c>
      <c r="N750" s="43" t="n">
        <v>0.45</v>
      </c>
      <c r="O750" s="22" t="n">
        <v>11.5</v>
      </c>
      <c r="P750" s="22" t="n">
        <v>0.656</v>
      </c>
      <c r="Q750" s="22" t="n">
        <v>65.6</v>
      </c>
      <c r="R750" s="42" t="n">
        <v>5.34</v>
      </c>
      <c r="S750" s="22" t="n">
        <v>5340</v>
      </c>
      <c r="T750" s="22" t="n">
        <v>2.97</v>
      </c>
      <c r="U750" s="22" t="n">
        <f aca="false">C750*1</f>
        <v>548</v>
      </c>
      <c r="V750" s="22" t="n">
        <f aca="false">VLOOKUP(U750,'Powder Core Toroid OD'!$A$2:$B$36,2,0)</f>
        <v>32.8</v>
      </c>
    </row>
    <row r="751" customFormat="false" ht="14.4" hidden="true" customHeight="false" outlineLevel="0" collapsed="false">
      <c r="A751" s="22" t="n">
        <v>55584</v>
      </c>
      <c r="B751" s="22" t="s">
        <v>829</v>
      </c>
      <c r="C751" s="23" t="n">
        <v>585</v>
      </c>
      <c r="D751" s="22" t="n">
        <v>147</v>
      </c>
      <c r="E751" s="22" t="s">
        <v>50</v>
      </c>
      <c r="F751" s="22" t="n">
        <v>93</v>
      </c>
      <c r="G751" s="22" t="s">
        <v>51</v>
      </c>
      <c r="H751" s="22" t="n">
        <v>8.95</v>
      </c>
      <c r="I751" s="22" t="n">
        <v>89.5</v>
      </c>
      <c r="J751" s="22" t="n">
        <v>0.888</v>
      </c>
      <c r="K751" s="22" t="n">
        <v>22.5</v>
      </c>
      <c r="L751" s="22" t="n">
        <v>1.385</v>
      </c>
      <c r="M751" s="22" t="n">
        <v>35.18</v>
      </c>
      <c r="N751" s="22" t="n">
        <v>0.385</v>
      </c>
      <c r="O751" s="22" t="n">
        <v>9.78</v>
      </c>
      <c r="P751" s="22" t="n">
        <v>0.464</v>
      </c>
      <c r="Q751" s="22" t="n">
        <v>46.4</v>
      </c>
      <c r="R751" s="42" t="n">
        <v>4.15</v>
      </c>
      <c r="S751" s="22" t="n">
        <v>4150</v>
      </c>
      <c r="T751" s="22" t="n">
        <v>3.99</v>
      </c>
      <c r="U751" s="22" t="n">
        <f aca="false">C751*1</f>
        <v>585</v>
      </c>
      <c r="V751" s="22" t="n">
        <f aca="false">VLOOKUP(U751,'Powder Core Toroid OD'!$A$2:$B$36,2,0)</f>
        <v>34.3</v>
      </c>
    </row>
    <row r="752" customFormat="false" ht="14.4" hidden="true" customHeight="false" outlineLevel="0" collapsed="false">
      <c r="A752" s="22" t="n">
        <v>58584</v>
      </c>
      <c r="B752" s="22" t="s">
        <v>830</v>
      </c>
      <c r="C752" s="23" t="n">
        <v>585</v>
      </c>
      <c r="D752" s="22" t="n">
        <v>147</v>
      </c>
      <c r="E752" s="22" t="s">
        <v>72</v>
      </c>
      <c r="F752" s="22" t="n">
        <v>93</v>
      </c>
      <c r="G752" s="22" t="s">
        <v>51</v>
      </c>
      <c r="H752" s="22" t="n">
        <v>8.95</v>
      </c>
      <c r="I752" s="22" t="n">
        <v>89.5</v>
      </c>
      <c r="J752" s="22" t="n">
        <v>0.888</v>
      </c>
      <c r="K752" s="22" t="n">
        <v>22.5</v>
      </c>
      <c r="L752" s="22" t="n">
        <v>1.385</v>
      </c>
      <c r="M752" s="22" t="n">
        <v>35.18</v>
      </c>
      <c r="N752" s="22" t="n">
        <v>0.385</v>
      </c>
      <c r="O752" s="22" t="n">
        <v>9.78</v>
      </c>
      <c r="P752" s="22" t="n">
        <v>0.464</v>
      </c>
      <c r="Q752" s="22" t="n">
        <v>46.4</v>
      </c>
      <c r="R752" s="42" t="n">
        <v>4.15</v>
      </c>
      <c r="S752" s="22" t="n">
        <v>4150</v>
      </c>
      <c r="T752" s="22" t="n">
        <v>3.99</v>
      </c>
      <c r="U752" s="22" t="n">
        <f aca="false">C752*1</f>
        <v>585</v>
      </c>
      <c r="V752" s="22" t="n">
        <f aca="false">VLOOKUP(U752,'Powder Core Toroid OD'!$A$2:$B$36,2,0)</f>
        <v>34.3</v>
      </c>
    </row>
    <row r="753" customFormat="false" ht="14.4" hidden="true" customHeight="false" outlineLevel="0" collapsed="false">
      <c r="A753" s="22" t="n">
        <v>58587</v>
      </c>
      <c r="B753" s="22" t="s">
        <v>83</v>
      </c>
      <c r="C753" s="23" t="n">
        <v>585</v>
      </c>
      <c r="D753" s="22" t="n">
        <v>26</v>
      </c>
      <c r="E753" s="22" t="s">
        <v>72</v>
      </c>
      <c r="F753" s="22" t="n">
        <v>16</v>
      </c>
      <c r="G753" s="22" t="s">
        <v>51</v>
      </c>
      <c r="H753" s="22" t="n">
        <v>8.95</v>
      </c>
      <c r="I753" s="22" t="n">
        <v>89.5</v>
      </c>
      <c r="J753" s="22" t="n">
        <v>0.888</v>
      </c>
      <c r="K753" s="22" t="n">
        <v>22.5</v>
      </c>
      <c r="L753" s="22" t="n">
        <v>1.385</v>
      </c>
      <c r="M753" s="22" t="n">
        <v>35.18</v>
      </c>
      <c r="N753" s="22" t="n">
        <v>0.385</v>
      </c>
      <c r="O753" s="22" t="n">
        <v>9.78</v>
      </c>
      <c r="P753" s="22" t="n">
        <v>0.464</v>
      </c>
      <c r="Q753" s="22" t="n">
        <v>46.4</v>
      </c>
      <c r="R753" s="42" t="n">
        <v>4.15</v>
      </c>
      <c r="S753" s="22" t="n">
        <v>4150</v>
      </c>
      <c r="T753" s="22" t="n">
        <v>3.99</v>
      </c>
      <c r="U753" s="22" t="n">
        <f aca="false">C753*1</f>
        <v>585</v>
      </c>
      <c r="V753" s="22" t="n">
        <f aca="false">VLOOKUP(U753,'Powder Core Toroid OD'!$A$2:$B$36,2,0)</f>
        <v>34.3</v>
      </c>
    </row>
    <row r="754" customFormat="false" ht="14.4" hidden="true" customHeight="false" outlineLevel="0" collapsed="false">
      <c r="A754" s="22" t="n">
        <v>58588</v>
      </c>
      <c r="B754" s="22" t="s">
        <v>831</v>
      </c>
      <c r="C754" s="23" t="n">
        <v>585</v>
      </c>
      <c r="D754" s="22" t="n">
        <v>14</v>
      </c>
      <c r="E754" s="22" t="s">
        <v>72</v>
      </c>
      <c r="F754" s="22" t="n">
        <v>9</v>
      </c>
      <c r="G754" s="22" t="s">
        <v>51</v>
      </c>
      <c r="H754" s="22" t="n">
        <v>8.95</v>
      </c>
      <c r="I754" s="22" t="n">
        <v>89.5</v>
      </c>
      <c r="J754" s="22" t="n">
        <v>0.888</v>
      </c>
      <c r="K754" s="22" t="n">
        <v>22.5</v>
      </c>
      <c r="L754" s="22" t="n">
        <v>1.385</v>
      </c>
      <c r="M754" s="22" t="n">
        <v>35.18</v>
      </c>
      <c r="N754" s="22" t="n">
        <v>0.385</v>
      </c>
      <c r="O754" s="22" t="n">
        <v>9.78</v>
      </c>
      <c r="P754" s="22" t="n">
        <v>0.464</v>
      </c>
      <c r="Q754" s="22" t="n">
        <v>46.4</v>
      </c>
      <c r="R754" s="42" t="n">
        <v>4.15</v>
      </c>
      <c r="S754" s="22" t="n">
        <v>4150</v>
      </c>
      <c r="T754" s="22" t="n">
        <v>3.99</v>
      </c>
      <c r="U754" s="22" t="n">
        <f aca="false">C754*1</f>
        <v>585</v>
      </c>
      <c r="V754" s="22" t="n">
        <f aca="false">VLOOKUP(U754,'Powder Core Toroid OD'!$A$2:$B$36,2,0)</f>
        <v>34.3</v>
      </c>
    </row>
    <row r="755" customFormat="false" ht="14.4" hidden="true" customHeight="false" outlineLevel="0" collapsed="false">
      <c r="A755" s="22" t="n">
        <v>77588</v>
      </c>
      <c r="B755" s="22" t="s">
        <v>832</v>
      </c>
      <c r="C755" s="23" t="n">
        <v>585</v>
      </c>
      <c r="D755" s="22" t="n">
        <v>14</v>
      </c>
      <c r="E755" s="22" t="s">
        <v>33</v>
      </c>
      <c r="F755" s="22" t="n">
        <v>9</v>
      </c>
      <c r="G755" s="22" t="s">
        <v>51</v>
      </c>
      <c r="H755" s="22" t="n">
        <v>8.95</v>
      </c>
      <c r="I755" s="22" t="n">
        <v>89.5</v>
      </c>
      <c r="J755" s="22" t="n">
        <v>0.888</v>
      </c>
      <c r="K755" s="22" t="n">
        <v>22.5</v>
      </c>
      <c r="L755" s="22" t="n">
        <v>1.385</v>
      </c>
      <c r="M755" s="22" t="n">
        <v>35.18</v>
      </c>
      <c r="N755" s="22" t="n">
        <v>0.385</v>
      </c>
      <c r="O755" s="22" t="n">
        <v>9.78</v>
      </c>
      <c r="P755" s="22" t="n">
        <v>0.464</v>
      </c>
      <c r="Q755" s="22" t="n">
        <v>46.4</v>
      </c>
      <c r="R755" s="42" t="n">
        <v>4.15</v>
      </c>
      <c r="S755" s="22" t="n">
        <v>4150</v>
      </c>
      <c r="T755" s="22" t="n">
        <v>3.99</v>
      </c>
      <c r="U755" s="22" t="n">
        <f aca="false">C755*1</f>
        <v>585</v>
      </c>
      <c r="V755" s="22" t="n">
        <f aca="false">VLOOKUP(U755,'Powder Core Toroid OD'!$A$2:$B$36,2,0)</f>
        <v>34.3</v>
      </c>
    </row>
    <row r="756" customFormat="false" ht="14.4" hidden="true" customHeight="false" outlineLevel="0" collapsed="false">
      <c r="A756" s="22" t="n">
        <v>58323</v>
      </c>
      <c r="B756" s="22" t="s">
        <v>833</v>
      </c>
      <c r="C756" s="23" t="n">
        <v>324</v>
      </c>
      <c r="D756" s="22" t="n">
        <v>147</v>
      </c>
      <c r="E756" s="22" t="s">
        <v>72</v>
      </c>
      <c r="F756" s="22" t="n">
        <v>138</v>
      </c>
      <c r="G756" s="22" t="s">
        <v>51</v>
      </c>
      <c r="H756" s="22" t="n">
        <v>8.98</v>
      </c>
      <c r="I756" s="22" t="n">
        <v>89.8</v>
      </c>
      <c r="J756" s="22" t="n">
        <v>0.848</v>
      </c>
      <c r="K756" s="22" t="n">
        <v>21.5</v>
      </c>
      <c r="L756" s="22" t="n">
        <v>1.445</v>
      </c>
      <c r="M756" s="22" t="n">
        <v>36.71</v>
      </c>
      <c r="N756" s="22" t="n">
        <v>0.447</v>
      </c>
      <c r="O756" s="22" t="n">
        <v>11.4</v>
      </c>
      <c r="P756" s="22" t="n">
        <v>0.678</v>
      </c>
      <c r="Q756" s="22" t="n">
        <v>67.8</v>
      </c>
      <c r="R756" s="42" t="n">
        <v>6.09</v>
      </c>
      <c r="S756" s="22" t="n">
        <v>6090</v>
      </c>
      <c r="T756" s="22" t="n">
        <v>3.64</v>
      </c>
      <c r="U756" s="22" t="n">
        <f aca="false">C756*1</f>
        <v>324</v>
      </c>
      <c r="V756" s="22" t="n">
        <f aca="false">VLOOKUP(U756,'Powder Core Toroid OD'!$A$2:$B$36,2,0)</f>
        <v>35.8</v>
      </c>
    </row>
    <row r="757" customFormat="false" ht="14.4" hidden="true" customHeight="false" outlineLevel="0" collapsed="false">
      <c r="A757" s="22" t="n">
        <v>77327</v>
      </c>
      <c r="B757" s="22" t="s">
        <v>834</v>
      </c>
      <c r="C757" s="23" t="n">
        <v>324</v>
      </c>
      <c r="D757" s="22" t="n">
        <v>14</v>
      </c>
      <c r="E757" s="22" t="s">
        <v>33</v>
      </c>
      <c r="F757" s="22" t="n">
        <v>13</v>
      </c>
      <c r="G757" s="22" t="s">
        <v>51</v>
      </c>
      <c r="H757" s="22" t="n">
        <v>8.98</v>
      </c>
      <c r="I757" s="22" t="n">
        <v>89.8</v>
      </c>
      <c r="J757" s="22" t="n">
        <v>0.848</v>
      </c>
      <c r="K757" s="22" t="n">
        <v>21.5</v>
      </c>
      <c r="L757" s="22" t="n">
        <v>1.445</v>
      </c>
      <c r="M757" s="22" t="n">
        <v>36.71</v>
      </c>
      <c r="N757" s="22" t="n">
        <v>0.447</v>
      </c>
      <c r="O757" s="22" t="n">
        <v>11.4</v>
      </c>
      <c r="P757" s="22" t="n">
        <v>0.678</v>
      </c>
      <c r="Q757" s="22" t="n">
        <v>67.8</v>
      </c>
      <c r="R757" s="42" t="n">
        <v>6.09</v>
      </c>
      <c r="S757" s="22" t="n">
        <v>6090</v>
      </c>
      <c r="T757" s="22" t="n">
        <v>3.64</v>
      </c>
      <c r="U757" s="22" t="n">
        <f aca="false">C757*1</f>
        <v>324</v>
      </c>
      <c r="V757" s="22" t="n">
        <f aca="false">VLOOKUP(U757,'Powder Core Toroid OD'!$A$2:$B$36,2,0)</f>
        <v>35.8</v>
      </c>
    </row>
    <row r="758" customFormat="false" ht="14.4" hidden="true" customHeight="false" outlineLevel="0" collapsed="false">
      <c r="A758" s="22" t="n">
        <v>77257</v>
      </c>
      <c r="B758" s="22" t="s">
        <v>835</v>
      </c>
      <c r="C758" s="23" t="n">
        <v>254</v>
      </c>
      <c r="D758" s="22" t="n">
        <v>14</v>
      </c>
      <c r="E758" s="22" t="s">
        <v>33</v>
      </c>
      <c r="F758" s="22" t="n">
        <v>19</v>
      </c>
      <c r="G758" s="22" t="s">
        <v>51</v>
      </c>
      <c r="H758" s="22" t="n">
        <v>9.84</v>
      </c>
      <c r="I758" s="22" t="n">
        <v>98.4</v>
      </c>
      <c r="J758" s="22" t="n">
        <v>0.918</v>
      </c>
      <c r="K758" s="22" t="n">
        <v>23.3</v>
      </c>
      <c r="L758" s="22" t="n">
        <v>1.605</v>
      </c>
      <c r="M758" s="22" t="n">
        <v>40.77</v>
      </c>
      <c r="N758" s="22" t="n">
        <v>0.605</v>
      </c>
      <c r="O758" s="22" t="n">
        <v>15.4</v>
      </c>
      <c r="P758" s="22" t="n">
        <v>1.07</v>
      </c>
      <c r="Q758" s="22" t="n">
        <v>107</v>
      </c>
      <c r="R758" s="36" t="n">
        <v>10.6</v>
      </c>
      <c r="S758" s="22" t="n">
        <v>10600</v>
      </c>
      <c r="T758" s="22" t="n">
        <v>4.27</v>
      </c>
      <c r="U758" s="22" t="n">
        <f aca="false">C758*1</f>
        <v>254</v>
      </c>
      <c r="V758" s="22" t="n">
        <f aca="false">VLOOKUP(U758,'Powder Core Toroid OD'!$A$2:$B$36,2,0)</f>
        <v>39.9</v>
      </c>
    </row>
    <row r="759" customFormat="false" ht="14.4" hidden="true" customHeight="false" outlineLevel="0" collapsed="false">
      <c r="A759" s="22" t="n">
        <v>58437</v>
      </c>
      <c r="B759" s="22" t="s">
        <v>836</v>
      </c>
      <c r="C759" s="23" t="n">
        <v>438</v>
      </c>
      <c r="D759" s="22" t="n">
        <v>147</v>
      </c>
      <c r="E759" s="22" t="s">
        <v>806</v>
      </c>
      <c r="F759" s="22" t="n">
        <v>330</v>
      </c>
      <c r="G759" s="22" t="s">
        <v>51</v>
      </c>
      <c r="H759" s="22" t="n">
        <v>10.7</v>
      </c>
      <c r="I759" s="22" t="n">
        <v>107</v>
      </c>
      <c r="J759" s="22" t="n">
        <v>0.918</v>
      </c>
      <c r="K759" s="22" t="n">
        <v>23.3</v>
      </c>
      <c r="L759" s="22" t="n">
        <v>1.875</v>
      </c>
      <c r="M759" s="22" t="n">
        <v>47.63</v>
      </c>
      <c r="N759" s="22" t="n">
        <v>0.745</v>
      </c>
      <c r="O759" s="36" t="n">
        <v>19</v>
      </c>
      <c r="P759" s="22" t="n">
        <v>1.99</v>
      </c>
      <c r="Q759" s="22" t="n">
        <v>199</v>
      </c>
      <c r="R759" s="22" t="n">
        <v>21.3</v>
      </c>
      <c r="S759" s="22" t="n">
        <v>21300</v>
      </c>
      <c r="T759" s="22" t="n">
        <v>4.27</v>
      </c>
      <c r="U759" s="22" t="n">
        <f aca="false">C759*1</f>
        <v>438</v>
      </c>
      <c r="V759" s="22" t="n">
        <f aca="false">VLOOKUP(U759,'Powder Core Toroid OD'!$A$2:$B$36,2,0)</f>
        <v>46.7</v>
      </c>
    </row>
    <row r="760" customFormat="false" ht="14.4" hidden="true" customHeight="false" outlineLevel="0" collapsed="false">
      <c r="A760" s="22" t="n">
        <v>77441</v>
      </c>
      <c r="B760" s="22" t="s">
        <v>837</v>
      </c>
      <c r="C760" s="23" t="n">
        <v>438</v>
      </c>
      <c r="D760" s="22" t="n">
        <v>14</v>
      </c>
      <c r="E760" s="22" t="s">
        <v>33</v>
      </c>
      <c r="F760" s="22" t="n">
        <v>32</v>
      </c>
      <c r="G760" s="22" t="s">
        <v>51</v>
      </c>
      <c r="H760" s="22" t="n">
        <v>10.7</v>
      </c>
      <c r="I760" s="22" t="n">
        <v>107</v>
      </c>
      <c r="J760" s="22" t="n">
        <v>0.918</v>
      </c>
      <c r="K760" s="22" t="n">
        <v>23.3</v>
      </c>
      <c r="L760" s="22" t="n">
        <v>1.875</v>
      </c>
      <c r="M760" s="22" t="n">
        <v>47.63</v>
      </c>
      <c r="N760" s="22" t="n">
        <v>0.745</v>
      </c>
      <c r="O760" s="36" t="n">
        <v>19</v>
      </c>
      <c r="P760" s="22" t="n">
        <v>1.99</v>
      </c>
      <c r="Q760" s="22" t="n">
        <v>199</v>
      </c>
      <c r="R760" s="22" t="n">
        <v>21.3</v>
      </c>
      <c r="S760" s="22" t="n">
        <v>21300</v>
      </c>
      <c r="T760" s="22" t="n">
        <v>4.27</v>
      </c>
      <c r="U760" s="22" t="n">
        <f aca="false">C760*1</f>
        <v>438</v>
      </c>
      <c r="V760" s="22" t="n">
        <f aca="false">VLOOKUP(U760,'Powder Core Toroid OD'!$A$2:$B$36,2,0)</f>
        <v>46.7</v>
      </c>
    </row>
    <row r="761" customFormat="false" ht="14.4" hidden="true" customHeight="false" outlineLevel="0" collapsed="false">
      <c r="A761" s="22" t="n">
        <v>77092</v>
      </c>
      <c r="B761" s="22" t="s">
        <v>838</v>
      </c>
      <c r="C761" s="23" t="s">
        <v>258</v>
      </c>
      <c r="D761" s="22" t="n">
        <v>14</v>
      </c>
      <c r="E761" s="22" t="s">
        <v>33</v>
      </c>
      <c r="F761" s="22" t="n">
        <v>20</v>
      </c>
      <c r="G761" s="22" t="s">
        <v>51</v>
      </c>
      <c r="H761" s="22" t="n">
        <v>11.6</v>
      </c>
      <c r="I761" s="22" t="n">
        <v>116</v>
      </c>
      <c r="J761" s="22" t="n">
        <v>1.098</v>
      </c>
      <c r="K761" s="22" t="n">
        <v>27.88</v>
      </c>
      <c r="L761" s="22" t="n">
        <v>1.875</v>
      </c>
      <c r="M761" s="22" t="n">
        <v>47.63</v>
      </c>
      <c r="N761" s="22" t="n">
        <v>0.635</v>
      </c>
      <c r="O761" s="22" t="n">
        <v>16.1</v>
      </c>
      <c r="P761" s="22" t="n">
        <v>1.34</v>
      </c>
      <c r="Q761" s="22" t="n">
        <v>134</v>
      </c>
      <c r="R761" s="22" t="n">
        <v>15.6</v>
      </c>
      <c r="S761" s="22" t="n">
        <v>15600</v>
      </c>
      <c r="T761" s="22" t="n">
        <v>6.1</v>
      </c>
      <c r="U761" s="22" t="n">
        <f aca="false">C761*1</f>
        <v>89</v>
      </c>
      <c r="V761" s="22" t="n">
        <f aca="false">VLOOKUP(U761,'Powder Core Toroid OD'!$A$2:$B$36,2,0)</f>
        <v>46.7</v>
      </c>
    </row>
    <row r="762" customFormat="false" ht="14.4" hidden="true" customHeight="false" outlineLevel="0" collapsed="false">
      <c r="A762" s="22" t="n">
        <v>55082</v>
      </c>
      <c r="B762" s="22" t="s">
        <v>839</v>
      </c>
      <c r="C762" s="23" t="s">
        <v>258</v>
      </c>
      <c r="D762" s="22" t="n">
        <v>173</v>
      </c>
      <c r="E762" s="22" t="s">
        <v>50</v>
      </c>
      <c r="F762" s="22" t="n">
        <v>246</v>
      </c>
      <c r="G762" s="22" t="s">
        <v>51</v>
      </c>
      <c r="H762" s="22" t="n">
        <v>11.6</v>
      </c>
      <c r="I762" s="22" t="n">
        <v>116</v>
      </c>
      <c r="J762" s="22" t="n">
        <v>1.098</v>
      </c>
      <c r="K762" s="22" t="n">
        <v>27.88</v>
      </c>
      <c r="L762" s="22" t="n">
        <v>1.875</v>
      </c>
      <c r="M762" s="22" t="n">
        <v>47.63</v>
      </c>
      <c r="N762" s="22" t="n">
        <v>0.635</v>
      </c>
      <c r="O762" s="22" t="n">
        <v>16.1</v>
      </c>
      <c r="P762" s="22" t="n">
        <v>1.34</v>
      </c>
      <c r="Q762" s="22" t="n">
        <v>134</v>
      </c>
      <c r="R762" s="22" t="n">
        <v>15.6</v>
      </c>
      <c r="S762" s="22" t="n">
        <v>15600</v>
      </c>
      <c r="T762" s="22" t="n">
        <v>6.1</v>
      </c>
      <c r="U762" s="22" t="n">
        <f aca="false">C762*1</f>
        <v>89</v>
      </c>
      <c r="V762" s="22" t="n">
        <f aca="false">VLOOKUP(U762,'Powder Core Toroid OD'!$A$2:$B$36,2,0)</f>
        <v>46.7</v>
      </c>
    </row>
    <row r="763" customFormat="false" ht="14.4" hidden="true" customHeight="false" outlineLevel="0" collapsed="false">
      <c r="A763" s="22" t="n">
        <v>55084</v>
      </c>
      <c r="B763" s="22" t="s">
        <v>257</v>
      </c>
      <c r="C763" s="23" t="s">
        <v>258</v>
      </c>
      <c r="D763" s="22" t="n">
        <v>300</v>
      </c>
      <c r="E763" s="22" t="s">
        <v>50</v>
      </c>
      <c r="F763" s="22" t="n">
        <v>427</v>
      </c>
      <c r="G763" s="22" t="s">
        <v>51</v>
      </c>
      <c r="H763" s="22" t="n">
        <v>11.6</v>
      </c>
      <c r="I763" s="22" t="n">
        <v>116</v>
      </c>
      <c r="J763" s="22" t="n">
        <v>1.098</v>
      </c>
      <c r="K763" s="22" t="n">
        <v>27.88</v>
      </c>
      <c r="L763" s="22" t="n">
        <v>1.875</v>
      </c>
      <c r="M763" s="22" t="n">
        <v>47.63</v>
      </c>
      <c r="N763" s="22" t="n">
        <v>0.635</v>
      </c>
      <c r="O763" s="22" t="n">
        <v>16.1</v>
      </c>
      <c r="P763" s="22" t="n">
        <v>1.34</v>
      </c>
      <c r="Q763" s="22" t="n">
        <v>134</v>
      </c>
      <c r="R763" s="22" t="n">
        <v>15.6</v>
      </c>
      <c r="S763" s="22" t="n">
        <v>15600</v>
      </c>
      <c r="T763" s="22" t="n">
        <v>6.1</v>
      </c>
      <c r="U763" s="22" t="n">
        <f aca="false">C763*1</f>
        <v>89</v>
      </c>
      <c r="V763" s="22" t="n">
        <f aca="false">VLOOKUP(U763,'Powder Core Toroid OD'!$A$2:$B$36,2,0)</f>
        <v>46.7</v>
      </c>
    </row>
    <row r="764" customFormat="false" ht="14.4" hidden="true" customHeight="false" outlineLevel="0" collapsed="false">
      <c r="A764" s="22" t="n">
        <v>55086</v>
      </c>
      <c r="B764" s="22" t="s">
        <v>259</v>
      </c>
      <c r="C764" s="23" t="s">
        <v>258</v>
      </c>
      <c r="D764" s="22" t="n">
        <v>200</v>
      </c>
      <c r="E764" s="22" t="s">
        <v>50</v>
      </c>
      <c r="F764" s="22" t="n">
        <v>285</v>
      </c>
      <c r="G764" s="22" t="s">
        <v>51</v>
      </c>
      <c r="H764" s="22" t="n">
        <v>11.6</v>
      </c>
      <c r="I764" s="22" t="n">
        <v>116</v>
      </c>
      <c r="J764" s="22" t="n">
        <v>1.098</v>
      </c>
      <c r="K764" s="22" t="n">
        <v>27.88</v>
      </c>
      <c r="L764" s="22" t="n">
        <v>1.875</v>
      </c>
      <c r="M764" s="22" t="n">
        <v>47.63</v>
      </c>
      <c r="N764" s="22" t="n">
        <v>0.635</v>
      </c>
      <c r="O764" s="22" t="n">
        <v>16.1</v>
      </c>
      <c r="P764" s="22" t="n">
        <v>1.34</v>
      </c>
      <c r="Q764" s="22" t="n">
        <v>134</v>
      </c>
      <c r="R764" s="22" t="n">
        <v>15.6</v>
      </c>
      <c r="S764" s="22" t="n">
        <v>15600</v>
      </c>
      <c r="T764" s="22" t="n">
        <v>6.1</v>
      </c>
      <c r="U764" s="22" t="n">
        <f aca="false">C764*1</f>
        <v>89</v>
      </c>
      <c r="V764" s="22" t="n">
        <f aca="false">VLOOKUP(U764,'Powder Core Toroid OD'!$A$2:$B$36,2,0)</f>
        <v>46.7</v>
      </c>
    </row>
    <row r="765" customFormat="false" ht="14.4" hidden="true" customHeight="false" outlineLevel="0" collapsed="false">
      <c r="A765" s="22" t="n">
        <v>55087</v>
      </c>
      <c r="B765" s="22" t="s">
        <v>260</v>
      </c>
      <c r="C765" s="23" t="s">
        <v>258</v>
      </c>
      <c r="D765" s="22" t="n">
        <v>160</v>
      </c>
      <c r="E765" s="22" t="s">
        <v>50</v>
      </c>
      <c r="F765" s="22" t="n">
        <v>228</v>
      </c>
      <c r="G765" s="22" t="s">
        <v>51</v>
      </c>
      <c r="H765" s="22" t="n">
        <v>11.6</v>
      </c>
      <c r="I765" s="22" t="n">
        <v>116</v>
      </c>
      <c r="J765" s="22" t="n">
        <v>1.098</v>
      </c>
      <c r="K765" s="22" t="n">
        <v>27.88</v>
      </c>
      <c r="L765" s="22" t="n">
        <v>1.875</v>
      </c>
      <c r="M765" s="22" t="n">
        <v>47.63</v>
      </c>
      <c r="N765" s="22" t="n">
        <v>0.635</v>
      </c>
      <c r="O765" s="22" t="n">
        <v>16.1</v>
      </c>
      <c r="P765" s="22" t="n">
        <v>1.34</v>
      </c>
      <c r="Q765" s="22" t="n">
        <v>134</v>
      </c>
      <c r="R765" s="22" t="n">
        <v>15.6</v>
      </c>
      <c r="S765" s="22" t="n">
        <v>15600</v>
      </c>
      <c r="T765" s="22" t="n">
        <v>6.1</v>
      </c>
      <c r="U765" s="22" t="n">
        <f aca="false">C765*1</f>
        <v>89</v>
      </c>
      <c r="V765" s="22" t="n">
        <f aca="false">VLOOKUP(U765,'Powder Core Toroid OD'!$A$2:$B$36,2,0)</f>
        <v>46.7</v>
      </c>
    </row>
    <row r="766" customFormat="false" ht="14.4" hidden="true" customHeight="false" outlineLevel="0" collapsed="false">
      <c r="A766" s="22" t="n">
        <v>55088</v>
      </c>
      <c r="B766" s="22" t="s">
        <v>261</v>
      </c>
      <c r="C766" s="23" t="s">
        <v>258</v>
      </c>
      <c r="D766" s="22" t="n">
        <v>147</v>
      </c>
      <c r="E766" s="22" t="s">
        <v>50</v>
      </c>
      <c r="F766" s="22" t="n">
        <v>210</v>
      </c>
      <c r="G766" s="22" t="s">
        <v>51</v>
      </c>
      <c r="H766" s="22" t="n">
        <v>11.6</v>
      </c>
      <c r="I766" s="22" t="n">
        <v>116</v>
      </c>
      <c r="J766" s="22" t="n">
        <v>1.098</v>
      </c>
      <c r="K766" s="22" t="n">
        <v>27.88</v>
      </c>
      <c r="L766" s="22" t="n">
        <v>1.875</v>
      </c>
      <c r="M766" s="22" t="n">
        <v>47.63</v>
      </c>
      <c r="N766" s="22" t="n">
        <v>0.635</v>
      </c>
      <c r="O766" s="22" t="n">
        <v>16.1</v>
      </c>
      <c r="P766" s="22" t="n">
        <v>1.34</v>
      </c>
      <c r="Q766" s="22" t="n">
        <v>134</v>
      </c>
      <c r="R766" s="22" t="n">
        <v>15.6</v>
      </c>
      <c r="S766" s="22" t="n">
        <v>15600</v>
      </c>
      <c r="T766" s="22" t="n">
        <v>6.1</v>
      </c>
      <c r="U766" s="22" t="n">
        <f aca="false">C766*1</f>
        <v>89</v>
      </c>
      <c r="V766" s="22" t="n">
        <f aca="false">VLOOKUP(U766,'Powder Core Toroid OD'!$A$2:$B$36,2,0)</f>
        <v>46.7</v>
      </c>
    </row>
    <row r="767" customFormat="false" ht="14.4" hidden="true" customHeight="false" outlineLevel="0" collapsed="false">
      <c r="A767" s="22" t="n">
        <v>55089</v>
      </c>
      <c r="B767" s="22" t="s">
        <v>262</v>
      </c>
      <c r="C767" s="23" t="s">
        <v>258</v>
      </c>
      <c r="D767" s="22" t="n">
        <v>125</v>
      </c>
      <c r="E767" s="22" t="s">
        <v>50</v>
      </c>
      <c r="F767" s="22" t="n">
        <v>178</v>
      </c>
      <c r="G767" s="22" t="s">
        <v>51</v>
      </c>
      <c r="H767" s="22" t="n">
        <v>11.6</v>
      </c>
      <c r="I767" s="22" t="n">
        <v>116</v>
      </c>
      <c r="J767" s="22" t="n">
        <v>1.098</v>
      </c>
      <c r="K767" s="22" t="n">
        <v>27.88</v>
      </c>
      <c r="L767" s="22" t="n">
        <v>1.875</v>
      </c>
      <c r="M767" s="22" t="n">
        <v>47.63</v>
      </c>
      <c r="N767" s="22" t="n">
        <v>0.635</v>
      </c>
      <c r="O767" s="22" t="n">
        <v>16.1</v>
      </c>
      <c r="P767" s="22" t="n">
        <v>1.34</v>
      </c>
      <c r="Q767" s="22" t="n">
        <v>134</v>
      </c>
      <c r="R767" s="22" t="n">
        <v>15.6</v>
      </c>
      <c r="S767" s="22" t="n">
        <v>15600</v>
      </c>
      <c r="T767" s="22" t="n">
        <v>6.1</v>
      </c>
      <c r="U767" s="22" t="n">
        <f aca="false">C767*1</f>
        <v>89</v>
      </c>
      <c r="V767" s="22" t="n">
        <f aca="false">VLOOKUP(U767,'Powder Core Toroid OD'!$A$2:$B$36,2,0)</f>
        <v>46.7</v>
      </c>
    </row>
    <row r="768" customFormat="false" ht="14.4" hidden="true" customHeight="false" outlineLevel="0" collapsed="false">
      <c r="A768" s="22" t="n">
        <v>55090</v>
      </c>
      <c r="B768" s="22" t="s">
        <v>263</v>
      </c>
      <c r="C768" s="23" t="s">
        <v>258</v>
      </c>
      <c r="D768" s="22" t="n">
        <v>60</v>
      </c>
      <c r="E768" s="22" t="s">
        <v>50</v>
      </c>
      <c r="F768" s="22" t="n">
        <v>86</v>
      </c>
      <c r="G768" s="22" t="s">
        <v>51</v>
      </c>
      <c r="H768" s="22" t="n">
        <v>11.6</v>
      </c>
      <c r="I768" s="22" t="n">
        <v>116</v>
      </c>
      <c r="J768" s="22" t="n">
        <v>1.098</v>
      </c>
      <c r="K768" s="22" t="n">
        <v>27.88</v>
      </c>
      <c r="L768" s="22" t="n">
        <v>1.875</v>
      </c>
      <c r="M768" s="22" t="n">
        <v>47.63</v>
      </c>
      <c r="N768" s="22" t="n">
        <v>0.635</v>
      </c>
      <c r="O768" s="22" t="n">
        <v>16.1</v>
      </c>
      <c r="P768" s="22" t="n">
        <v>1.34</v>
      </c>
      <c r="Q768" s="22" t="n">
        <v>134</v>
      </c>
      <c r="R768" s="22" t="n">
        <v>15.6</v>
      </c>
      <c r="S768" s="22" t="n">
        <v>15600</v>
      </c>
      <c r="T768" s="22" t="n">
        <v>6.1</v>
      </c>
      <c r="U768" s="22" t="n">
        <f aca="false">C768*1</f>
        <v>89</v>
      </c>
      <c r="V768" s="22" t="n">
        <f aca="false">VLOOKUP(U768,'Powder Core Toroid OD'!$A$2:$B$36,2,0)</f>
        <v>46.7</v>
      </c>
    </row>
    <row r="769" customFormat="false" ht="14.4" hidden="true" customHeight="false" outlineLevel="0" collapsed="false">
      <c r="A769" s="22" t="n">
        <v>77092</v>
      </c>
      <c r="B769" s="22" t="s">
        <v>838</v>
      </c>
      <c r="C769" s="23" t="s">
        <v>258</v>
      </c>
      <c r="D769" s="22" t="n">
        <v>14</v>
      </c>
      <c r="E769" s="22" t="s">
        <v>33</v>
      </c>
      <c r="F769" s="22" t="n">
        <v>20</v>
      </c>
      <c r="G769" s="22" t="s">
        <v>51</v>
      </c>
      <c r="H769" s="22" t="n">
        <v>11.6</v>
      </c>
      <c r="I769" s="22" t="n">
        <v>116</v>
      </c>
      <c r="J769" s="22" t="n">
        <v>1.098</v>
      </c>
      <c r="K769" s="22" t="n">
        <v>27.88</v>
      </c>
      <c r="L769" s="22" t="n">
        <v>1.875</v>
      </c>
      <c r="M769" s="22" t="n">
        <v>47.63</v>
      </c>
      <c r="N769" s="22" t="n">
        <v>0.635</v>
      </c>
      <c r="O769" s="22" t="n">
        <v>16.1</v>
      </c>
      <c r="P769" s="22" t="n">
        <v>1.34</v>
      </c>
      <c r="Q769" s="22" t="n">
        <v>134</v>
      </c>
      <c r="R769" s="22" t="n">
        <v>15.6</v>
      </c>
      <c r="S769" s="22" t="n">
        <v>15600</v>
      </c>
      <c r="T769" s="22" t="n">
        <v>6.1</v>
      </c>
      <c r="U769" s="22" t="n">
        <f aca="false">C769*1</f>
        <v>89</v>
      </c>
      <c r="V769" s="22" t="n">
        <f aca="false">VLOOKUP(U769,'Powder Core Toroid OD'!$A$2:$B$36,2,0)</f>
        <v>46.7</v>
      </c>
    </row>
    <row r="770" customFormat="false" ht="14.4" hidden="true" customHeight="false" outlineLevel="0" collapsed="false">
      <c r="A770" s="22" t="n">
        <v>77718</v>
      </c>
      <c r="B770" s="22" t="s">
        <v>840</v>
      </c>
      <c r="C770" s="23" t="n">
        <v>715</v>
      </c>
      <c r="D770" s="22" t="n">
        <v>14</v>
      </c>
      <c r="E770" s="22" t="s">
        <v>33</v>
      </c>
      <c r="F770" s="22" t="n">
        <v>17</v>
      </c>
      <c r="G770" s="22" t="s">
        <v>51</v>
      </c>
      <c r="H770" s="22" t="n">
        <v>12.7</v>
      </c>
      <c r="I770" s="22" t="n">
        <v>127</v>
      </c>
      <c r="J770" s="22" t="n">
        <v>1.218</v>
      </c>
      <c r="K770" s="22" t="n">
        <v>30.93</v>
      </c>
      <c r="L770" s="22" t="n">
        <v>2.035</v>
      </c>
      <c r="M770" s="22" t="n">
        <v>51.69</v>
      </c>
      <c r="N770" s="22" t="n">
        <v>0.565</v>
      </c>
      <c r="O770" s="22" t="n">
        <v>14.4</v>
      </c>
      <c r="P770" s="22" t="n">
        <v>1.25</v>
      </c>
      <c r="Q770" s="22" t="n">
        <v>125</v>
      </c>
      <c r="R770" s="22" t="n">
        <v>15.9</v>
      </c>
      <c r="S770" s="22" t="n">
        <v>15900</v>
      </c>
      <c r="T770" s="22" t="n">
        <v>7.51</v>
      </c>
      <c r="U770" s="22" t="n">
        <f aca="false">C770*1</f>
        <v>715</v>
      </c>
      <c r="V770" s="22" t="n">
        <f aca="false">VLOOKUP(U770,'Powder Core Toroid OD'!$A$2:$B$36,2,0)</f>
        <v>50.8</v>
      </c>
    </row>
    <row r="771" customFormat="false" ht="14.4" hidden="true" customHeight="false" outlineLevel="0" collapsed="false">
      <c r="A771" s="22" t="n">
        <v>55709</v>
      </c>
      <c r="B771" s="22" t="s">
        <v>841</v>
      </c>
      <c r="C771" s="23" t="n">
        <v>715</v>
      </c>
      <c r="D771" s="22" t="n">
        <v>173</v>
      </c>
      <c r="E771" s="22" t="s">
        <v>50</v>
      </c>
      <c r="F771" s="22" t="n">
        <v>210</v>
      </c>
      <c r="G771" s="22" t="s">
        <v>51</v>
      </c>
      <c r="H771" s="22" t="n">
        <v>12.7</v>
      </c>
      <c r="I771" s="22" t="n">
        <v>127</v>
      </c>
      <c r="J771" s="22" t="n">
        <v>1.218</v>
      </c>
      <c r="K771" s="22" t="n">
        <v>30.93</v>
      </c>
      <c r="L771" s="22" t="n">
        <v>2.035</v>
      </c>
      <c r="M771" s="22" t="n">
        <v>51.69</v>
      </c>
      <c r="N771" s="22" t="n">
        <v>0.565</v>
      </c>
      <c r="O771" s="22" t="n">
        <v>14.4</v>
      </c>
      <c r="P771" s="22" t="n">
        <v>1.25</v>
      </c>
      <c r="Q771" s="22" t="n">
        <v>125</v>
      </c>
      <c r="R771" s="22" t="n">
        <v>15.9</v>
      </c>
      <c r="S771" s="22" t="n">
        <v>15900</v>
      </c>
      <c r="T771" s="22" t="n">
        <v>7.51</v>
      </c>
      <c r="U771" s="22" t="n">
        <f aca="false">C771*1</f>
        <v>715</v>
      </c>
      <c r="V771" s="22" t="n">
        <f aca="false">VLOOKUP(U771,'Powder Core Toroid OD'!$A$2:$B$36,2,0)</f>
        <v>50.8</v>
      </c>
    </row>
    <row r="772" customFormat="false" ht="14.4" hidden="true" customHeight="false" outlineLevel="0" collapsed="false">
      <c r="A772" s="22" t="n">
        <v>55712</v>
      </c>
      <c r="B772" s="22" t="s">
        <v>842</v>
      </c>
      <c r="C772" s="23" t="n">
        <v>715</v>
      </c>
      <c r="D772" s="22" t="n">
        <v>200</v>
      </c>
      <c r="E772" s="22" t="s">
        <v>50</v>
      </c>
      <c r="F772" s="22" t="n">
        <v>243</v>
      </c>
      <c r="G772" s="22" t="s">
        <v>51</v>
      </c>
      <c r="H772" s="22" t="n">
        <v>12.7</v>
      </c>
      <c r="I772" s="22" t="n">
        <v>127</v>
      </c>
      <c r="J772" s="22" t="n">
        <v>1.218</v>
      </c>
      <c r="K772" s="22" t="n">
        <v>30.93</v>
      </c>
      <c r="L772" s="22" t="n">
        <v>2.035</v>
      </c>
      <c r="M772" s="22" t="n">
        <v>51.69</v>
      </c>
      <c r="N772" s="22" t="n">
        <v>0.565</v>
      </c>
      <c r="O772" s="22" t="n">
        <v>14.4</v>
      </c>
      <c r="P772" s="22" t="n">
        <v>1.25</v>
      </c>
      <c r="Q772" s="22" t="n">
        <v>125</v>
      </c>
      <c r="R772" s="22" t="n">
        <v>15.9</v>
      </c>
      <c r="S772" s="22" t="n">
        <v>15900</v>
      </c>
      <c r="T772" s="22" t="n">
        <v>7.51</v>
      </c>
      <c r="U772" s="22" t="n">
        <f aca="false">C772*1</f>
        <v>715</v>
      </c>
      <c r="V772" s="22" t="n">
        <f aca="false">VLOOKUP(U772,'Powder Core Toroid OD'!$A$2:$B$36,2,0)</f>
        <v>50.8</v>
      </c>
    </row>
    <row r="773" customFormat="false" ht="14.4" hidden="true" customHeight="false" outlineLevel="0" collapsed="false">
      <c r="A773" s="22" t="n">
        <v>55196</v>
      </c>
      <c r="B773" s="22" t="s">
        <v>843</v>
      </c>
      <c r="C773" s="23" t="n">
        <v>195</v>
      </c>
      <c r="D773" s="22" t="n">
        <v>147</v>
      </c>
      <c r="E773" s="22" t="s">
        <v>50</v>
      </c>
      <c r="F773" s="22" t="n">
        <v>306</v>
      </c>
      <c r="G773" s="22" t="s">
        <v>51</v>
      </c>
      <c r="H773" s="22" t="n">
        <v>12.5</v>
      </c>
      <c r="I773" s="22" t="n">
        <v>125</v>
      </c>
      <c r="J773" s="22" t="n">
        <v>1.007</v>
      </c>
      <c r="K773" s="22" t="n">
        <v>25.57</v>
      </c>
      <c r="L773" s="22" t="n">
        <v>2.285</v>
      </c>
      <c r="M773" s="22" t="n">
        <v>58.04</v>
      </c>
      <c r="N773" s="22" t="n">
        <v>0.635</v>
      </c>
      <c r="O773" s="22" t="n">
        <v>16.2</v>
      </c>
      <c r="P773" s="22" t="n">
        <v>2.29</v>
      </c>
      <c r="Q773" s="22" t="n">
        <v>229</v>
      </c>
      <c r="R773" s="22" t="n">
        <v>28.6</v>
      </c>
      <c r="S773" s="22" t="n">
        <v>28600</v>
      </c>
      <c r="T773" s="22" t="n">
        <v>5.14</v>
      </c>
      <c r="U773" s="22" t="n">
        <f aca="false">C773*1</f>
        <v>195</v>
      </c>
      <c r="V773" s="22" t="n">
        <f aca="false">VLOOKUP(U773,'Powder Core Toroid OD'!$A$2:$B$36,2,0)</f>
        <v>57.2</v>
      </c>
    </row>
    <row r="774" customFormat="false" ht="14.4" hidden="true" customHeight="false" outlineLevel="0" collapsed="false">
      <c r="A774" s="22" t="n">
        <v>55197</v>
      </c>
      <c r="B774" s="22" t="s">
        <v>844</v>
      </c>
      <c r="C774" s="23" t="n">
        <v>195</v>
      </c>
      <c r="D774" s="22" t="n">
        <v>160</v>
      </c>
      <c r="E774" s="22" t="s">
        <v>50</v>
      </c>
      <c r="F774" s="22" t="n">
        <v>333</v>
      </c>
      <c r="G774" s="22" t="s">
        <v>51</v>
      </c>
      <c r="H774" s="22" t="n">
        <v>12.5</v>
      </c>
      <c r="I774" s="22" t="n">
        <v>125</v>
      </c>
      <c r="J774" s="22" t="n">
        <v>1.007</v>
      </c>
      <c r="K774" s="22" t="n">
        <v>25.57</v>
      </c>
      <c r="L774" s="22" t="n">
        <v>2.285</v>
      </c>
      <c r="M774" s="22" t="n">
        <v>58.04</v>
      </c>
      <c r="N774" s="22" t="n">
        <v>0.635</v>
      </c>
      <c r="O774" s="22" t="n">
        <v>16.2</v>
      </c>
      <c r="P774" s="22" t="n">
        <v>2.29</v>
      </c>
      <c r="Q774" s="22" t="n">
        <v>229</v>
      </c>
      <c r="R774" s="22" t="n">
        <v>28.6</v>
      </c>
      <c r="S774" s="22" t="n">
        <v>28600</v>
      </c>
      <c r="T774" s="22" t="n">
        <v>5.14</v>
      </c>
      <c r="U774" s="22" t="n">
        <f aca="false">C774*1</f>
        <v>195</v>
      </c>
      <c r="V774" s="22" t="n">
        <f aca="false">VLOOKUP(U774,'Powder Core Toroid OD'!$A$2:$B$36,2,0)</f>
        <v>57.2</v>
      </c>
    </row>
    <row r="775" customFormat="false" ht="14.4" hidden="true" customHeight="false" outlineLevel="0" collapsed="false">
      <c r="A775" s="22" t="n">
        <v>55198</v>
      </c>
      <c r="B775" s="22" t="s">
        <v>845</v>
      </c>
      <c r="C775" s="23" t="n">
        <v>195</v>
      </c>
      <c r="D775" s="22" t="n">
        <v>173</v>
      </c>
      <c r="E775" s="22" t="s">
        <v>50</v>
      </c>
      <c r="F775" s="22" t="n">
        <v>360</v>
      </c>
      <c r="G775" s="22" t="s">
        <v>51</v>
      </c>
      <c r="H775" s="22" t="n">
        <v>12.5</v>
      </c>
      <c r="I775" s="22" t="n">
        <v>125</v>
      </c>
      <c r="J775" s="22" t="n">
        <v>1.007</v>
      </c>
      <c r="K775" s="22" t="n">
        <v>25.57</v>
      </c>
      <c r="L775" s="22" t="n">
        <v>2.285</v>
      </c>
      <c r="M775" s="22" t="n">
        <v>58.04</v>
      </c>
      <c r="N775" s="22" t="n">
        <v>0.635</v>
      </c>
      <c r="O775" s="22" t="n">
        <v>16.2</v>
      </c>
      <c r="P775" s="22" t="n">
        <v>2.29</v>
      </c>
      <c r="Q775" s="22" t="n">
        <v>229</v>
      </c>
      <c r="R775" s="22" t="n">
        <v>28.6</v>
      </c>
      <c r="S775" s="22" t="n">
        <v>28600</v>
      </c>
      <c r="T775" s="22" t="n">
        <v>5.14</v>
      </c>
      <c r="U775" s="22" t="n">
        <f aca="false">C775*1</f>
        <v>195</v>
      </c>
      <c r="V775" s="22" t="n">
        <f aca="false">VLOOKUP(U775,'Powder Core Toroid OD'!$A$2:$B$36,2,0)</f>
        <v>57.2</v>
      </c>
    </row>
    <row r="776" customFormat="false" ht="14.4" hidden="true" customHeight="false" outlineLevel="0" collapsed="false">
      <c r="A776" s="22" t="n">
        <v>55199</v>
      </c>
      <c r="B776" s="22" t="s">
        <v>846</v>
      </c>
      <c r="C776" s="23" t="n">
        <v>195</v>
      </c>
      <c r="D776" s="22" t="n">
        <v>200</v>
      </c>
      <c r="E776" s="22" t="s">
        <v>50</v>
      </c>
      <c r="F776" s="22" t="n">
        <v>417</v>
      </c>
      <c r="G776" s="22" t="s">
        <v>51</v>
      </c>
      <c r="H776" s="22" t="n">
        <v>12.5</v>
      </c>
      <c r="I776" s="22" t="n">
        <v>125</v>
      </c>
      <c r="J776" s="22" t="n">
        <v>1.007</v>
      </c>
      <c r="K776" s="22" t="n">
        <v>25.57</v>
      </c>
      <c r="L776" s="22" t="n">
        <v>2.285</v>
      </c>
      <c r="M776" s="22" t="n">
        <v>58.04</v>
      </c>
      <c r="N776" s="22" t="n">
        <v>0.635</v>
      </c>
      <c r="O776" s="22" t="n">
        <v>16.2</v>
      </c>
      <c r="P776" s="22" t="n">
        <v>2.29</v>
      </c>
      <c r="Q776" s="22" t="n">
        <v>229</v>
      </c>
      <c r="R776" s="22" t="n">
        <v>28.6</v>
      </c>
      <c r="S776" s="22" t="n">
        <v>28600</v>
      </c>
      <c r="T776" s="22" t="n">
        <v>5.14</v>
      </c>
      <c r="U776" s="22" t="n">
        <f aca="false">C776*1</f>
        <v>195</v>
      </c>
      <c r="V776" s="22" t="n">
        <f aca="false">VLOOKUP(U776,'Powder Core Toroid OD'!$A$2:$B$36,2,0)</f>
        <v>57.2</v>
      </c>
    </row>
    <row r="777" customFormat="false" ht="14.4" hidden="true" customHeight="false" outlineLevel="0" collapsed="false">
      <c r="A777" s="22" t="n">
        <v>77190</v>
      </c>
      <c r="B777" s="22" t="s">
        <v>847</v>
      </c>
      <c r="C777" s="23" t="n">
        <v>195</v>
      </c>
      <c r="D777" s="22" t="n">
        <v>14</v>
      </c>
      <c r="E777" s="22" t="s">
        <v>33</v>
      </c>
      <c r="F777" s="22" t="n">
        <v>32</v>
      </c>
      <c r="G777" s="22" t="s">
        <v>51</v>
      </c>
      <c r="H777" s="22" t="n">
        <v>12.5</v>
      </c>
      <c r="I777" s="22" t="n">
        <v>125</v>
      </c>
      <c r="J777" s="22" t="n">
        <v>1.007</v>
      </c>
      <c r="K777" s="22" t="n">
        <v>25.57</v>
      </c>
      <c r="L777" s="22" t="n">
        <v>2.285</v>
      </c>
      <c r="M777" s="22" t="n">
        <v>58.04</v>
      </c>
      <c r="N777" s="22" t="n">
        <v>0.635</v>
      </c>
      <c r="O777" s="22" t="n">
        <v>16.2</v>
      </c>
      <c r="P777" s="22" t="n">
        <v>2.29</v>
      </c>
      <c r="Q777" s="22" t="n">
        <v>229</v>
      </c>
      <c r="R777" s="22" t="n">
        <v>28.6</v>
      </c>
      <c r="S777" s="22" t="n">
        <v>28600</v>
      </c>
      <c r="T777" s="22" t="n">
        <v>5.14</v>
      </c>
      <c r="U777" s="22" t="n">
        <f aca="false">C777*1</f>
        <v>195</v>
      </c>
      <c r="V777" s="22" t="n">
        <f aca="false">VLOOKUP(U777,'Powder Core Toroid OD'!$A$2:$B$36,2,0)</f>
        <v>57.2</v>
      </c>
    </row>
    <row r="778" customFormat="false" ht="14.4" hidden="true" customHeight="false" outlineLevel="0" collapsed="false">
      <c r="A778" s="22" t="n">
        <v>77112</v>
      </c>
      <c r="B778" s="22" t="s">
        <v>848</v>
      </c>
      <c r="C778" s="23" t="n">
        <v>109</v>
      </c>
      <c r="D778" s="22" t="n">
        <v>14</v>
      </c>
      <c r="E778" s="22" t="s">
        <v>33</v>
      </c>
      <c r="F778" s="22" t="n">
        <v>18</v>
      </c>
      <c r="G778" s="22" t="s">
        <v>51</v>
      </c>
      <c r="H778" s="22" t="n">
        <v>14.3</v>
      </c>
      <c r="I778" s="22" t="n">
        <v>143</v>
      </c>
      <c r="J778" s="22" t="n">
        <v>1.368</v>
      </c>
      <c r="K778" s="22" t="n">
        <v>34.74</v>
      </c>
      <c r="L778" s="22" t="n">
        <v>2.285</v>
      </c>
      <c r="M778" s="22" t="n">
        <v>58.04</v>
      </c>
      <c r="N778" s="22" t="n">
        <v>0.585</v>
      </c>
      <c r="O778" s="22" t="n">
        <v>14.9</v>
      </c>
      <c r="P778" s="22" t="n">
        <v>1.44</v>
      </c>
      <c r="Q778" s="22" t="n">
        <v>144</v>
      </c>
      <c r="R778" s="22" t="n">
        <v>20.7</v>
      </c>
      <c r="S778" s="22" t="n">
        <v>20700</v>
      </c>
      <c r="T778" s="22" t="n">
        <v>9.48</v>
      </c>
      <c r="U778" s="22" t="n">
        <f aca="false">C778*1</f>
        <v>109</v>
      </c>
      <c r="V778" s="22" t="n">
        <f aca="false">VLOOKUP(U778,'Powder Core Toroid OD'!$A$2:$B$36,2,0)</f>
        <v>57.2</v>
      </c>
    </row>
    <row r="779" customFormat="false" ht="14.4" hidden="true" customHeight="false" outlineLevel="0" collapsed="false">
      <c r="A779" s="22" t="n">
        <v>77614</v>
      </c>
      <c r="B779" s="22" t="s">
        <v>849</v>
      </c>
      <c r="C779" s="23" t="n">
        <v>620</v>
      </c>
      <c r="D779" s="22" t="n">
        <v>14</v>
      </c>
      <c r="E779" s="22" t="s">
        <v>33</v>
      </c>
      <c r="F779" s="22" t="n">
        <v>44</v>
      </c>
      <c r="G779" s="22" t="s">
        <v>51</v>
      </c>
      <c r="H779" s="22" t="n">
        <v>14.4</v>
      </c>
      <c r="I779" s="22" t="n">
        <v>144</v>
      </c>
      <c r="J779" s="22" t="n">
        <v>1.248</v>
      </c>
      <c r="K779" s="42" t="n">
        <v>31.69</v>
      </c>
      <c r="L779" s="22" t="n">
        <v>2.477</v>
      </c>
      <c r="M779" s="42" t="n">
        <v>62.91</v>
      </c>
      <c r="N779" s="43" t="n">
        <v>1.02</v>
      </c>
      <c r="O779" s="42" t="n">
        <v>25.91</v>
      </c>
      <c r="P779" s="42" t="n">
        <v>3.6</v>
      </c>
      <c r="Q779" s="22" t="n">
        <v>360</v>
      </c>
      <c r="R779" s="22" t="n">
        <v>51.8</v>
      </c>
      <c r="S779" s="22" t="n">
        <v>51800</v>
      </c>
      <c r="T779" s="22" t="n">
        <v>7.89</v>
      </c>
      <c r="U779" s="22" t="n">
        <f aca="false">C779*1</f>
        <v>620</v>
      </c>
      <c r="V779" s="22" t="n">
        <f aca="false">VLOOKUP(U779,'Powder Core Toroid OD'!$A$2:$B$36,2,0)</f>
        <v>62</v>
      </c>
    </row>
    <row r="780" customFormat="false" ht="14.4" hidden="true" customHeight="false" outlineLevel="0" collapsed="false">
      <c r="A780" s="22" t="n">
        <v>77734</v>
      </c>
      <c r="B780" s="22" t="s">
        <v>850</v>
      </c>
      <c r="C780" s="23" t="n">
        <v>740</v>
      </c>
      <c r="D780" s="22" t="n">
        <v>14</v>
      </c>
      <c r="E780" s="22" t="s">
        <v>33</v>
      </c>
      <c r="F780" s="22" t="n">
        <v>48</v>
      </c>
      <c r="G780" s="22" t="s">
        <v>51</v>
      </c>
      <c r="H780" s="22" t="n">
        <v>18.4</v>
      </c>
      <c r="I780" s="22" t="n">
        <v>184</v>
      </c>
      <c r="J780" s="22" t="n">
        <v>1.748</v>
      </c>
      <c r="K780" s="42" t="n">
        <v>44.39</v>
      </c>
      <c r="L780" s="22" t="n">
        <v>2.953</v>
      </c>
      <c r="M780" s="42" t="n">
        <v>75.01</v>
      </c>
      <c r="N780" s="43" t="n">
        <v>1.414</v>
      </c>
      <c r="O780" s="42" t="n">
        <v>35.92</v>
      </c>
      <c r="P780" s="42" t="n">
        <v>4.97</v>
      </c>
      <c r="Q780" s="22" t="n">
        <v>497</v>
      </c>
      <c r="R780" s="22" t="n">
        <v>91.4</v>
      </c>
      <c r="S780" s="22" t="n">
        <v>91400</v>
      </c>
      <c r="T780" s="22" t="n">
        <v>15.5</v>
      </c>
      <c r="U780" s="22" t="n">
        <f aca="false">C780*1</f>
        <v>740</v>
      </c>
      <c r="V780" s="22" t="n">
        <f aca="false">VLOOKUP(U780,'Powder Core Toroid OD'!$A$2:$B$36,2,0)</f>
        <v>74.1</v>
      </c>
    </row>
    <row r="781" customFormat="false" ht="14.4" hidden="true" customHeight="false" outlineLevel="0" collapsed="false">
      <c r="A781" s="22" t="n">
        <v>77869</v>
      </c>
      <c r="B781" s="22" t="s">
        <v>851</v>
      </c>
      <c r="C781" s="23" t="n">
        <v>866</v>
      </c>
      <c r="D781" s="22" t="n">
        <v>14</v>
      </c>
      <c r="E781" s="22" t="s">
        <v>33</v>
      </c>
      <c r="F781" s="22" t="n">
        <v>16</v>
      </c>
      <c r="G781" s="22" t="s">
        <v>51</v>
      </c>
      <c r="H781" s="22" t="n">
        <v>19.6</v>
      </c>
      <c r="I781" s="22" t="n">
        <v>196</v>
      </c>
      <c r="J781" s="22" t="n">
        <v>1.898</v>
      </c>
      <c r="K781" s="42" t="n">
        <v>48.2</v>
      </c>
      <c r="L781" s="22" t="n">
        <v>3.108</v>
      </c>
      <c r="M781" s="22" t="n">
        <v>78.95</v>
      </c>
      <c r="N781" s="22" t="n">
        <v>0.545</v>
      </c>
      <c r="O781" s="22" t="n">
        <v>13.9</v>
      </c>
      <c r="P781" s="22" t="n">
        <v>1.76</v>
      </c>
      <c r="Q781" s="22" t="n">
        <v>176</v>
      </c>
      <c r="R781" s="22" t="n">
        <v>34.5</v>
      </c>
      <c r="S781" s="22" t="n">
        <v>34500</v>
      </c>
      <c r="T781" s="22" t="n">
        <v>18.2</v>
      </c>
      <c r="U781" s="22" t="n">
        <f aca="false">C781*1</f>
        <v>866</v>
      </c>
      <c r="V781" s="22" t="n">
        <f aca="false">VLOOKUP(U781,'Powder Core Toroid OD'!$A$2:$B$36,2,0)</f>
        <v>77.8</v>
      </c>
    </row>
    <row r="782" customFormat="false" ht="14.4" hidden="true" customHeight="false" outlineLevel="0" collapsed="false">
      <c r="A782" s="22" t="n">
        <v>77907</v>
      </c>
      <c r="B782" s="22" t="s">
        <v>852</v>
      </c>
      <c r="C782" s="23" t="n">
        <v>906</v>
      </c>
      <c r="D782" s="22" t="n">
        <v>14</v>
      </c>
      <c r="E782" s="22" t="s">
        <v>33</v>
      </c>
      <c r="F782" s="22" t="n">
        <v>20</v>
      </c>
      <c r="G782" s="22" t="s">
        <v>51</v>
      </c>
      <c r="H782" s="22" t="n">
        <v>19.6</v>
      </c>
      <c r="I782" s="22" t="n">
        <v>196</v>
      </c>
      <c r="J782" s="22" t="n">
        <v>1.898</v>
      </c>
      <c r="K782" s="42" t="n">
        <v>48.2</v>
      </c>
      <c r="L782" s="22" t="n">
        <v>3.108</v>
      </c>
      <c r="M782" s="22" t="n">
        <v>78.95</v>
      </c>
      <c r="N782" s="43" t="n">
        <v>0.67</v>
      </c>
      <c r="O782" s="22" t="n">
        <v>17.1</v>
      </c>
      <c r="P782" s="22" t="n">
        <v>2.21</v>
      </c>
      <c r="Q782" s="22" t="n">
        <v>221</v>
      </c>
      <c r="R782" s="22" t="n">
        <v>43.4</v>
      </c>
      <c r="S782" s="22" t="n">
        <v>43400</v>
      </c>
      <c r="T782" s="22" t="n">
        <v>18.2</v>
      </c>
      <c r="U782" s="22" t="n">
        <f aca="false">C782*1</f>
        <v>906</v>
      </c>
      <c r="V782" s="22" t="n">
        <f aca="false">VLOOKUP(U782,'Powder Core Toroid OD'!$A$2:$B$36,2,0)</f>
        <v>77.8</v>
      </c>
    </row>
    <row r="783" customFormat="false" ht="14.4" hidden="true" customHeight="false" outlineLevel="0" collapsed="false">
      <c r="A783" s="22" t="n">
        <v>77866</v>
      </c>
      <c r="B783" s="22" t="s">
        <v>853</v>
      </c>
      <c r="C783" s="23" t="n">
        <v>866</v>
      </c>
      <c r="D783" s="22" t="n">
        <v>125</v>
      </c>
      <c r="E783" s="22" t="s">
        <v>33</v>
      </c>
      <c r="F783" s="22" t="n">
        <v>142</v>
      </c>
      <c r="G783" s="22" t="s">
        <v>51</v>
      </c>
      <c r="H783" s="22" t="n">
        <v>19.6</v>
      </c>
      <c r="I783" s="22" t="n">
        <v>196</v>
      </c>
      <c r="J783" s="22" t="n">
        <v>1.898</v>
      </c>
      <c r="K783" s="42" t="n">
        <v>48.2</v>
      </c>
      <c r="L783" s="22" t="n">
        <v>3.108</v>
      </c>
      <c r="M783" s="22" t="n">
        <v>78.95</v>
      </c>
      <c r="N783" s="22" t="n">
        <v>0.545</v>
      </c>
      <c r="O783" s="22" t="n">
        <v>13.9</v>
      </c>
      <c r="P783" s="22" t="n">
        <v>1.76</v>
      </c>
      <c r="Q783" s="22" t="n">
        <v>176</v>
      </c>
      <c r="R783" s="22" t="n">
        <v>34.5</v>
      </c>
      <c r="S783" s="22" t="n">
        <v>34500</v>
      </c>
      <c r="T783" s="22" t="n">
        <v>18.2</v>
      </c>
      <c r="U783" s="22" t="n">
        <f aca="false">C783*1</f>
        <v>866</v>
      </c>
      <c r="V783" s="22" t="n">
        <f aca="false">VLOOKUP(U783,'Powder Core Toroid OD'!$A$2:$B$36,2,0)</f>
        <v>77.8</v>
      </c>
    </row>
    <row r="784" customFormat="false" ht="14.4" hidden="true" customHeight="false" outlineLevel="0" collapsed="false">
      <c r="A784" s="22" t="n">
        <v>77101</v>
      </c>
      <c r="B784" s="22" t="s">
        <v>854</v>
      </c>
      <c r="C784" s="23" t="n">
        <v>102</v>
      </c>
      <c r="D784" s="22" t="n">
        <v>14</v>
      </c>
      <c r="E784" s="22" t="s">
        <v>33</v>
      </c>
      <c r="F784" s="22" t="n">
        <v>26</v>
      </c>
      <c r="G784" s="22" t="s">
        <v>51</v>
      </c>
      <c r="H784" s="22" t="n">
        <v>24.3</v>
      </c>
      <c r="I784" s="22" t="n">
        <v>243</v>
      </c>
      <c r="J784" s="22" t="n">
        <v>2.195</v>
      </c>
      <c r="K784" s="22" t="n">
        <v>55.75</v>
      </c>
      <c r="L784" s="22" t="n">
        <v>4.055</v>
      </c>
      <c r="M784" s="36" t="n">
        <v>103</v>
      </c>
      <c r="N784" s="22" t="n">
        <v>0.705</v>
      </c>
      <c r="O784" s="22" t="n">
        <v>17.9</v>
      </c>
      <c r="P784" s="22" t="n">
        <v>3.58</v>
      </c>
      <c r="Q784" s="22" t="n">
        <v>358</v>
      </c>
      <c r="R784" s="22" t="n">
        <v>86.9</v>
      </c>
      <c r="S784" s="22" t="n">
        <v>86900</v>
      </c>
      <c r="T784" s="22" t="n">
        <v>24.7</v>
      </c>
      <c r="U784" s="22" t="n">
        <f aca="false">C784*1</f>
        <v>102</v>
      </c>
      <c r="V784" s="22" t="n">
        <f aca="false">VLOOKUP(U784,'Powder Core Toroid OD'!$A$2:$B$36,2,0)</f>
        <v>101.6</v>
      </c>
    </row>
    <row r="785" customFormat="false" ht="14.4" hidden="true" customHeight="false" outlineLevel="0" collapsed="false">
      <c r="A785" s="22" t="n">
        <v>77338</v>
      </c>
      <c r="B785" s="22" t="s">
        <v>855</v>
      </c>
      <c r="C785" s="39" t="n">
        <v>337</v>
      </c>
      <c r="D785" s="22" t="n">
        <v>40</v>
      </c>
      <c r="E785" s="38" t="s">
        <v>33</v>
      </c>
      <c r="F785" s="22" t="n">
        <v>105</v>
      </c>
      <c r="G785" s="38" t="s">
        <v>51</v>
      </c>
      <c r="H785" s="38" t="n">
        <v>32.4</v>
      </c>
      <c r="I785" s="38" t="n">
        <v>324</v>
      </c>
      <c r="J785" s="38" t="n">
        <v>3.039</v>
      </c>
      <c r="K785" s="38" t="n">
        <v>77.19</v>
      </c>
      <c r="L785" s="38" t="n">
        <v>5.274</v>
      </c>
      <c r="M785" s="40" t="n">
        <v>134</v>
      </c>
      <c r="N785" s="38" t="n">
        <v>1.055</v>
      </c>
      <c r="O785" s="41" t="n">
        <v>26.8</v>
      </c>
      <c r="P785" s="38" t="n">
        <v>6.78</v>
      </c>
      <c r="Q785" s="38" t="n">
        <v>678</v>
      </c>
      <c r="R785" s="38" t="n">
        <v>220</v>
      </c>
      <c r="S785" s="38" t="n">
        <v>220000</v>
      </c>
      <c r="T785" s="38" t="n">
        <v>47.1</v>
      </c>
      <c r="U785" s="22" t="n">
        <f aca="false">C785*1</f>
        <v>337</v>
      </c>
      <c r="V785" s="22" t="n">
        <f aca="false">VLOOKUP(U785,'Powder Core Toroid OD'!$A$2:$B$36,2,0)</f>
        <v>132.6</v>
      </c>
    </row>
    <row r="786" customFormat="false" ht="14.4" hidden="true" customHeight="false" outlineLevel="0" collapsed="false">
      <c r="A786" s="22" t="n">
        <v>77339</v>
      </c>
      <c r="B786" s="22" t="s">
        <v>856</v>
      </c>
      <c r="C786" s="39" t="n">
        <v>337</v>
      </c>
      <c r="D786" s="22" t="n">
        <v>60</v>
      </c>
      <c r="E786" s="38" t="s">
        <v>33</v>
      </c>
      <c r="F786" s="22" t="n">
        <v>158</v>
      </c>
      <c r="G786" s="38" t="s">
        <v>51</v>
      </c>
      <c r="H786" s="38" t="n">
        <v>32.4</v>
      </c>
      <c r="I786" s="38" t="n">
        <v>324</v>
      </c>
      <c r="J786" s="38" t="n">
        <v>3.039</v>
      </c>
      <c r="K786" s="38" t="n">
        <v>77.19</v>
      </c>
      <c r="L786" s="38" t="n">
        <v>5.274</v>
      </c>
      <c r="M786" s="40" t="n">
        <v>134</v>
      </c>
      <c r="N786" s="38" t="n">
        <v>1.055</v>
      </c>
      <c r="O786" s="41" t="n">
        <v>26.8</v>
      </c>
      <c r="P786" s="38" t="n">
        <v>6.78</v>
      </c>
      <c r="Q786" s="38" t="n">
        <v>678</v>
      </c>
      <c r="R786" s="38" t="n">
        <v>220</v>
      </c>
      <c r="S786" s="38" t="n">
        <v>220000</v>
      </c>
      <c r="T786" s="38" t="n">
        <v>47.1</v>
      </c>
      <c r="U786" s="22" t="n">
        <f aca="false">C786*1</f>
        <v>337</v>
      </c>
      <c r="V786" s="22" t="n">
        <f aca="false">VLOOKUP(U786,'Powder Core Toroid OD'!$A$2:$B$36,2,0)</f>
        <v>132.6</v>
      </c>
    </row>
    <row r="787" customFormat="false" ht="14.4" hidden="true" customHeight="false" outlineLevel="0" collapsed="false">
      <c r="A787" s="22" t="n">
        <v>77336</v>
      </c>
      <c r="B787" s="22" t="s">
        <v>857</v>
      </c>
      <c r="C787" s="39" t="n">
        <v>337</v>
      </c>
      <c r="D787" s="22" t="n">
        <v>14</v>
      </c>
      <c r="E787" s="38" t="s">
        <v>33</v>
      </c>
      <c r="F787" s="22" t="n">
        <v>37</v>
      </c>
      <c r="G787" s="38" t="s">
        <v>51</v>
      </c>
      <c r="H787" s="38" t="n">
        <v>32.4</v>
      </c>
      <c r="I787" s="38" t="n">
        <v>324</v>
      </c>
      <c r="J787" s="38" t="n">
        <v>3.039</v>
      </c>
      <c r="K787" s="38" t="n">
        <v>77.19</v>
      </c>
      <c r="L787" s="38" t="n">
        <v>5.274</v>
      </c>
      <c r="M787" s="40" t="n">
        <v>134</v>
      </c>
      <c r="N787" s="38" t="n">
        <v>1.055</v>
      </c>
      <c r="O787" s="41" t="n">
        <v>26.8</v>
      </c>
      <c r="P787" s="38" t="n">
        <v>6.78</v>
      </c>
      <c r="Q787" s="38" t="n">
        <v>678</v>
      </c>
      <c r="R787" s="38" t="n">
        <v>220</v>
      </c>
      <c r="S787" s="38" t="n">
        <v>220000</v>
      </c>
      <c r="T787" s="38" t="n">
        <v>47.1</v>
      </c>
      <c r="U787" s="22" t="n">
        <f aca="false">C787*1</f>
        <v>337</v>
      </c>
      <c r="V787" s="22" t="n">
        <f aca="false">VLOOKUP(U787,'Powder Core Toroid OD'!$A$2:$B$36,2,0)</f>
        <v>132.6</v>
      </c>
    </row>
    <row r="788" customFormat="false" ht="14.4" hidden="false" customHeight="false" outlineLevel="0" collapsed="false">
      <c r="A788" s="22" t="n">
        <v>78337</v>
      </c>
      <c r="B788" s="22" t="s">
        <v>858</v>
      </c>
      <c r="C788" s="39" t="n">
        <v>337</v>
      </c>
      <c r="D788" s="22" t="n">
        <v>26</v>
      </c>
      <c r="E788" s="38" t="s">
        <v>223</v>
      </c>
      <c r="F788" s="22" t="n">
        <v>68</v>
      </c>
      <c r="G788" s="38" t="s">
        <v>51</v>
      </c>
      <c r="H788" s="38" t="n">
        <v>32.4</v>
      </c>
      <c r="I788" s="38" t="n">
        <v>324</v>
      </c>
      <c r="J788" s="38" t="n">
        <v>3.039</v>
      </c>
      <c r="K788" s="38" t="n">
        <v>77.19</v>
      </c>
      <c r="L788" s="38" t="n">
        <v>5.274</v>
      </c>
      <c r="M788" s="40" t="n">
        <v>134</v>
      </c>
      <c r="N788" s="38" t="n">
        <v>1.055</v>
      </c>
      <c r="O788" s="41" t="n">
        <v>26.8</v>
      </c>
      <c r="P788" s="38" t="n">
        <v>6.78</v>
      </c>
      <c r="Q788" s="38" t="n">
        <v>678</v>
      </c>
      <c r="R788" s="38" t="n">
        <v>220</v>
      </c>
      <c r="S788" s="38" t="n">
        <v>220000</v>
      </c>
      <c r="T788" s="38" t="n">
        <v>47.1</v>
      </c>
      <c r="U788" s="22" t="n">
        <f aca="false">C788*1</f>
        <v>337</v>
      </c>
      <c r="V788" s="22" t="n">
        <f aca="false">VLOOKUP(U788,'Powder Core Toroid OD'!$A$2:$B$36,2,0)</f>
        <v>132.6</v>
      </c>
    </row>
    <row r="789" customFormat="false" ht="14.4" hidden="true" customHeight="false" outlineLevel="0" collapsed="false">
      <c r="A789" s="22" t="n">
        <v>77164</v>
      </c>
      <c r="B789" s="22" t="s">
        <v>859</v>
      </c>
      <c r="C789" s="23" t="n">
        <v>165</v>
      </c>
      <c r="D789" s="22" t="n">
        <v>14</v>
      </c>
      <c r="E789" s="22" t="s">
        <v>33</v>
      </c>
      <c r="F789" s="22" t="n">
        <v>42</v>
      </c>
      <c r="G789" s="38" t="s">
        <v>51</v>
      </c>
      <c r="H789" s="38" t="n">
        <v>41.2</v>
      </c>
      <c r="I789" s="38" t="n">
        <v>412</v>
      </c>
      <c r="J789" s="38" t="n">
        <v>3.977</v>
      </c>
      <c r="K789" s="40" t="n">
        <v>101</v>
      </c>
      <c r="L789" s="38" t="n">
        <v>6.555</v>
      </c>
      <c r="M789" s="40" t="n">
        <v>166.5</v>
      </c>
      <c r="N789" s="38" t="n">
        <v>1.305</v>
      </c>
      <c r="O789" s="41" t="n">
        <v>33.15</v>
      </c>
      <c r="P789" s="38" t="n">
        <v>9.87</v>
      </c>
      <c r="Q789" s="38" t="n">
        <v>987</v>
      </c>
      <c r="R789" s="38" t="n">
        <v>407</v>
      </c>
      <c r="S789" s="38" t="n">
        <v>407000</v>
      </c>
      <c r="T789" s="38" t="n">
        <v>80.3</v>
      </c>
      <c r="U789" s="22" t="n">
        <f aca="false">C789*1</f>
        <v>165</v>
      </c>
      <c r="V789" s="22" t="n">
        <f aca="false">VLOOKUP(U789,'Powder Core Toroid OD'!$A$2:$B$36,2,0)</f>
        <v>165.1</v>
      </c>
    </row>
    <row r="790" customFormat="false" ht="14.4" hidden="false" customHeight="false" outlineLevel="0" collapsed="false">
      <c r="A790" s="22" t="n">
        <v>78167</v>
      </c>
      <c r="B790" s="22" t="s">
        <v>860</v>
      </c>
      <c r="C790" s="23" t="n">
        <v>165</v>
      </c>
      <c r="D790" s="22" t="n">
        <v>60</v>
      </c>
      <c r="E790" s="22" t="s">
        <v>223</v>
      </c>
      <c r="F790" s="22" t="n">
        <v>180</v>
      </c>
      <c r="G790" s="38" t="s">
        <v>51</v>
      </c>
      <c r="H790" s="38" t="n">
        <v>41.2</v>
      </c>
      <c r="I790" s="38" t="n">
        <v>412</v>
      </c>
      <c r="J790" s="38" t="n">
        <v>3.977</v>
      </c>
      <c r="K790" s="40" t="n">
        <v>101</v>
      </c>
      <c r="L790" s="38" t="n">
        <v>6.555</v>
      </c>
      <c r="M790" s="40" t="n">
        <v>166.5</v>
      </c>
      <c r="N790" s="38" t="n">
        <v>1.305</v>
      </c>
      <c r="O790" s="41" t="n">
        <v>33.15</v>
      </c>
      <c r="P790" s="38" t="n">
        <v>9.87</v>
      </c>
      <c r="Q790" s="38" t="n">
        <v>987</v>
      </c>
      <c r="R790" s="38" t="n">
        <v>407</v>
      </c>
      <c r="S790" s="38" t="n">
        <v>407000</v>
      </c>
      <c r="T790" s="38" t="n">
        <v>80.3</v>
      </c>
      <c r="U790" s="22" t="n">
        <f aca="false">C790*1</f>
        <v>165</v>
      </c>
      <c r="V790" s="22" t="n">
        <f aca="false">VLOOKUP(U790,'Powder Core Toroid OD'!$A$2:$B$36,2,0)</f>
        <v>165.1</v>
      </c>
    </row>
    <row r="791" customFormat="false" ht="14.4" hidden="false" customHeight="false" outlineLevel="0" collapsed="false">
      <c r="A791" s="22" t="n">
        <v>78165</v>
      </c>
      <c r="B791" s="22" t="s">
        <v>861</v>
      </c>
      <c r="C791" s="23" t="n">
        <v>165</v>
      </c>
      <c r="D791" s="22" t="n">
        <v>26</v>
      </c>
      <c r="E791" s="22" t="s">
        <v>223</v>
      </c>
      <c r="F791" s="22" t="n">
        <v>78</v>
      </c>
      <c r="G791" s="38" t="s">
        <v>51</v>
      </c>
      <c r="H791" s="38" t="n">
        <v>41.2</v>
      </c>
      <c r="I791" s="38" t="n">
        <v>412</v>
      </c>
      <c r="J791" s="38" t="n">
        <v>3.977</v>
      </c>
      <c r="K791" s="40" t="n">
        <v>101</v>
      </c>
      <c r="L791" s="38" t="n">
        <v>6.555</v>
      </c>
      <c r="M791" s="40" t="n">
        <v>166.5</v>
      </c>
      <c r="N791" s="38" t="n">
        <v>1.305</v>
      </c>
      <c r="O791" s="41" t="n">
        <v>33.15</v>
      </c>
      <c r="P791" s="38" t="n">
        <v>9.87</v>
      </c>
      <c r="Q791" s="38" t="n">
        <v>987</v>
      </c>
      <c r="R791" s="38" t="n">
        <v>407</v>
      </c>
      <c r="S791" s="38" t="n">
        <v>407000</v>
      </c>
      <c r="T791" s="38" t="n">
        <v>80.3</v>
      </c>
      <c r="U791" s="22" t="n">
        <f aca="false">C791*1</f>
        <v>165</v>
      </c>
      <c r="V791" s="22" t="n">
        <f aca="false">VLOOKUP(U791,'Powder Core Toroid OD'!$A$2:$B$36,2,0)</f>
        <v>165.1</v>
      </c>
    </row>
    <row r="792" customFormat="false" ht="14.4" hidden="false" customHeight="false" outlineLevel="0" collapsed="false">
      <c r="A792" s="22" t="n">
        <v>78099</v>
      </c>
      <c r="B792" s="22" t="s">
        <v>862</v>
      </c>
      <c r="C792" s="23" t="n">
        <v>102</v>
      </c>
      <c r="D792" s="22" t="n">
        <v>60</v>
      </c>
      <c r="E792" s="22" t="s">
        <v>223</v>
      </c>
      <c r="F792" s="22" t="n">
        <v>111</v>
      </c>
      <c r="G792" s="22" t="s">
        <v>51</v>
      </c>
      <c r="H792" s="22" t="n">
        <v>24.3</v>
      </c>
      <c r="I792" s="22" t="n">
        <v>243</v>
      </c>
      <c r="J792" s="22" t="n">
        <v>2.195</v>
      </c>
      <c r="K792" s="22" t="n">
        <v>55.75</v>
      </c>
      <c r="L792" s="22" t="n">
        <v>4.055</v>
      </c>
      <c r="M792" s="36" t="n">
        <v>103</v>
      </c>
      <c r="N792" s="22" t="n">
        <v>0.705</v>
      </c>
      <c r="O792" s="22" t="n">
        <v>17.9</v>
      </c>
      <c r="P792" s="22" t="n">
        <v>3.58</v>
      </c>
      <c r="Q792" s="22" t="n">
        <v>358</v>
      </c>
      <c r="R792" s="22" t="n">
        <v>86.9</v>
      </c>
      <c r="S792" s="22" t="n">
        <v>86900</v>
      </c>
      <c r="T792" s="22" t="n">
        <v>24.7</v>
      </c>
      <c r="U792" s="22" t="n">
        <f aca="false">C792*1</f>
        <v>102</v>
      </c>
      <c r="V792" s="22" t="n">
        <f aca="false">VLOOKUP(U792,'Powder Core Toroid OD'!$A$2:$B$36,2,0)</f>
        <v>101.6</v>
      </c>
    </row>
    <row r="793" customFormat="false" ht="14.4" hidden="false" customHeight="false" outlineLevel="0" collapsed="false">
      <c r="A793" s="22" t="n">
        <v>78102</v>
      </c>
      <c r="B793" s="22" t="s">
        <v>863</v>
      </c>
      <c r="C793" s="23" t="n">
        <v>102</v>
      </c>
      <c r="D793" s="22" t="n">
        <v>26</v>
      </c>
      <c r="E793" s="22" t="s">
        <v>223</v>
      </c>
      <c r="F793" s="22" t="n">
        <v>48</v>
      </c>
      <c r="G793" s="22" t="s">
        <v>51</v>
      </c>
      <c r="H793" s="22" t="n">
        <v>24.3</v>
      </c>
      <c r="I793" s="22" t="n">
        <v>243</v>
      </c>
      <c r="J793" s="22" t="n">
        <v>2.195</v>
      </c>
      <c r="K793" s="22" t="n">
        <v>55.75</v>
      </c>
      <c r="L793" s="22" t="n">
        <v>4.055</v>
      </c>
      <c r="M793" s="36" t="n">
        <v>103</v>
      </c>
      <c r="N793" s="22" t="n">
        <v>0.705</v>
      </c>
      <c r="O793" s="22" t="n">
        <v>17.9</v>
      </c>
      <c r="P793" s="22" t="n">
        <v>3.58</v>
      </c>
      <c r="Q793" s="22" t="n">
        <v>358</v>
      </c>
      <c r="R793" s="22" t="n">
        <v>86.9</v>
      </c>
      <c r="S793" s="22" t="n">
        <v>86900</v>
      </c>
      <c r="T793" s="22" t="n">
        <v>24.7</v>
      </c>
      <c r="U793" s="22" t="n">
        <f aca="false">C793*1</f>
        <v>102</v>
      </c>
      <c r="V793" s="22" t="n">
        <f aca="false">VLOOKUP(U793,'Powder Core Toroid OD'!$A$2:$B$36,2,0)</f>
        <v>101.6</v>
      </c>
    </row>
    <row r="794" customFormat="false" ht="14.4" hidden="false" customHeight="false" outlineLevel="0" collapsed="false">
      <c r="A794" s="22" t="n">
        <v>78339</v>
      </c>
      <c r="B794" s="22" t="s">
        <v>864</v>
      </c>
      <c r="C794" s="23" t="n">
        <v>337</v>
      </c>
      <c r="D794" s="22" t="n">
        <v>60</v>
      </c>
      <c r="E794" s="22" t="s">
        <v>223</v>
      </c>
      <c r="F794" s="22" t="n">
        <v>158</v>
      </c>
      <c r="G794" s="38" t="s">
        <v>51</v>
      </c>
      <c r="H794" s="38" t="n">
        <v>32.4</v>
      </c>
      <c r="I794" s="38" t="n">
        <v>324</v>
      </c>
      <c r="J794" s="38" t="n">
        <v>3.039</v>
      </c>
      <c r="K794" s="38" t="n">
        <v>77.19</v>
      </c>
      <c r="L794" s="38" t="n">
        <v>5.274</v>
      </c>
      <c r="M794" s="40" t="n">
        <v>134</v>
      </c>
      <c r="N794" s="38" t="n">
        <v>1.055</v>
      </c>
      <c r="O794" s="41" t="n">
        <v>26.8</v>
      </c>
      <c r="P794" s="38" t="n">
        <v>6.78</v>
      </c>
      <c r="Q794" s="38" t="n">
        <v>678</v>
      </c>
      <c r="R794" s="38" t="n">
        <v>220</v>
      </c>
      <c r="S794" s="38" t="n">
        <v>220000</v>
      </c>
      <c r="T794" s="38" t="n">
        <v>47.1</v>
      </c>
      <c r="U794" s="22" t="n">
        <f aca="false">C794*1</f>
        <v>337</v>
      </c>
      <c r="V794" s="22" t="n">
        <f aca="false">VLOOKUP(U794,'Powder Core Toroid OD'!$A$2:$B$36,2,0)</f>
        <v>132.6</v>
      </c>
    </row>
    <row r="795" customFormat="false" ht="14.4" hidden="true" customHeight="false" outlineLevel="0" collapsed="false">
      <c r="A795" s="22" t="n">
        <v>77070</v>
      </c>
      <c r="B795" s="22" t="s">
        <v>865</v>
      </c>
      <c r="C795" s="23" t="s">
        <v>866</v>
      </c>
      <c r="D795" s="22" t="n">
        <v>125</v>
      </c>
      <c r="E795" s="22" t="s">
        <v>33</v>
      </c>
      <c r="F795" s="22" t="n">
        <v>298</v>
      </c>
      <c r="G795" s="38" t="s">
        <v>51</v>
      </c>
      <c r="H795" s="22" t="n">
        <v>15.8</v>
      </c>
      <c r="I795" s="22" t="n">
        <v>158</v>
      </c>
      <c r="J795" s="22" t="n">
        <v>1.366</v>
      </c>
      <c r="K795" s="22" t="n">
        <v>34.7</v>
      </c>
      <c r="L795" s="22" t="n">
        <v>2.732</v>
      </c>
      <c r="M795" s="22" t="n">
        <v>69.4</v>
      </c>
      <c r="N795" s="22" t="n">
        <v>0.843</v>
      </c>
      <c r="O795" s="22" t="n">
        <v>21.4</v>
      </c>
      <c r="P795" s="22" t="n">
        <v>3.14</v>
      </c>
      <c r="Q795" s="22" t="n">
        <v>314</v>
      </c>
      <c r="R795" s="22" t="n">
        <v>49.7</v>
      </c>
      <c r="S795" s="22" t="n">
        <v>49700</v>
      </c>
      <c r="T795" s="22" t="n">
        <v>9.45</v>
      </c>
      <c r="U795" s="22" t="n">
        <f aca="false">C795*1</f>
        <v>70</v>
      </c>
      <c r="V795" s="22" t="e">
        <f aca="false">VLOOKUP(U795,'Powder Core Toroid OD'!$A$2:$B$36,2,0)</f>
        <v>#N/A</v>
      </c>
    </row>
    <row r="796" customFormat="false" ht="14.4" hidden="true" customHeight="false" outlineLevel="0" collapsed="false">
      <c r="A796" s="22" t="n">
        <v>77072</v>
      </c>
      <c r="B796" s="22" t="s">
        <v>867</v>
      </c>
      <c r="C796" s="23" t="s">
        <v>866</v>
      </c>
      <c r="D796" s="22" t="n">
        <v>60</v>
      </c>
      <c r="E796" s="22" t="s">
        <v>33</v>
      </c>
      <c r="F796" s="22" t="n">
        <v>143</v>
      </c>
      <c r="G796" s="38" t="s">
        <v>51</v>
      </c>
      <c r="H796" s="22" t="n">
        <v>15.8</v>
      </c>
      <c r="I796" s="22" t="n">
        <v>158</v>
      </c>
      <c r="J796" s="22" t="n">
        <v>1.366</v>
      </c>
      <c r="K796" s="22" t="n">
        <v>34.7</v>
      </c>
      <c r="L796" s="22" t="n">
        <v>2.732</v>
      </c>
      <c r="M796" s="22" t="n">
        <v>69.4</v>
      </c>
      <c r="N796" s="22" t="n">
        <v>0.843</v>
      </c>
      <c r="O796" s="22" t="n">
        <v>21.4</v>
      </c>
      <c r="P796" s="22" t="n">
        <v>3.14</v>
      </c>
      <c r="Q796" s="22" t="n">
        <v>314</v>
      </c>
      <c r="R796" s="22" t="n">
        <v>49.7</v>
      </c>
      <c r="S796" s="22" t="n">
        <v>49700</v>
      </c>
      <c r="T796" s="22" t="n">
        <v>9.45</v>
      </c>
      <c r="U796" s="22" t="n">
        <f aca="false">C796*1</f>
        <v>70</v>
      </c>
      <c r="V796" s="22" t="e">
        <f aca="false">VLOOKUP(U796,'Powder Core Toroid OD'!$A$2:$B$36,2,0)</f>
        <v>#N/A</v>
      </c>
    </row>
    <row r="797" customFormat="false" ht="14.4" hidden="true" customHeight="false" outlineLevel="0" collapsed="false">
      <c r="A797" s="22" t="n">
        <v>77073</v>
      </c>
      <c r="B797" s="22" t="s">
        <v>868</v>
      </c>
      <c r="C797" s="23" t="s">
        <v>866</v>
      </c>
      <c r="D797" s="22" t="n">
        <v>40</v>
      </c>
      <c r="E797" s="22" t="s">
        <v>33</v>
      </c>
      <c r="F797" s="22" t="n">
        <v>95</v>
      </c>
      <c r="G797" s="38" t="s">
        <v>51</v>
      </c>
      <c r="H797" s="22" t="n">
        <v>15.8</v>
      </c>
      <c r="I797" s="22" t="n">
        <v>158</v>
      </c>
      <c r="J797" s="22" t="n">
        <v>1.366</v>
      </c>
      <c r="K797" s="22" t="n">
        <v>34.7</v>
      </c>
      <c r="L797" s="22" t="n">
        <v>2.732</v>
      </c>
      <c r="M797" s="22" t="n">
        <v>69.4</v>
      </c>
      <c r="N797" s="22" t="n">
        <v>0.843</v>
      </c>
      <c r="O797" s="22" t="n">
        <v>21.4</v>
      </c>
      <c r="P797" s="22" t="n">
        <v>3.14</v>
      </c>
      <c r="Q797" s="22" t="n">
        <v>314</v>
      </c>
      <c r="R797" s="22" t="n">
        <v>49.7</v>
      </c>
      <c r="S797" s="22" t="n">
        <v>49700</v>
      </c>
      <c r="T797" s="22" t="n">
        <v>9.45</v>
      </c>
      <c r="U797" s="22" t="n">
        <f aca="false">C797*1</f>
        <v>70</v>
      </c>
      <c r="V797" s="22" t="e">
        <f aca="false">VLOOKUP(U797,'Powder Core Toroid OD'!$A$2:$B$36,2,0)</f>
        <v>#N/A</v>
      </c>
    </row>
    <row r="798" customFormat="false" ht="14.4" hidden="true" customHeight="false" outlineLevel="0" collapsed="false">
      <c r="A798" s="22" t="n">
        <v>77074</v>
      </c>
      <c r="B798" s="22" t="s">
        <v>869</v>
      </c>
      <c r="C798" s="23" t="s">
        <v>866</v>
      </c>
      <c r="D798" s="22" t="n">
        <v>26</v>
      </c>
      <c r="E798" s="22" t="s">
        <v>33</v>
      </c>
      <c r="F798" s="22" t="n">
        <v>62</v>
      </c>
      <c r="G798" s="38" t="s">
        <v>51</v>
      </c>
      <c r="H798" s="22" t="n">
        <v>15.8</v>
      </c>
      <c r="I798" s="22" t="n">
        <v>158</v>
      </c>
      <c r="J798" s="22" t="n">
        <v>1.366</v>
      </c>
      <c r="K798" s="22" t="n">
        <v>34.7</v>
      </c>
      <c r="L798" s="22" t="n">
        <v>2.732</v>
      </c>
      <c r="M798" s="22" t="n">
        <v>69.4</v>
      </c>
      <c r="N798" s="22" t="n">
        <v>0.843</v>
      </c>
      <c r="O798" s="22" t="n">
        <v>21.4</v>
      </c>
      <c r="P798" s="22" t="n">
        <v>3.14</v>
      </c>
      <c r="Q798" s="22" t="n">
        <v>314</v>
      </c>
      <c r="R798" s="22" t="n">
        <v>49.7</v>
      </c>
      <c r="S798" s="22" t="n">
        <v>49700</v>
      </c>
      <c r="T798" s="22" t="n">
        <v>9.45</v>
      </c>
      <c r="U798" s="22" t="n">
        <f aca="false">C798*1</f>
        <v>70</v>
      </c>
      <c r="V798" s="22" t="e">
        <f aca="false">VLOOKUP(U798,'Powder Core Toroid OD'!$A$2:$B$36,2,0)</f>
        <v>#N/A</v>
      </c>
    </row>
    <row r="799" customFormat="false" ht="14.4" hidden="true" customHeight="false" outlineLevel="0" collapsed="false">
      <c r="A799" s="22" t="n">
        <v>77075</v>
      </c>
      <c r="B799" s="22" t="s">
        <v>870</v>
      </c>
      <c r="C799" s="23" t="s">
        <v>866</v>
      </c>
      <c r="D799" s="22" t="n">
        <v>14</v>
      </c>
      <c r="E799" s="22" t="s">
        <v>33</v>
      </c>
      <c r="F799" s="22" t="n">
        <v>33</v>
      </c>
      <c r="G799" s="38" t="s">
        <v>51</v>
      </c>
      <c r="H799" s="22" t="n">
        <v>15.8</v>
      </c>
      <c r="I799" s="22" t="n">
        <v>158</v>
      </c>
      <c r="J799" s="22" t="n">
        <v>1.366</v>
      </c>
      <c r="K799" s="22" t="n">
        <v>34.7</v>
      </c>
      <c r="L799" s="22" t="n">
        <v>2.732</v>
      </c>
      <c r="M799" s="22" t="n">
        <v>69.4</v>
      </c>
      <c r="N799" s="22" t="n">
        <v>0.843</v>
      </c>
      <c r="O799" s="22" t="n">
        <v>21.4</v>
      </c>
      <c r="P799" s="22" t="n">
        <v>3.14</v>
      </c>
      <c r="Q799" s="22" t="n">
        <v>314</v>
      </c>
      <c r="R799" s="22" t="n">
        <v>49.7</v>
      </c>
      <c r="S799" s="22" t="n">
        <v>49700</v>
      </c>
      <c r="T799" s="22" t="n">
        <v>9.45</v>
      </c>
      <c r="U799" s="22" t="n">
        <f aca="false">C799*1</f>
        <v>70</v>
      </c>
      <c r="V799" s="22" t="e">
        <f aca="false">VLOOKUP(U799,'Powder Core Toroid OD'!$A$2:$B$36,2,0)</f>
        <v>#N/A</v>
      </c>
    </row>
    <row r="800" customFormat="false" ht="14.4" hidden="false" customHeight="false" outlineLevel="0" collapsed="false">
      <c r="A800" s="22" t="n">
        <v>78072</v>
      </c>
      <c r="B800" s="22" t="s">
        <v>871</v>
      </c>
      <c r="C800" s="23" t="s">
        <v>866</v>
      </c>
      <c r="D800" s="22" t="n">
        <v>60</v>
      </c>
      <c r="E800" s="22" t="s">
        <v>223</v>
      </c>
      <c r="F800" s="22" t="n">
        <v>143</v>
      </c>
      <c r="G800" s="38" t="s">
        <v>51</v>
      </c>
      <c r="H800" s="22" t="n">
        <v>15.8</v>
      </c>
      <c r="I800" s="22" t="n">
        <v>158</v>
      </c>
      <c r="J800" s="22" t="n">
        <v>1.366</v>
      </c>
      <c r="K800" s="22" t="n">
        <v>34.7</v>
      </c>
      <c r="L800" s="22" t="n">
        <v>2.732</v>
      </c>
      <c r="M800" s="22" t="n">
        <v>69.4</v>
      </c>
      <c r="N800" s="22" t="n">
        <v>0.843</v>
      </c>
      <c r="O800" s="22" t="n">
        <v>21.4</v>
      </c>
      <c r="P800" s="22" t="n">
        <v>3.14</v>
      </c>
      <c r="Q800" s="22" t="n">
        <v>314</v>
      </c>
      <c r="R800" s="22" t="n">
        <v>49.7</v>
      </c>
      <c r="S800" s="22" t="n">
        <v>49700</v>
      </c>
      <c r="T800" s="22" t="n">
        <v>9.45</v>
      </c>
      <c r="U800" s="22" t="n">
        <f aca="false">C800*1</f>
        <v>70</v>
      </c>
      <c r="V800" s="22" t="e">
        <f aca="false">VLOOKUP(U800,'Powder Core Toroid OD'!$A$2:$B$36,2,0)</f>
        <v>#N/A</v>
      </c>
    </row>
    <row r="801" customFormat="false" ht="14.4" hidden="false" customHeight="false" outlineLevel="0" collapsed="false">
      <c r="A801" s="22" t="n">
        <v>78052</v>
      </c>
      <c r="B801" s="22" t="s">
        <v>872</v>
      </c>
      <c r="C801" s="47" t="s">
        <v>243</v>
      </c>
      <c r="D801" s="22" t="n">
        <v>26</v>
      </c>
      <c r="E801" s="22" t="s">
        <v>223</v>
      </c>
      <c r="F801" s="22" t="n">
        <v>12</v>
      </c>
      <c r="G801" s="38" t="s">
        <v>51</v>
      </c>
      <c r="H801" s="22" t="n">
        <v>3.12</v>
      </c>
      <c r="I801" s="22" t="n">
        <v>31.2</v>
      </c>
      <c r="J801" s="22" t="n">
        <v>0.275</v>
      </c>
      <c r="K801" s="22" t="n">
        <v>6.98</v>
      </c>
      <c r="L801" s="43" t="n">
        <v>0.53</v>
      </c>
      <c r="M801" s="22" t="n">
        <v>13.5</v>
      </c>
      <c r="N801" s="22" t="n">
        <v>0.217</v>
      </c>
      <c r="O801" s="22" t="n">
        <v>5.52</v>
      </c>
      <c r="P801" s="22" t="n">
        <v>0.109</v>
      </c>
      <c r="Q801" s="22" t="n">
        <v>10.9</v>
      </c>
      <c r="R801" s="22" t="n">
        <v>0.34</v>
      </c>
      <c r="S801" s="22" t="n">
        <v>340</v>
      </c>
      <c r="T801" s="22" t="n">
        <v>0.383</v>
      </c>
      <c r="U801" s="22" t="n">
        <f aca="false">C801*1</f>
        <v>50</v>
      </c>
      <c r="V801" s="22" t="n">
        <f aca="false">VLOOKUP(U801,'Powder Core Toroid OD'!$A$2:$B$36,2,0)</f>
        <v>12.7</v>
      </c>
    </row>
    <row r="802" customFormat="false" ht="14.4" hidden="false" customHeight="false" outlineLevel="0" collapsed="false">
      <c r="A802" s="22" t="n">
        <v>78122</v>
      </c>
      <c r="B802" s="22" t="s">
        <v>873</v>
      </c>
      <c r="C802" s="23" t="n">
        <v>120</v>
      </c>
      <c r="D802" s="22" t="n">
        <v>26</v>
      </c>
      <c r="E802" s="22" t="s">
        <v>223</v>
      </c>
      <c r="F802" s="22" t="n">
        <v>15</v>
      </c>
      <c r="G802" s="38" t="s">
        <v>51</v>
      </c>
      <c r="H802" s="22" t="n">
        <v>4.12</v>
      </c>
      <c r="I802" s="22" t="n">
        <v>41.2</v>
      </c>
      <c r="J802" s="22" t="n">
        <v>0.375</v>
      </c>
      <c r="K802" s="22" t="n">
        <v>9.52</v>
      </c>
      <c r="L802" s="43" t="n">
        <v>0.68</v>
      </c>
      <c r="M802" s="22" t="n">
        <v>17.3</v>
      </c>
      <c r="N802" s="43" t="n">
        <v>0.28</v>
      </c>
      <c r="O802" s="22" t="n">
        <v>7.12</v>
      </c>
      <c r="P802" s="22" t="n">
        <v>0.192</v>
      </c>
      <c r="Q802" s="22" t="n">
        <v>19.2</v>
      </c>
      <c r="R802" s="22" t="n">
        <v>0.791</v>
      </c>
      <c r="S802" s="22" t="n">
        <v>791</v>
      </c>
      <c r="T802" s="22" t="n">
        <v>0.712</v>
      </c>
      <c r="U802" s="22" t="n">
        <f aca="false">C802*1</f>
        <v>120</v>
      </c>
      <c r="V802" s="22" t="n">
        <f aca="false">VLOOKUP(U802,'Powder Core Toroid OD'!$A$2:$B$36,2,0)</f>
        <v>16.6</v>
      </c>
    </row>
    <row r="803" customFormat="false" ht="14.4" hidden="false" customHeight="false" outlineLevel="0" collapsed="false">
      <c r="A803" s="22" t="n">
        <v>78382</v>
      </c>
      <c r="B803" s="22" t="s">
        <v>874</v>
      </c>
      <c r="C803" s="23" t="s">
        <v>875</v>
      </c>
      <c r="D803" s="22" t="n">
        <v>26</v>
      </c>
      <c r="E803" s="22" t="s">
        <v>223</v>
      </c>
      <c r="F803" s="22" t="n">
        <v>19</v>
      </c>
      <c r="G803" s="38" t="s">
        <v>51</v>
      </c>
      <c r="H803" s="22" t="n">
        <v>4.14</v>
      </c>
      <c r="I803" s="22" t="n">
        <v>41.4</v>
      </c>
      <c r="J803" s="22" t="n">
        <v>0.355</v>
      </c>
      <c r="K803" s="22" t="n">
        <v>9.01</v>
      </c>
      <c r="L803" s="43" t="n">
        <v>0.71</v>
      </c>
      <c r="M803" s="22" t="n">
        <v>18.1</v>
      </c>
      <c r="N803" s="43" t="n">
        <v>0.28</v>
      </c>
      <c r="O803" s="22" t="n">
        <v>7.12</v>
      </c>
      <c r="P803" s="22" t="n">
        <v>0.232</v>
      </c>
      <c r="Q803" s="22" t="n">
        <v>23.2</v>
      </c>
      <c r="R803" s="43" t="n">
        <v>0.96</v>
      </c>
      <c r="S803" s="22" t="n">
        <v>960</v>
      </c>
      <c r="T803" s="22" t="n">
        <v>0.638</v>
      </c>
      <c r="U803" s="22" t="n">
        <f aca="false">C803*1</f>
        <v>380</v>
      </c>
      <c r="V803" s="22" t="n">
        <f aca="false">VLOOKUP(U803,'Powder Core Toroid OD'!$A$2:$B$36,2,0)</f>
        <v>17.3</v>
      </c>
    </row>
    <row r="804" customFormat="false" ht="14.4" hidden="false" customHeight="false" outlineLevel="0" collapsed="false">
      <c r="A804" s="22" t="n">
        <v>78208</v>
      </c>
      <c r="B804" s="22" t="s">
        <v>876</v>
      </c>
      <c r="C804" s="23" t="n">
        <v>206</v>
      </c>
      <c r="D804" s="22" t="n">
        <v>26</v>
      </c>
      <c r="E804" s="22" t="s">
        <v>223</v>
      </c>
      <c r="F804" s="22" t="n">
        <v>14</v>
      </c>
      <c r="G804" s="38" t="s">
        <v>51</v>
      </c>
      <c r="H804" s="22" t="n">
        <v>5.09</v>
      </c>
      <c r="I804" s="22" t="n">
        <v>50.9</v>
      </c>
      <c r="J804" s="22" t="n">
        <v>0.475</v>
      </c>
      <c r="K804" s="36" t="n">
        <v>12</v>
      </c>
      <c r="L804" s="43" t="n">
        <v>0.83</v>
      </c>
      <c r="M804" s="22" t="n">
        <v>21.1</v>
      </c>
      <c r="N804" s="43" t="n">
        <v>0.28</v>
      </c>
      <c r="O804" s="22" t="n">
        <v>7.12</v>
      </c>
      <c r="P804" s="22" t="n">
        <v>0.221</v>
      </c>
      <c r="Q804" s="22" t="n">
        <v>22.1</v>
      </c>
      <c r="R804" s="42" t="n">
        <v>1.12</v>
      </c>
      <c r="S804" s="22" t="n">
        <v>1120</v>
      </c>
      <c r="T804" s="22" t="n">
        <v>1.14</v>
      </c>
      <c r="U804" s="22" t="n">
        <f aca="false">C804*1</f>
        <v>206</v>
      </c>
      <c r="V804" s="22" t="n">
        <f aca="false">VLOOKUP(U804,'Powder Core Toroid OD'!$A$2:$B$36,2,0)</f>
        <v>20.3</v>
      </c>
    </row>
    <row r="805" customFormat="false" ht="14.4" hidden="false" customHeight="false" outlineLevel="0" collapsed="false">
      <c r="A805" s="22" t="n">
        <v>78312</v>
      </c>
      <c r="B805" s="22" t="s">
        <v>877</v>
      </c>
      <c r="C805" s="23" t="n">
        <v>310</v>
      </c>
      <c r="D805" s="22" t="n">
        <v>26</v>
      </c>
      <c r="E805" s="22" t="s">
        <v>223</v>
      </c>
      <c r="F805" s="22" t="n">
        <v>19</v>
      </c>
      <c r="G805" s="38" t="s">
        <v>51</v>
      </c>
      <c r="H805" s="22" t="n">
        <v>5.67</v>
      </c>
      <c r="I805" s="22" t="n">
        <v>56.7</v>
      </c>
      <c r="J805" s="22" t="n">
        <v>0.525</v>
      </c>
      <c r="K805" s="22" t="n">
        <v>13.3</v>
      </c>
      <c r="L805" s="43" t="n">
        <v>0.93</v>
      </c>
      <c r="M805" s="22" t="n">
        <v>23.7</v>
      </c>
      <c r="N805" s="43" t="n">
        <v>0.33</v>
      </c>
      <c r="O805" s="22" t="n">
        <v>8.39</v>
      </c>
      <c r="P805" s="22" t="n">
        <v>0.317</v>
      </c>
      <c r="Q805" s="22" t="n">
        <v>31.7</v>
      </c>
      <c r="R805" s="42" t="n">
        <v>1.8</v>
      </c>
      <c r="S805" s="22" t="n">
        <v>1800</v>
      </c>
      <c r="T805" s="22" t="n">
        <v>1.39</v>
      </c>
      <c r="U805" s="22" t="n">
        <f aca="false">C805*1</f>
        <v>310</v>
      </c>
      <c r="V805" s="22" t="n">
        <f aca="false">VLOOKUP(U805,'Powder Core Toroid OD'!$A$2:$B$36,2,0)</f>
        <v>22.9</v>
      </c>
    </row>
    <row r="806" customFormat="false" ht="14.4" hidden="false" customHeight="false" outlineLevel="0" collapsed="false">
      <c r="A806" s="22" t="n">
        <v>78352</v>
      </c>
      <c r="B806" s="22" t="s">
        <v>878</v>
      </c>
      <c r="C806" s="23" t="s">
        <v>879</v>
      </c>
      <c r="D806" s="22" t="n">
        <v>26</v>
      </c>
      <c r="E806" s="22" t="s">
        <v>223</v>
      </c>
      <c r="F806" s="22" t="n">
        <v>22</v>
      </c>
      <c r="G806" s="38" t="s">
        <v>51</v>
      </c>
      <c r="H806" s="22" t="n">
        <v>5.88</v>
      </c>
      <c r="I806" s="22" t="n">
        <v>58.8</v>
      </c>
      <c r="J806" s="22" t="n">
        <v>0.542</v>
      </c>
      <c r="K806" s="22" t="n">
        <v>13.7</v>
      </c>
      <c r="L806" s="22" t="n">
        <v>0.958</v>
      </c>
      <c r="M806" s="22" t="n">
        <v>24.4</v>
      </c>
      <c r="N806" s="43" t="n">
        <v>0.38</v>
      </c>
      <c r="O806" s="22" t="n">
        <v>9.66</v>
      </c>
      <c r="P806" s="22" t="n">
        <v>0.388</v>
      </c>
      <c r="Q806" s="22" t="n">
        <v>38.8</v>
      </c>
      <c r="R806" s="42" t="n">
        <v>2.28144</v>
      </c>
      <c r="S806" s="22" t="n">
        <v>2280</v>
      </c>
      <c r="T806" s="22" t="n">
        <v>1.49</v>
      </c>
      <c r="U806" s="22" t="n">
        <f aca="false">C806*1</f>
        <v>350</v>
      </c>
      <c r="V806" s="22" t="n">
        <f aca="false">VLOOKUP(U806,'Powder Core Toroid OD'!$A$2:$B$36,2,0)</f>
        <v>23.6</v>
      </c>
    </row>
    <row r="807" customFormat="false" ht="14.4" hidden="false" customHeight="false" outlineLevel="0" collapsed="false">
      <c r="A807" s="22" t="n">
        <v>78932</v>
      </c>
      <c r="B807" s="22" t="s">
        <v>880</v>
      </c>
      <c r="C807" s="23" t="n">
        <v>930</v>
      </c>
      <c r="D807" s="22" t="n">
        <v>26</v>
      </c>
      <c r="E807" s="22" t="s">
        <v>223</v>
      </c>
      <c r="F807" s="22" t="n">
        <v>32</v>
      </c>
      <c r="G807" s="38" t="s">
        <v>51</v>
      </c>
      <c r="H807" s="22" t="n">
        <v>6.35</v>
      </c>
      <c r="I807" s="22" t="n">
        <v>63.5</v>
      </c>
      <c r="J807" s="22" t="n">
        <v>0.555</v>
      </c>
      <c r="K807" s="22" t="n">
        <v>14.1</v>
      </c>
      <c r="L807" s="43" t="n">
        <v>1.09</v>
      </c>
      <c r="M807" s="22" t="n">
        <v>27.69</v>
      </c>
      <c r="N807" s="43" t="n">
        <v>0.47</v>
      </c>
      <c r="O807" s="36" t="n">
        <v>12</v>
      </c>
      <c r="P807" s="22" t="n">
        <v>0.654</v>
      </c>
      <c r="Q807" s="22" t="n">
        <v>65.4</v>
      </c>
      <c r="R807" s="22" t="n">
        <v>4.15</v>
      </c>
      <c r="S807" s="22" t="n">
        <v>4150</v>
      </c>
      <c r="T807" s="22" t="n">
        <v>1.56</v>
      </c>
      <c r="U807" s="22" t="n">
        <f aca="false">C807*1</f>
        <v>930</v>
      </c>
      <c r="V807" s="22" t="n">
        <f aca="false">VLOOKUP(U807,'Powder Core Toroid OD'!$A$2:$B$36,2,0)</f>
        <v>26.9</v>
      </c>
    </row>
    <row r="808" customFormat="false" ht="14.4" hidden="false" customHeight="false" outlineLevel="0" collapsed="false">
      <c r="A808" s="22" t="n">
        <v>78550</v>
      </c>
      <c r="B808" s="22" t="s">
        <v>881</v>
      </c>
      <c r="C808" s="23" t="n">
        <v>548</v>
      </c>
      <c r="D808" s="22" t="n">
        <v>26</v>
      </c>
      <c r="E808" s="22" t="s">
        <v>223</v>
      </c>
      <c r="F808" s="22" t="n">
        <v>28</v>
      </c>
      <c r="G808" s="38" t="s">
        <v>51</v>
      </c>
      <c r="H808" s="22" t="n">
        <v>8.14</v>
      </c>
      <c r="I808" s="22" t="n">
        <v>81.4</v>
      </c>
      <c r="J808" s="22" t="n">
        <v>0.766</v>
      </c>
      <c r="K808" s="22" t="n">
        <v>19.4</v>
      </c>
      <c r="L808" s="22" t="n">
        <v>1.325</v>
      </c>
      <c r="M808" s="22" t="n">
        <v>33.66</v>
      </c>
      <c r="N808" s="43" t="n">
        <v>0.45</v>
      </c>
      <c r="O808" s="22" t="n">
        <v>11.5</v>
      </c>
      <c r="P808" s="22" t="n">
        <v>0.656</v>
      </c>
      <c r="Q808" s="22" t="n">
        <v>65.6</v>
      </c>
      <c r="R808" s="42" t="n">
        <v>5.34</v>
      </c>
      <c r="S808" s="22" t="n">
        <v>5340</v>
      </c>
      <c r="T808" s="22" t="n">
        <v>2.97</v>
      </c>
      <c r="U808" s="22" t="n">
        <f aca="false">C808*1</f>
        <v>548</v>
      </c>
      <c r="V808" s="22" t="n">
        <f aca="false">VLOOKUP(U808,'Powder Core Toroid OD'!$A$2:$B$36,2,0)</f>
        <v>32.8</v>
      </c>
    </row>
    <row r="809" customFormat="false" ht="14.4" hidden="false" customHeight="false" outlineLevel="0" collapsed="false">
      <c r="A809" s="22" t="n">
        <v>78587</v>
      </c>
      <c r="B809" s="22" t="s">
        <v>882</v>
      </c>
      <c r="C809" s="23" t="n">
        <v>585</v>
      </c>
      <c r="D809" s="22" t="n">
        <v>26</v>
      </c>
      <c r="E809" s="22" t="s">
        <v>223</v>
      </c>
      <c r="F809" s="22" t="n">
        <v>16</v>
      </c>
      <c r="G809" s="38" t="s">
        <v>51</v>
      </c>
      <c r="H809" s="22" t="n">
        <v>8.95</v>
      </c>
      <c r="I809" s="22" t="n">
        <v>89.5</v>
      </c>
      <c r="J809" s="22" t="n">
        <v>0.888</v>
      </c>
      <c r="K809" s="22" t="n">
        <v>22.5</v>
      </c>
      <c r="L809" s="22" t="n">
        <v>1.385</v>
      </c>
      <c r="M809" s="22" t="n">
        <v>35.18</v>
      </c>
      <c r="N809" s="22" t="n">
        <v>0.385</v>
      </c>
      <c r="O809" s="22" t="n">
        <v>9.78</v>
      </c>
      <c r="P809" s="22" t="n">
        <v>0.464</v>
      </c>
      <c r="Q809" s="22" t="n">
        <v>46.4</v>
      </c>
      <c r="R809" s="42" t="n">
        <v>4.15</v>
      </c>
      <c r="S809" s="22" t="n">
        <v>4150</v>
      </c>
      <c r="T809" s="22" t="n">
        <v>3.99</v>
      </c>
      <c r="U809" s="22" t="n">
        <f aca="false">C809*1</f>
        <v>585</v>
      </c>
      <c r="V809" s="22" t="n">
        <f aca="false">VLOOKUP(U809,'Powder Core Toroid OD'!$A$2:$B$36,2,0)</f>
        <v>34.3</v>
      </c>
    </row>
    <row r="810" customFormat="false" ht="14.4" hidden="false" customHeight="false" outlineLevel="0" collapsed="false">
      <c r="A810" s="22" t="n">
        <v>78326</v>
      </c>
      <c r="B810" s="22" t="s">
        <v>883</v>
      </c>
      <c r="C810" s="23" t="n">
        <v>324</v>
      </c>
      <c r="D810" s="22" t="n">
        <v>26</v>
      </c>
      <c r="E810" s="22" t="s">
        <v>223</v>
      </c>
      <c r="F810" s="22" t="n">
        <v>24</v>
      </c>
      <c r="G810" s="38" t="s">
        <v>51</v>
      </c>
      <c r="H810" s="22" t="n">
        <v>8.98</v>
      </c>
      <c r="I810" s="22" t="n">
        <v>89.8</v>
      </c>
      <c r="J810" s="22" t="n">
        <v>0.848</v>
      </c>
      <c r="K810" s="22" t="n">
        <v>21.5</v>
      </c>
      <c r="L810" s="22" t="n">
        <v>1.445</v>
      </c>
      <c r="M810" s="22" t="n">
        <v>36.71</v>
      </c>
      <c r="N810" s="22" t="n">
        <v>0.447</v>
      </c>
      <c r="O810" s="22" t="n">
        <v>11.4</v>
      </c>
      <c r="P810" s="22" t="n">
        <v>0.678</v>
      </c>
      <c r="Q810" s="22" t="n">
        <v>67.8</v>
      </c>
      <c r="R810" s="42" t="n">
        <v>6.09</v>
      </c>
      <c r="S810" s="22" t="n">
        <v>6090</v>
      </c>
      <c r="T810" s="22" t="n">
        <v>3.64</v>
      </c>
      <c r="U810" s="22" t="n">
        <f aca="false">C810*1</f>
        <v>324</v>
      </c>
      <c r="V810" s="22" t="n">
        <f aca="false">VLOOKUP(U810,'Powder Core Toroid OD'!$A$2:$B$36,2,0)</f>
        <v>35.8</v>
      </c>
    </row>
    <row r="811" customFormat="false" ht="14.4" hidden="false" customHeight="false" outlineLevel="0" collapsed="false">
      <c r="A811" s="22" t="n">
        <v>78256</v>
      </c>
      <c r="B811" s="22" t="s">
        <v>884</v>
      </c>
      <c r="C811" s="23" t="n">
        <v>254</v>
      </c>
      <c r="D811" s="22" t="n">
        <v>26</v>
      </c>
      <c r="E811" s="22" t="s">
        <v>223</v>
      </c>
      <c r="F811" s="22" t="n">
        <v>35</v>
      </c>
      <c r="G811" s="38" t="s">
        <v>51</v>
      </c>
      <c r="H811" s="22" t="n">
        <v>9.84</v>
      </c>
      <c r="I811" s="22" t="n">
        <v>98.4</v>
      </c>
      <c r="J811" s="22" t="n">
        <v>0.918</v>
      </c>
      <c r="K811" s="22" t="n">
        <v>23.3</v>
      </c>
      <c r="L811" s="22" t="n">
        <v>1.605</v>
      </c>
      <c r="M811" s="22" t="n">
        <v>40.77</v>
      </c>
      <c r="N811" s="22" t="n">
        <v>0.605</v>
      </c>
      <c r="O811" s="22" t="n">
        <v>15.4</v>
      </c>
      <c r="P811" s="22" t="n">
        <v>1.07</v>
      </c>
      <c r="Q811" s="22" t="n">
        <v>107</v>
      </c>
      <c r="R811" s="36" t="n">
        <v>10.6</v>
      </c>
      <c r="S811" s="22" t="n">
        <v>10600</v>
      </c>
      <c r="T811" s="22" t="n">
        <v>4.27</v>
      </c>
      <c r="U811" s="22" t="n">
        <f aca="false">C811*1</f>
        <v>254</v>
      </c>
      <c r="V811" s="22" t="n">
        <f aca="false">VLOOKUP(U811,'Powder Core Toroid OD'!$A$2:$B$36,2,0)</f>
        <v>39.9</v>
      </c>
    </row>
    <row r="812" customFormat="false" ht="14.4" hidden="false" customHeight="false" outlineLevel="0" collapsed="false">
      <c r="A812" s="22" t="n">
        <v>78440</v>
      </c>
      <c r="B812" s="22" t="s">
        <v>885</v>
      </c>
      <c r="C812" s="23" t="s">
        <v>886</v>
      </c>
      <c r="D812" s="22" t="n">
        <v>26</v>
      </c>
      <c r="E812" s="22" t="s">
        <v>223</v>
      </c>
      <c r="F812" s="22" t="n">
        <v>59</v>
      </c>
      <c r="G812" s="38" t="s">
        <v>51</v>
      </c>
      <c r="H812" s="22" t="n">
        <v>10.7</v>
      </c>
      <c r="I812" s="22" t="n">
        <v>107</v>
      </c>
      <c r="J812" s="22" t="n">
        <v>0.918</v>
      </c>
      <c r="K812" s="22" t="n">
        <v>23.3</v>
      </c>
      <c r="L812" s="22" t="n">
        <v>1.875</v>
      </c>
      <c r="M812" s="22" t="n">
        <v>47.63</v>
      </c>
      <c r="N812" s="22" t="n">
        <v>0.745</v>
      </c>
      <c r="O812" s="36" t="n">
        <v>19</v>
      </c>
      <c r="P812" s="22" t="n">
        <v>1.99</v>
      </c>
      <c r="Q812" s="22" t="n">
        <v>199</v>
      </c>
      <c r="R812" s="22" t="n">
        <v>21.3</v>
      </c>
      <c r="S812" s="22" t="n">
        <v>21300</v>
      </c>
      <c r="T812" s="22" t="n">
        <v>4.27</v>
      </c>
      <c r="U812" s="22" t="n">
        <f aca="false">C812*1</f>
        <v>438</v>
      </c>
      <c r="V812" s="22" t="n">
        <f aca="false">VLOOKUP(U812,'Powder Core Toroid OD'!$A$2:$B$36,2,0)</f>
        <v>46.7</v>
      </c>
    </row>
    <row r="813" customFormat="false" ht="14.4" hidden="false" customHeight="false" outlineLevel="0" collapsed="false">
      <c r="A813" s="22" t="n">
        <v>78091</v>
      </c>
      <c r="B813" s="22" t="s">
        <v>887</v>
      </c>
      <c r="C813" s="23" t="s">
        <v>258</v>
      </c>
      <c r="D813" s="22" t="n">
        <v>26</v>
      </c>
      <c r="E813" s="22" t="s">
        <v>223</v>
      </c>
      <c r="F813" s="22" t="n">
        <v>37</v>
      </c>
      <c r="G813" s="38" t="s">
        <v>51</v>
      </c>
      <c r="H813" s="22" t="n">
        <v>11.6</v>
      </c>
      <c r="I813" s="22" t="n">
        <v>116</v>
      </c>
      <c r="J813" s="22" t="n">
        <v>1.098</v>
      </c>
      <c r="K813" s="22" t="n">
        <v>27.88</v>
      </c>
      <c r="L813" s="22" t="n">
        <v>1.875</v>
      </c>
      <c r="M813" s="22" t="n">
        <v>47.63</v>
      </c>
      <c r="N813" s="22" t="n">
        <v>0.635</v>
      </c>
      <c r="O813" s="22" t="n">
        <v>16.1</v>
      </c>
      <c r="P813" s="22" t="n">
        <v>1.34</v>
      </c>
      <c r="Q813" s="22" t="n">
        <v>134</v>
      </c>
      <c r="R813" s="22" t="n">
        <v>15.6</v>
      </c>
      <c r="S813" s="22" t="n">
        <v>15600</v>
      </c>
      <c r="T813" s="22" t="n">
        <v>6.1</v>
      </c>
      <c r="U813" s="22" t="n">
        <f aca="false">C813*1</f>
        <v>89</v>
      </c>
      <c r="V813" s="22" t="n">
        <f aca="false">VLOOKUP(U813,'Powder Core Toroid OD'!$A$2:$B$36,2,0)</f>
        <v>46.7</v>
      </c>
    </row>
    <row r="814" customFormat="false" ht="14.4" hidden="false" customHeight="false" outlineLevel="0" collapsed="false">
      <c r="A814" s="22" t="n">
        <v>78717</v>
      </c>
      <c r="B814" s="22" t="s">
        <v>888</v>
      </c>
      <c r="C814" s="23" t="s">
        <v>889</v>
      </c>
      <c r="D814" s="22" t="n">
        <v>26</v>
      </c>
      <c r="E814" s="22" t="s">
        <v>223</v>
      </c>
      <c r="F814" s="22" t="n">
        <v>32</v>
      </c>
      <c r="G814" s="38" t="s">
        <v>51</v>
      </c>
      <c r="H814" s="22" t="n">
        <v>12.7</v>
      </c>
      <c r="I814" s="22" t="n">
        <v>127</v>
      </c>
      <c r="J814" s="22" t="n">
        <v>1.218</v>
      </c>
      <c r="K814" s="22" t="n">
        <v>30.93</v>
      </c>
      <c r="L814" s="22" t="n">
        <v>2.035</v>
      </c>
      <c r="M814" s="22" t="n">
        <v>51.69</v>
      </c>
      <c r="N814" s="22" t="n">
        <v>0.565</v>
      </c>
      <c r="O814" s="22" t="n">
        <v>14.4</v>
      </c>
      <c r="P814" s="22" t="n">
        <v>1.25</v>
      </c>
      <c r="Q814" s="22" t="n">
        <v>125</v>
      </c>
      <c r="R814" s="22" t="n">
        <v>15.9</v>
      </c>
      <c r="S814" s="22" t="n">
        <v>15900</v>
      </c>
      <c r="T814" s="22" t="n">
        <v>7.51</v>
      </c>
      <c r="U814" s="22" t="n">
        <f aca="false">C814*1</f>
        <v>715</v>
      </c>
      <c r="V814" s="22" t="n">
        <f aca="false">VLOOKUP(U814,'Powder Core Toroid OD'!$A$2:$B$36,2,0)</f>
        <v>50.8</v>
      </c>
    </row>
    <row r="815" customFormat="false" ht="14.4" hidden="false" customHeight="false" outlineLevel="0" collapsed="false">
      <c r="A815" s="22" t="n">
        <v>78191</v>
      </c>
      <c r="B815" s="22" t="s">
        <v>890</v>
      </c>
      <c r="C815" s="23" t="s">
        <v>891</v>
      </c>
      <c r="D815" s="22" t="n">
        <v>26</v>
      </c>
      <c r="E815" s="22" t="s">
        <v>223</v>
      </c>
      <c r="F815" s="22" t="n">
        <v>60</v>
      </c>
      <c r="G815" s="38" t="s">
        <v>51</v>
      </c>
      <c r="H815" s="22" t="n">
        <v>12.5</v>
      </c>
      <c r="I815" s="22" t="n">
        <v>125</v>
      </c>
      <c r="J815" s="22" t="n">
        <v>1.007</v>
      </c>
      <c r="K815" s="22" t="n">
        <v>25.57</v>
      </c>
      <c r="L815" s="22" t="n">
        <v>2.285</v>
      </c>
      <c r="M815" s="22" t="n">
        <v>58.04</v>
      </c>
      <c r="N815" s="22" t="n">
        <v>0.635</v>
      </c>
      <c r="O815" s="22" t="n">
        <v>16.2</v>
      </c>
      <c r="P815" s="22" t="n">
        <v>2.29</v>
      </c>
      <c r="Q815" s="22" t="n">
        <v>229</v>
      </c>
      <c r="R815" s="22" t="n">
        <v>28.6</v>
      </c>
      <c r="S815" s="22" t="n">
        <v>28600</v>
      </c>
      <c r="T815" s="22" t="n">
        <v>5.14</v>
      </c>
      <c r="U815" s="22" t="n">
        <f aca="false">C815*1</f>
        <v>195</v>
      </c>
      <c r="V815" s="22" t="n">
        <f aca="false">VLOOKUP(U815,'Powder Core Toroid OD'!$A$2:$B$36,2,0)</f>
        <v>57.2</v>
      </c>
    </row>
    <row r="816" customFormat="false" ht="14.4" hidden="false" customHeight="false" outlineLevel="0" collapsed="false">
      <c r="A816" s="22" t="n">
        <v>78111</v>
      </c>
      <c r="B816" s="22" t="s">
        <v>892</v>
      </c>
      <c r="C816" s="23" t="s">
        <v>893</v>
      </c>
      <c r="D816" s="22" t="n">
        <v>26</v>
      </c>
      <c r="E816" s="22" t="s">
        <v>223</v>
      </c>
      <c r="F816" s="22" t="n">
        <v>33</v>
      </c>
      <c r="G816" s="38" t="s">
        <v>51</v>
      </c>
      <c r="H816" s="22" t="n">
        <v>14.3</v>
      </c>
      <c r="I816" s="22" t="n">
        <v>143</v>
      </c>
      <c r="J816" s="22" t="n">
        <v>1.368</v>
      </c>
      <c r="K816" s="22" t="n">
        <v>34.74</v>
      </c>
      <c r="L816" s="22" t="n">
        <v>2.285</v>
      </c>
      <c r="M816" s="22" t="n">
        <v>58.04</v>
      </c>
      <c r="N816" s="22" t="n">
        <v>0.585</v>
      </c>
      <c r="O816" s="22" t="n">
        <v>14.9</v>
      </c>
      <c r="P816" s="22" t="n">
        <v>1.44</v>
      </c>
      <c r="Q816" s="22" t="n">
        <v>144</v>
      </c>
      <c r="R816" s="22" t="n">
        <v>20.7</v>
      </c>
      <c r="S816" s="22" t="n">
        <v>20700</v>
      </c>
      <c r="T816" s="22" t="n">
        <v>9.48</v>
      </c>
      <c r="U816" s="22" t="n">
        <f aca="false">C816*1</f>
        <v>109</v>
      </c>
      <c r="V816" s="22" t="n">
        <f aca="false">VLOOKUP(U816,'Powder Core Toroid OD'!$A$2:$B$36,2,0)</f>
        <v>57.2</v>
      </c>
    </row>
    <row r="817" customFormat="false" ht="14.4" hidden="false" customHeight="false" outlineLevel="0" collapsed="false">
      <c r="A817" s="22" t="n">
        <v>78615</v>
      </c>
      <c r="B817" s="22" t="s">
        <v>894</v>
      </c>
      <c r="C817" s="23" t="n">
        <v>620</v>
      </c>
      <c r="D817" s="22" t="n">
        <v>26</v>
      </c>
      <c r="E817" s="22" t="s">
        <v>223</v>
      </c>
      <c r="F817" s="22" t="n">
        <v>82</v>
      </c>
      <c r="G817" s="38" t="s">
        <v>51</v>
      </c>
      <c r="H817" s="22" t="n">
        <v>14.4</v>
      </c>
      <c r="I817" s="22" t="n">
        <v>144</v>
      </c>
      <c r="J817" s="22" t="n">
        <v>1.248</v>
      </c>
      <c r="K817" s="42" t="n">
        <v>31.69</v>
      </c>
      <c r="L817" s="22" t="n">
        <v>2.477</v>
      </c>
      <c r="M817" s="42" t="n">
        <v>62.91</v>
      </c>
      <c r="N817" s="43" t="n">
        <v>1.02</v>
      </c>
      <c r="O817" s="42" t="n">
        <v>25.91</v>
      </c>
      <c r="P817" s="42" t="n">
        <v>3.6</v>
      </c>
      <c r="Q817" s="22" t="n">
        <v>360</v>
      </c>
      <c r="R817" s="22" t="n">
        <v>51.8</v>
      </c>
      <c r="S817" s="22" t="n">
        <v>51800</v>
      </c>
      <c r="T817" s="22" t="n">
        <v>7.89</v>
      </c>
      <c r="U817" s="22" t="n">
        <f aca="false">C817*1</f>
        <v>620</v>
      </c>
      <c r="V817" s="22" t="n">
        <f aca="false">VLOOKUP(U817,'Powder Core Toroid OD'!$A$2:$B$36,2,0)</f>
        <v>62</v>
      </c>
    </row>
    <row r="818" customFormat="false" ht="14.4" hidden="false" customHeight="false" outlineLevel="0" collapsed="false">
      <c r="A818" s="22" t="n">
        <v>78735</v>
      </c>
      <c r="B818" s="22" t="s">
        <v>895</v>
      </c>
      <c r="C818" s="23" t="s">
        <v>896</v>
      </c>
      <c r="D818" s="22" t="n">
        <v>26</v>
      </c>
      <c r="E818" s="22" t="s">
        <v>223</v>
      </c>
      <c r="F818" s="22" t="n">
        <v>88</v>
      </c>
      <c r="G818" s="38" t="s">
        <v>51</v>
      </c>
      <c r="H818" s="22" t="n">
        <v>18.4</v>
      </c>
      <c r="I818" s="22" t="n">
        <v>184</v>
      </c>
      <c r="J818" s="22" t="n">
        <v>1.748</v>
      </c>
      <c r="K818" s="42" t="n">
        <v>44.39</v>
      </c>
      <c r="L818" s="22" t="n">
        <v>2.953</v>
      </c>
      <c r="M818" s="42" t="n">
        <v>75.01</v>
      </c>
      <c r="N818" s="43" t="n">
        <v>1.414</v>
      </c>
      <c r="O818" s="42" t="n">
        <v>35.92</v>
      </c>
      <c r="P818" s="42" t="n">
        <v>4.97</v>
      </c>
      <c r="Q818" s="22" t="n">
        <v>497</v>
      </c>
      <c r="R818" s="22" t="n">
        <v>91.4</v>
      </c>
      <c r="S818" s="22" t="n">
        <v>91400</v>
      </c>
      <c r="T818" s="22" t="n">
        <v>15.5</v>
      </c>
      <c r="U818" s="22" t="n">
        <f aca="false">C818*1</f>
        <v>740</v>
      </c>
      <c r="V818" s="22" t="n">
        <f aca="false">VLOOKUP(U818,'Powder Core Toroid OD'!$A$2:$B$36,2,0)</f>
        <v>74.1</v>
      </c>
    </row>
    <row r="819" customFormat="false" ht="14.4" hidden="false" customHeight="false" outlineLevel="0" collapsed="false">
      <c r="A819" s="35" t="n">
        <v>75099</v>
      </c>
      <c r="B819" s="22" t="s">
        <v>897</v>
      </c>
      <c r="C819" s="23" t="n">
        <v>102</v>
      </c>
      <c r="D819" s="22" t="n">
        <v>60</v>
      </c>
      <c r="E819" s="47" t="s">
        <v>898</v>
      </c>
      <c r="F819" s="22" t="n">
        <v>111</v>
      </c>
      <c r="G819" s="22" t="s">
        <v>51</v>
      </c>
      <c r="H819" s="22" t="n">
        <v>24.3</v>
      </c>
      <c r="I819" s="22" t="n">
        <v>243</v>
      </c>
      <c r="J819" s="22" t="n">
        <v>2.195</v>
      </c>
      <c r="K819" s="22" t="n">
        <v>55.75</v>
      </c>
      <c r="L819" s="22" t="n">
        <v>4.055</v>
      </c>
      <c r="M819" s="36" t="n">
        <v>103</v>
      </c>
      <c r="N819" s="22" t="n">
        <v>0.705</v>
      </c>
      <c r="O819" s="22" t="n">
        <v>17.9</v>
      </c>
      <c r="P819" s="22" t="n">
        <v>3.58</v>
      </c>
      <c r="Q819" s="22" t="n">
        <v>358</v>
      </c>
      <c r="R819" s="22" t="n">
        <v>86.9</v>
      </c>
      <c r="S819" s="22" t="n">
        <v>86900</v>
      </c>
      <c r="T819" s="22" t="n">
        <v>24.7</v>
      </c>
      <c r="U819" s="22" t="n">
        <v>102</v>
      </c>
      <c r="V819" s="22" t="n">
        <v>101.6</v>
      </c>
    </row>
    <row r="820" customFormat="false" ht="14.4" hidden="false" customHeight="false" outlineLevel="0" collapsed="false">
      <c r="A820" s="35" t="n">
        <v>75100</v>
      </c>
      <c r="B820" s="22" t="s">
        <v>899</v>
      </c>
      <c r="C820" s="23" t="n">
        <v>102</v>
      </c>
      <c r="D820" s="22" t="n">
        <v>40</v>
      </c>
      <c r="E820" s="47" t="s">
        <v>898</v>
      </c>
      <c r="F820" s="22" t="n">
        <v>74</v>
      </c>
      <c r="G820" s="22" t="s">
        <v>51</v>
      </c>
      <c r="H820" s="22" t="n">
        <v>24.3</v>
      </c>
      <c r="I820" s="22" t="n">
        <v>243</v>
      </c>
      <c r="J820" s="22" t="n">
        <v>2.195</v>
      </c>
      <c r="K820" s="22" t="n">
        <v>55.75</v>
      </c>
      <c r="L820" s="22" t="n">
        <v>4.055</v>
      </c>
      <c r="M820" s="36" t="n">
        <v>103</v>
      </c>
      <c r="N820" s="22" t="n">
        <v>0.705</v>
      </c>
      <c r="O820" s="22" t="n">
        <v>17.9</v>
      </c>
      <c r="P820" s="22" t="n">
        <v>3.58</v>
      </c>
      <c r="Q820" s="22" t="n">
        <v>358</v>
      </c>
      <c r="R820" s="22" t="n">
        <v>86.9</v>
      </c>
      <c r="S820" s="22" t="n">
        <v>86900</v>
      </c>
      <c r="T820" s="22" t="n">
        <v>24.7</v>
      </c>
      <c r="U820" s="22" t="n">
        <v>102</v>
      </c>
      <c r="V820" s="22" t="n">
        <v>101.6</v>
      </c>
    </row>
    <row r="821" customFormat="false" ht="14.4" hidden="false" customHeight="false" outlineLevel="0" collapsed="false">
      <c r="A821" s="35" t="n">
        <v>75102</v>
      </c>
      <c r="B821" s="22" t="s">
        <v>900</v>
      </c>
      <c r="C821" s="23" t="n">
        <v>102</v>
      </c>
      <c r="D821" s="22" t="n">
        <v>26</v>
      </c>
      <c r="E821" s="47" t="s">
        <v>898</v>
      </c>
      <c r="F821" s="22" t="n">
        <v>48</v>
      </c>
      <c r="G821" s="22" t="s">
        <v>51</v>
      </c>
      <c r="H821" s="22" t="n">
        <v>24.3</v>
      </c>
      <c r="I821" s="22" t="n">
        <v>243</v>
      </c>
      <c r="J821" s="22" t="n">
        <v>2.195</v>
      </c>
      <c r="K821" s="22" t="n">
        <v>55.75</v>
      </c>
      <c r="L821" s="22" t="n">
        <v>4.055</v>
      </c>
      <c r="M821" s="36" t="n">
        <v>103</v>
      </c>
      <c r="N821" s="22" t="n">
        <v>0.705</v>
      </c>
      <c r="O821" s="22" t="n">
        <v>17.9</v>
      </c>
      <c r="P821" s="22" t="n">
        <v>3.58</v>
      </c>
      <c r="Q821" s="22" t="n">
        <v>358</v>
      </c>
      <c r="R821" s="22" t="n">
        <v>86.9</v>
      </c>
      <c r="S821" s="22" t="n">
        <v>86900</v>
      </c>
      <c r="T821" s="22" t="n">
        <v>24.7</v>
      </c>
      <c r="U821" s="22" t="n">
        <v>102</v>
      </c>
      <c r="V821" s="22" t="n">
        <v>101.6</v>
      </c>
    </row>
    <row r="822" customFormat="false" ht="14.4" hidden="false" customHeight="false" outlineLevel="0" collapsed="false">
      <c r="A822" s="37" t="n">
        <v>75165</v>
      </c>
      <c r="B822" s="38" t="s">
        <v>901</v>
      </c>
      <c r="C822" s="39" t="n">
        <v>165</v>
      </c>
      <c r="D822" s="38" t="n">
        <v>26</v>
      </c>
      <c r="E822" s="47" t="s">
        <v>898</v>
      </c>
      <c r="F822" s="38" t="n">
        <v>78</v>
      </c>
      <c r="G822" s="38" t="s">
        <v>51</v>
      </c>
      <c r="H822" s="38" t="n">
        <v>41.2</v>
      </c>
      <c r="I822" s="38" t="n">
        <v>412</v>
      </c>
      <c r="J822" s="38" t="n">
        <v>3.977</v>
      </c>
      <c r="K822" s="40" t="n">
        <v>101</v>
      </c>
      <c r="L822" s="38" t="n">
        <v>6.555</v>
      </c>
      <c r="M822" s="40" t="n">
        <v>166.5</v>
      </c>
      <c r="N822" s="38" t="n">
        <v>1.305</v>
      </c>
      <c r="O822" s="41" t="n">
        <v>33.15</v>
      </c>
      <c r="P822" s="38" t="n">
        <v>9.87</v>
      </c>
      <c r="Q822" s="38" t="n">
        <v>987</v>
      </c>
      <c r="R822" s="38" t="n">
        <v>407</v>
      </c>
      <c r="S822" s="38" t="n">
        <v>407000</v>
      </c>
      <c r="T822" s="38" t="n">
        <v>80.3</v>
      </c>
      <c r="U822" s="22" t="n">
        <v>165</v>
      </c>
      <c r="V822" s="22" t="n">
        <v>165.1</v>
      </c>
    </row>
    <row r="823" customFormat="false" ht="14.4" hidden="false" customHeight="false" outlineLevel="0" collapsed="false">
      <c r="A823" s="37" t="n">
        <v>75337</v>
      </c>
      <c r="B823" s="38" t="s">
        <v>902</v>
      </c>
      <c r="C823" s="39" t="n">
        <v>337</v>
      </c>
      <c r="D823" s="38" t="n">
        <v>26</v>
      </c>
      <c r="E823" s="47" t="s">
        <v>898</v>
      </c>
      <c r="F823" s="38" t="n">
        <v>68</v>
      </c>
      <c r="G823" s="38" t="s">
        <v>51</v>
      </c>
      <c r="H823" s="38" t="n">
        <v>32.4</v>
      </c>
      <c r="I823" s="38" t="n">
        <v>324</v>
      </c>
      <c r="J823" s="38" t="n">
        <v>3.039</v>
      </c>
      <c r="K823" s="38" t="n">
        <v>77.19</v>
      </c>
      <c r="L823" s="38" t="n">
        <v>5.274</v>
      </c>
      <c r="M823" s="40" t="n">
        <v>134</v>
      </c>
      <c r="N823" s="38" t="n">
        <v>1.055</v>
      </c>
      <c r="O823" s="41" t="n">
        <v>26.8</v>
      </c>
      <c r="P823" s="38" t="n">
        <v>6.78</v>
      </c>
      <c r="Q823" s="38" t="n">
        <v>678</v>
      </c>
      <c r="R823" s="38" t="n">
        <v>220</v>
      </c>
      <c r="S823" s="38" t="n">
        <v>220000</v>
      </c>
      <c r="T823" s="38" t="n">
        <v>47.1</v>
      </c>
      <c r="U823" s="22" t="n">
        <v>337</v>
      </c>
      <c r="V823" s="22" t="n">
        <v>132.6</v>
      </c>
    </row>
    <row r="824" customFormat="false" ht="14.4" hidden="false" customHeight="false" outlineLevel="0" collapsed="false">
      <c r="A824" s="35" t="n">
        <v>75615</v>
      </c>
      <c r="B824" s="22" t="s">
        <v>903</v>
      </c>
      <c r="C824" s="23" t="n">
        <v>620</v>
      </c>
      <c r="D824" s="22" t="n">
        <v>26</v>
      </c>
      <c r="E824" s="47" t="s">
        <v>898</v>
      </c>
      <c r="F824" s="22" t="n">
        <v>82</v>
      </c>
      <c r="G824" s="22" t="s">
        <v>51</v>
      </c>
      <c r="H824" s="22" t="n">
        <v>14.4</v>
      </c>
      <c r="I824" s="22" t="n">
        <v>144</v>
      </c>
      <c r="J824" s="22" t="n">
        <v>1.248</v>
      </c>
      <c r="K824" s="42" t="n">
        <v>31.69</v>
      </c>
      <c r="L824" s="22" t="n">
        <v>2.477</v>
      </c>
      <c r="M824" s="42" t="n">
        <v>62.91</v>
      </c>
      <c r="N824" s="43" t="n">
        <v>1.02</v>
      </c>
      <c r="O824" s="42" t="n">
        <v>25.91</v>
      </c>
      <c r="P824" s="42" t="n">
        <v>3.6</v>
      </c>
      <c r="Q824" s="22" t="n">
        <v>360</v>
      </c>
      <c r="R824" s="22" t="n">
        <v>51.8</v>
      </c>
      <c r="S824" s="22" t="n">
        <v>51800</v>
      </c>
      <c r="T824" s="22" t="n">
        <v>7.89</v>
      </c>
      <c r="U824" s="22" t="n">
        <v>620</v>
      </c>
      <c r="V824" s="22" t="n">
        <v>62</v>
      </c>
    </row>
    <row r="825" customFormat="false" ht="14.4" hidden="false" customHeight="false" outlineLevel="0" collapsed="false">
      <c r="A825" s="35" t="n">
        <v>75616</v>
      </c>
      <c r="B825" s="22" t="s">
        <v>904</v>
      </c>
      <c r="C825" s="23" t="n">
        <v>620</v>
      </c>
      <c r="D825" s="22" t="n">
        <v>40</v>
      </c>
      <c r="E825" s="47" t="s">
        <v>898</v>
      </c>
      <c r="F825" s="22" t="n">
        <v>126</v>
      </c>
      <c r="G825" s="22" t="s">
        <v>51</v>
      </c>
      <c r="H825" s="22" t="n">
        <v>14.4</v>
      </c>
      <c r="I825" s="22" t="n">
        <v>144</v>
      </c>
      <c r="J825" s="22" t="n">
        <v>1.248</v>
      </c>
      <c r="K825" s="42" t="n">
        <v>31.69</v>
      </c>
      <c r="L825" s="22" t="n">
        <v>2.477</v>
      </c>
      <c r="M825" s="42" t="n">
        <v>62.91</v>
      </c>
      <c r="N825" s="43" t="n">
        <v>1.02</v>
      </c>
      <c r="O825" s="42" t="n">
        <v>25.91</v>
      </c>
      <c r="P825" s="42" t="n">
        <v>3.6</v>
      </c>
      <c r="Q825" s="22" t="n">
        <v>360</v>
      </c>
      <c r="R825" s="22" t="n">
        <v>51.8</v>
      </c>
      <c r="S825" s="22" t="n">
        <v>51800</v>
      </c>
      <c r="T825" s="22" t="n">
        <v>7.89</v>
      </c>
      <c r="U825" s="22" t="n">
        <v>620</v>
      </c>
      <c r="V825" s="22" t="n">
        <v>62</v>
      </c>
    </row>
    <row r="826" customFormat="false" ht="14.4" hidden="false" customHeight="false" outlineLevel="0" collapsed="false">
      <c r="A826" s="35" t="n">
        <v>75617</v>
      </c>
      <c r="B826" s="22" t="s">
        <v>905</v>
      </c>
      <c r="C826" s="23" t="n">
        <v>620</v>
      </c>
      <c r="D826" s="22" t="n">
        <v>60</v>
      </c>
      <c r="E826" s="47" t="s">
        <v>898</v>
      </c>
      <c r="F826" s="22" t="n">
        <v>189</v>
      </c>
      <c r="G826" s="22" t="s">
        <v>51</v>
      </c>
      <c r="H826" s="22" t="n">
        <v>14.4</v>
      </c>
      <c r="I826" s="22" t="n">
        <v>144</v>
      </c>
      <c r="J826" s="22" t="n">
        <v>1.248</v>
      </c>
      <c r="K826" s="42" t="n">
        <v>31.69</v>
      </c>
      <c r="L826" s="22" t="n">
        <v>2.477</v>
      </c>
      <c r="M826" s="42" t="n">
        <v>62.91</v>
      </c>
      <c r="N826" s="43" t="n">
        <v>1.02</v>
      </c>
      <c r="O826" s="42" t="n">
        <v>25.91</v>
      </c>
      <c r="P826" s="42" t="n">
        <v>3.6</v>
      </c>
      <c r="Q826" s="22" t="n">
        <v>360</v>
      </c>
      <c r="R826" s="22" t="n">
        <v>51.8</v>
      </c>
      <c r="S826" s="22" t="n">
        <v>51800</v>
      </c>
      <c r="T826" s="22" t="n">
        <v>7.89</v>
      </c>
      <c r="U826" s="22" t="n">
        <v>620</v>
      </c>
      <c r="V826" s="22" t="n">
        <v>62</v>
      </c>
    </row>
    <row r="827" customFormat="false" ht="14.4" hidden="false" customHeight="false" outlineLevel="0" collapsed="false">
      <c r="A827" s="35" t="n">
        <v>75735</v>
      </c>
      <c r="B827" s="22" t="s">
        <v>906</v>
      </c>
      <c r="C827" s="23" t="n">
        <v>740</v>
      </c>
      <c r="D827" s="22" t="n">
        <v>26</v>
      </c>
      <c r="E827" s="47" t="s">
        <v>898</v>
      </c>
      <c r="F827" s="22" t="n">
        <v>88</v>
      </c>
      <c r="G827" s="22" t="s">
        <v>51</v>
      </c>
      <c r="H827" s="22" t="n">
        <v>18.4</v>
      </c>
      <c r="I827" s="22" t="n">
        <v>184</v>
      </c>
      <c r="J827" s="22" t="n">
        <v>1.748</v>
      </c>
      <c r="K827" s="42" t="n">
        <v>44.39</v>
      </c>
      <c r="L827" s="22" t="n">
        <v>2.953</v>
      </c>
      <c r="M827" s="42" t="n">
        <v>75.01</v>
      </c>
      <c r="N827" s="43" t="n">
        <v>1.414</v>
      </c>
      <c r="O827" s="42" t="n">
        <v>35.92</v>
      </c>
      <c r="P827" s="42" t="n">
        <v>4.97</v>
      </c>
      <c r="Q827" s="22" t="n">
        <v>497</v>
      </c>
      <c r="R827" s="22" t="n">
        <v>91.4</v>
      </c>
      <c r="S827" s="22" t="n">
        <v>91400</v>
      </c>
      <c r="T827" s="22" t="n">
        <v>15.5</v>
      </c>
      <c r="U827" s="22" t="n">
        <v>740</v>
      </c>
      <c r="V827" s="22" t="n">
        <v>74.1</v>
      </c>
    </row>
    <row r="828" customFormat="false" ht="14.4" hidden="false" customHeight="false" outlineLevel="0" collapsed="false">
      <c r="A828" s="35" t="n">
        <v>75736</v>
      </c>
      <c r="B828" s="22" t="s">
        <v>907</v>
      </c>
      <c r="C828" s="23" t="n">
        <v>740</v>
      </c>
      <c r="D828" s="22" t="n">
        <v>40</v>
      </c>
      <c r="E828" s="47" t="s">
        <v>898</v>
      </c>
      <c r="F828" s="22" t="n">
        <v>136</v>
      </c>
      <c r="G828" s="22" t="s">
        <v>51</v>
      </c>
      <c r="H828" s="22" t="n">
        <v>18.4</v>
      </c>
      <c r="I828" s="22" t="n">
        <v>184</v>
      </c>
      <c r="J828" s="22" t="n">
        <v>1.748</v>
      </c>
      <c r="K828" s="42" t="n">
        <v>44.39</v>
      </c>
      <c r="L828" s="22" t="n">
        <v>2.953</v>
      </c>
      <c r="M828" s="42" t="n">
        <v>75.01</v>
      </c>
      <c r="N828" s="43" t="n">
        <v>1.414</v>
      </c>
      <c r="O828" s="42" t="n">
        <v>35.92</v>
      </c>
      <c r="P828" s="42" t="n">
        <v>4.97</v>
      </c>
      <c r="Q828" s="22" t="n">
        <v>497</v>
      </c>
      <c r="R828" s="22" t="n">
        <v>91.4</v>
      </c>
      <c r="S828" s="22" t="n">
        <v>91400</v>
      </c>
      <c r="T828" s="22" t="n">
        <v>15.5</v>
      </c>
      <c r="U828" s="22" t="n">
        <v>740</v>
      </c>
      <c r="V828" s="22" t="n">
        <v>74.1</v>
      </c>
    </row>
    <row r="829" customFormat="false" ht="14.4" hidden="false" customHeight="false" outlineLevel="0" collapsed="false">
      <c r="A829" s="35" t="n">
        <v>75737</v>
      </c>
      <c r="B829" s="22" t="s">
        <v>908</v>
      </c>
      <c r="C829" s="23" t="n">
        <v>740</v>
      </c>
      <c r="D829" s="22" t="n">
        <v>60</v>
      </c>
      <c r="E829" s="47" t="s">
        <v>898</v>
      </c>
      <c r="F829" s="22" t="n">
        <v>204</v>
      </c>
      <c r="G829" s="22" t="s">
        <v>51</v>
      </c>
      <c r="H829" s="22" t="n">
        <v>18.4</v>
      </c>
      <c r="I829" s="22" t="n">
        <v>184</v>
      </c>
      <c r="J829" s="22" t="n">
        <v>1.748</v>
      </c>
      <c r="K829" s="42" t="n">
        <v>44.39</v>
      </c>
      <c r="L829" s="22" t="n">
        <v>2.953</v>
      </c>
      <c r="M829" s="42" t="n">
        <v>75.01</v>
      </c>
      <c r="N829" s="43" t="n">
        <v>1.414</v>
      </c>
      <c r="O829" s="42" t="n">
        <v>35.92</v>
      </c>
      <c r="P829" s="42" t="n">
        <v>4.97</v>
      </c>
      <c r="Q829" s="22" t="n">
        <v>497</v>
      </c>
      <c r="R829" s="22" t="n">
        <v>91.4</v>
      </c>
      <c r="S829" s="22" t="n">
        <v>91400</v>
      </c>
      <c r="T829" s="22" t="n">
        <v>15.5</v>
      </c>
      <c r="U829" s="22" t="n">
        <v>740</v>
      </c>
      <c r="V829" s="22" t="n">
        <v>74.1</v>
      </c>
    </row>
    <row r="830" customFormat="false" ht="14.4" hidden="false" customHeight="false" outlineLevel="0" collapsed="false">
      <c r="A830" s="45" t="n">
        <v>75059</v>
      </c>
      <c r="B830" s="22" t="s">
        <v>909</v>
      </c>
      <c r="C830" s="23" t="n">
        <v>310</v>
      </c>
      <c r="D830" s="22" t="n">
        <v>60</v>
      </c>
      <c r="E830" s="47" t="s">
        <v>898</v>
      </c>
      <c r="F830" s="22" t="n">
        <v>43</v>
      </c>
      <c r="G830" s="22" t="s">
        <v>51</v>
      </c>
      <c r="H830" s="22" t="n">
        <v>5.67</v>
      </c>
      <c r="I830" s="22" t="n">
        <v>56.7</v>
      </c>
      <c r="J830" s="22" t="n">
        <v>0.525</v>
      </c>
      <c r="K830" s="22" t="n">
        <v>13.3</v>
      </c>
      <c r="L830" s="43" t="n">
        <v>0.93</v>
      </c>
      <c r="M830" s="22" t="n">
        <v>23.7</v>
      </c>
      <c r="N830" s="43" t="n">
        <v>0.33</v>
      </c>
      <c r="O830" s="22" t="n">
        <v>8.39</v>
      </c>
      <c r="P830" s="22" t="n">
        <v>0.317</v>
      </c>
      <c r="Q830" s="22" t="n">
        <v>31.7</v>
      </c>
      <c r="R830" s="42" t="n">
        <v>1.8</v>
      </c>
      <c r="S830" s="22" t="n">
        <v>1800</v>
      </c>
      <c r="T830" s="22" t="n">
        <v>1.39</v>
      </c>
      <c r="U830" s="22" t="n">
        <v>310</v>
      </c>
      <c r="V830" s="22" t="n">
        <v>22.9</v>
      </c>
    </row>
    <row r="831" customFormat="false" ht="14.4" hidden="false" customHeight="false" outlineLevel="0" collapsed="false">
      <c r="A831" s="45" t="n">
        <v>75071</v>
      </c>
      <c r="B831" s="22" t="s">
        <v>910</v>
      </c>
      <c r="C831" s="23" t="n">
        <v>548</v>
      </c>
      <c r="D831" s="22" t="n">
        <v>60</v>
      </c>
      <c r="E831" s="47" t="s">
        <v>898</v>
      </c>
      <c r="F831" s="22" t="n">
        <v>61</v>
      </c>
      <c r="G831" s="22" t="s">
        <v>51</v>
      </c>
      <c r="H831" s="22" t="n">
        <v>8.14</v>
      </c>
      <c r="I831" s="22" t="n">
        <v>81.4</v>
      </c>
      <c r="J831" s="22" t="n">
        <v>0.766</v>
      </c>
      <c r="K831" s="22" t="n">
        <v>19.4</v>
      </c>
      <c r="L831" s="22" t="n">
        <v>1.325</v>
      </c>
      <c r="M831" s="22" t="n">
        <v>33.66</v>
      </c>
      <c r="N831" s="43" t="n">
        <v>0.45</v>
      </c>
      <c r="O831" s="22" t="n">
        <v>11.5</v>
      </c>
      <c r="P831" s="22" t="n">
        <v>0.656</v>
      </c>
      <c r="Q831" s="22" t="n">
        <v>65.6</v>
      </c>
      <c r="R831" s="42" t="n">
        <v>5.34</v>
      </c>
      <c r="S831" s="22" t="n">
        <v>5340</v>
      </c>
      <c r="T831" s="22" t="n">
        <v>2.97</v>
      </c>
      <c r="U831" s="22" t="n">
        <v>548</v>
      </c>
      <c r="V831" s="22" t="n">
        <v>32.8</v>
      </c>
    </row>
    <row r="832" customFormat="false" ht="14.4" hidden="false" customHeight="false" outlineLevel="0" collapsed="false">
      <c r="A832" s="45" t="n">
        <v>75076</v>
      </c>
      <c r="B832" s="22" t="s">
        <v>911</v>
      </c>
      <c r="C832" s="23" t="n">
        <v>324</v>
      </c>
      <c r="D832" s="22" t="n">
        <v>60</v>
      </c>
      <c r="E832" s="47" t="s">
        <v>898</v>
      </c>
      <c r="F832" s="22" t="n">
        <v>56</v>
      </c>
      <c r="G832" s="22" t="s">
        <v>51</v>
      </c>
      <c r="H832" s="22" t="n">
        <v>8.98</v>
      </c>
      <c r="I832" s="22" t="n">
        <v>89.8</v>
      </c>
      <c r="J832" s="22" t="n">
        <v>0.848</v>
      </c>
      <c r="K832" s="22" t="n">
        <v>21.5</v>
      </c>
      <c r="L832" s="22" t="n">
        <v>1.445</v>
      </c>
      <c r="M832" s="22" t="n">
        <v>36.71</v>
      </c>
      <c r="N832" s="22" t="n">
        <v>0.447</v>
      </c>
      <c r="O832" s="22" t="n">
        <v>11.4</v>
      </c>
      <c r="P832" s="22" t="n">
        <v>0.678</v>
      </c>
      <c r="Q832" s="22" t="n">
        <v>67.8</v>
      </c>
      <c r="R832" s="42" t="n">
        <v>6.09</v>
      </c>
      <c r="S832" s="22" t="n">
        <v>6090</v>
      </c>
      <c r="T832" s="22" t="n">
        <v>3.64</v>
      </c>
      <c r="U832" s="22" t="n">
        <v>324</v>
      </c>
      <c r="V832" s="22" t="n">
        <v>35.8</v>
      </c>
    </row>
    <row r="833" customFormat="false" ht="14.4" hidden="false" customHeight="false" outlineLevel="0" collapsed="false">
      <c r="A833" s="45" t="n">
        <v>75083</v>
      </c>
      <c r="B833" s="22" t="s">
        <v>912</v>
      </c>
      <c r="C833" s="23" t="n">
        <v>254</v>
      </c>
      <c r="D833" s="22" t="n">
        <v>60</v>
      </c>
      <c r="E833" s="47" t="s">
        <v>898</v>
      </c>
      <c r="F833" s="22" t="n">
        <v>81</v>
      </c>
      <c r="G833" s="22" t="s">
        <v>51</v>
      </c>
      <c r="H833" s="22" t="n">
        <v>9.84</v>
      </c>
      <c r="I833" s="22" t="n">
        <v>98.4</v>
      </c>
      <c r="J833" s="22" t="n">
        <v>0.918</v>
      </c>
      <c r="K833" s="22" t="n">
        <v>23.3</v>
      </c>
      <c r="L833" s="22" t="n">
        <v>1.605</v>
      </c>
      <c r="M833" s="22" t="n">
        <v>40.77</v>
      </c>
      <c r="N833" s="22" t="n">
        <v>0.605</v>
      </c>
      <c r="O833" s="22" t="n">
        <v>15.4</v>
      </c>
      <c r="P833" s="22" t="n">
        <v>1.07</v>
      </c>
      <c r="Q833" s="22" t="n">
        <v>107</v>
      </c>
      <c r="R833" s="36" t="n">
        <v>10.6</v>
      </c>
      <c r="S833" s="22" t="n">
        <v>10600</v>
      </c>
      <c r="T833" s="22" t="n">
        <v>4.27</v>
      </c>
      <c r="U833" s="22" t="n">
        <v>254</v>
      </c>
      <c r="V833" s="22" t="n">
        <v>39.9</v>
      </c>
    </row>
    <row r="834" customFormat="false" ht="14.4" hidden="false" customHeight="false" outlineLevel="0" collapsed="false">
      <c r="A834" s="45" t="n">
        <v>75090</v>
      </c>
      <c r="B834" s="22" t="s">
        <v>913</v>
      </c>
      <c r="C834" s="23" t="s">
        <v>258</v>
      </c>
      <c r="D834" s="22" t="n">
        <v>60</v>
      </c>
      <c r="E834" s="47" t="s">
        <v>898</v>
      </c>
      <c r="F834" s="22" t="n">
        <v>86</v>
      </c>
      <c r="G834" s="22" t="s">
        <v>51</v>
      </c>
      <c r="H834" s="22" t="n">
        <v>11.6</v>
      </c>
      <c r="I834" s="22" t="n">
        <v>116</v>
      </c>
      <c r="J834" s="22" t="n">
        <v>1.098</v>
      </c>
      <c r="K834" s="22" t="n">
        <v>27.88</v>
      </c>
      <c r="L834" s="22" t="n">
        <v>1.875</v>
      </c>
      <c r="M834" s="22" t="n">
        <v>47.63</v>
      </c>
      <c r="N834" s="22" t="n">
        <v>0.635</v>
      </c>
      <c r="O834" s="22" t="n">
        <v>16.1</v>
      </c>
      <c r="P834" s="22" t="n">
        <v>1.34</v>
      </c>
      <c r="Q834" s="22" t="n">
        <v>134</v>
      </c>
      <c r="R834" s="22" t="n">
        <v>15.6</v>
      </c>
      <c r="S834" s="22" t="n">
        <v>15600</v>
      </c>
      <c r="T834" s="22" t="n">
        <v>6.1</v>
      </c>
      <c r="U834" s="22" t="n">
        <v>89</v>
      </c>
      <c r="V834" s="22" t="n">
        <v>46.7</v>
      </c>
    </row>
    <row r="835" customFormat="false" ht="14.4" hidden="false" customHeight="false" outlineLevel="0" collapsed="false">
      <c r="A835" s="45" t="n">
        <v>75091</v>
      </c>
      <c r="B835" s="22" t="s">
        <v>914</v>
      </c>
      <c r="C835" s="23" t="s">
        <v>258</v>
      </c>
      <c r="D835" s="22" t="n">
        <v>26</v>
      </c>
      <c r="E835" s="47" t="s">
        <v>898</v>
      </c>
      <c r="F835" s="22" t="n">
        <v>37</v>
      </c>
      <c r="G835" s="22" t="s">
        <v>51</v>
      </c>
      <c r="H835" s="22" t="n">
        <v>11.6</v>
      </c>
      <c r="I835" s="22" t="n">
        <v>116</v>
      </c>
      <c r="J835" s="22" t="n">
        <v>1.098</v>
      </c>
      <c r="K835" s="22" t="n">
        <v>27.88</v>
      </c>
      <c r="L835" s="22" t="n">
        <v>1.875</v>
      </c>
      <c r="M835" s="22" t="n">
        <v>47.63</v>
      </c>
      <c r="N835" s="22" t="n">
        <v>0.635</v>
      </c>
      <c r="O835" s="22" t="n">
        <v>16.1</v>
      </c>
      <c r="P835" s="22" t="n">
        <v>1.34</v>
      </c>
      <c r="Q835" s="22" t="n">
        <v>134</v>
      </c>
      <c r="R835" s="22" t="n">
        <v>15.6</v>
      </c>
      <c r="S835" s="22" t="n">
        <v>15600</v>
      </c>
      <c r="T835" s="22" t="n">
        <v>6.1</v>
      </c>
      <c r="U835" s="22" t="n">
        <v>89</v>
      </c>
      <c r="V835" s="22" t="n">
        <v>46.7</v>
      </c>
    </row>
    <row r="836" customFormat="false" ht="14.4" hidden="false" customHeight="false" outlineLevel="0" collapsed="false">
      <c r="A836" s="45" t="n">
        <v>75095</v>
      </c>
      <c r="B836" s="22" t="s">
        <v>915</v>
      </c>
      <c r="C836" s="23" t="s">
        <v>258</v>
      </c>
      <c r="D836" s="22" t="n">
        <v>40</v>
      </c>
      <c r="E836" s="47" t="s">
        <v>898</v>
      </c>
      <c r="F836" s="22" t="n">
        <v>57</v>
      </c>
      <c r="G836" s="22" t="s">
        <v>51</v>
      </c>
      <c r="H836" s="22" t="n">
        <v>11.6</v>
      </c>
      <c r="I836" s="22" t="n">
        <v>116</v>
      </c>
      <c r="J836" s="22" t="n">
        <v>1.098</v>
      </c>
      <c r="K836" s="22" t="n">
        <v>27.88</v>
      </c>
      <c r="L836" s="22" t="n">
        <v>1.875</v>
      </c>
      <c r="M836" s="22" t="n">
        <v>47.63</v>
      </c>
      <c r="N836" s="22" t="n">
        <v>0.635</v>
      </c>
      <c r="O836" s="22" t="n">
        <v>16.1</v>
      </c>
      <c r="P836" s="22" t="n">
        <v>1.34</v>
      </c>
      <c r="Q836" s="22" t="n">
        <v>134</v>
      </c>
      <c r="R836" s="22" t="n">
        <v>15.6</v>
      </c>
      <c r="S836" s="22" t="n">
        <v>15600</v>
      </c>
      <c r="T836" s="22" t="n">
        <v>6.1</v>
      </c>
      <c r="U836" s="22" t="n">
        <v>89</v>
      </c>
      <c r="V836" s="22" t="n">
        <v>46.7</v>
      </c>
    </row>
    <row r="837" customFormat="false" ht="14.4" hidden="false" customHeight="false" outlineLevel="0" collapsed="false">
      <c r="A837" s="45" t="n">
        <v>75110</v>
      </c>
      <c r="B837" s="22" t="s">
        <v>916</v>
      </c>
      <c r="C837" s="23" t="n">
        <v>109</v>
      </c>
      <c r="D837" s="22" t="n">
        <v>60</v>
      </c>
      <c r="E837" s="47" t="s">
        <v>898</v>
      </c>
      <c r="F837" s="22" t="n">
        <v>75</v>
      </c>
      <c r="G837" s="22" t="s">
        <v>51</v>
      </c>
      <c r="H837" s="22" t="n">
        <v>14.3</v>
      </c>
      <c r="I837" s="22" t="n">
        <v>143</v>
      </c>
      <c r="J837" s="22" t="n">
        <v>1.368</v>
      </c>
      <c r="K837" s="22" t="n">
        <v>34.74</v>
      </c>
      <c r="L837" s="22" t="n">
        <v>2.285</v>
      </c>
      <c r="M837" s="22" t="n">
        <v>58.04</v>
      </c>
      <c r="N837" s="22" t="n">
        <v>0.585</v>
      </c>
      <c r="O837" s="22" t="n">
        <v>14.9</v>
      </c>
      <c r="P837" s="22" t="n">
        <v>1.44</v>
      </c>
      <c r="Q837" s="22" t="n">
        <v>144</v>
      </c>
      <c r="R837" s="22" t="n">
        <v>20.7</v>
      </c>
      <c r="S837" s="22" t="n">
        <v>20700</v>
      </c>
      <c r="T837" s="22" t="n">
        <v>9.48</v>
      </c>
      <c r="U837" s="22" t="n">
        <v>109</v>
      </c>
      <c r="V837" s="22" t="n">
        <v>57.2</v>
      </c>
    </row>
    <row r="838" customFormat="false" ht="14.4" hidden="false" customHeight="false" outlineLevel="0" collapsed="false">
      <c r="A838" s="45" t="n">
        <v>75111</v>
      </c>
      <c r="B838" s="22" t="s">
        <v>917</v>
      </c>
      <c r="C838" s="23" t="n">
        <v>109</v>
      </c>
      <c r="D838" s="22" t="n">
        <v>26</v>
      </c>
      <c r="E838" s="47" t="s">
        <v>898</v>
      </c>
      <c r="F838" s="22" t="n">
        <v>33</v>
      </c>
      <c r="G838" s="22" t="s">
        <v>51</v>
      </c>
      <c r="H838" s="22" t="n">
        <v>14.3</v>
      </c>
      <c r="I838" s="22" t="n">
        <v>143</v>
      </c>
      <c r="J838" s="22" t="n">
        <v>1.368</v>
      </c>
      <c r="K838" s="22" t="n">
        <v>34.74</v>
      </c>
      <c r="L838" s="22" t="n">
        <v>2.285</v>
      </c>
      <c r="M838" s="22" t="n">
        <v>58.04</v>
      </c>
      <c r="N838" s="22" t="n">
        <v>0.585</v>
      </c>
      <c r="O838" s="22" t="n">
        <v>14.9</v>
      </c>
      <c r="P838" s="22" t="n">
        <v>1.44</v>
      </c>
      <c r="Q838" s="22" t="n">
        <v>144</v>
      </c>
      <c r="R838" s="22" t="n">
        <v>20.7</v>
      </c>
      <c r="S838" s="22" t="n">
        <v>20700</v>
      </c>
      <c r="T838" s="22" t="n">
        <v>9.48</v>
      </c>
      <c r="U838" s="22" t="n">
        <v>109</v>
      </c>
      <c r="V838" s="22" t="n">
        <v>57.2</v>
      </c>
    </row>
    <row r="839" customFormat="false" ht="14.4" hidden="false" customHeight="false" outlineLevel="0" collapsed="false">
      <c r="A839" s="45" t="n">
        <v>75189</v>
      </c>
      <c r="B839" s="22" t="s">
        <v>918</v>
      </c>
      <c r="C839" s="23" t="n">
        <v>195</v>
      </c>
      <c r="D839" s="22" t="n">
        <v>40</v>
      </c>
      <c r="E839" s="47" t="s">
        <v>898</v>
      </c>
      <c r="F839" s="22" t="n">
        <v>92</v>
      </c>
      <c r="G839" s="22" t="s">
        <v>51</v>
      </c>
      <c r="H839" s="22" t="n">
        <v>12.5</v>
      </c>
      <c r="I839" s="22" t="n">
        <v>125</v>
      </c>
      <c r="J839" s="22" t="n">
        <v>1.007</v>
      </c>
      <c r="K839" s="22" t="n">
        <v>25.57</v>
      </c>
      <c r="L839" s="22" t="n">
        <v>2.285</v>
      </c>
      <c r="M839" s="22" t="n">
        <v>58.04</v>
      </c>
      <c r="N839" s="22" t="n">
        <v>0.635</v>
      </c>
      <c r="O839" s="22" t="n">
        <v>16.2</v>
      </c>
      <c r="P839" s="22" t="n">
        <v>2.29</v>
      </c>
      <c r="Q839" s="22" t="n">
        <v>229</v>
      </c>
      <c r="R839" s="22" t="n">
        <v>28.6</v>
      </c>
      <c r="S839" s="22" t="n">
        <v>28600</v>
      </c>
      <c r="T839" s="22" t="n">
        <v>5.14</v>
      </c>
      <c r="U839" s="22" t="n">
        <v>195</v>
      </c>
      <c r="V839" s="22" t="n">
        <v>57.2</v>
      </c>
    </row>
    <row r="840" customFormat="false" ht="14.4" hidden="false" customHeight="false" outlineLevel="0" collapsed="false">
      <c r="A840" s="45" t="n">
        <v>75191</v>
      </c>
      <c r="B840" s="22" t="s">
        <v>919</v>
      </c>
      <c r="C840" s="23" t="n">
        <v>195</v>
      </c>
      <c r="D840" s="22" t="n">
        <v>26</v>
      </c>
      <c r="E840" s="47" t="s">
        <v>898</v>
      </c>
      <c r="F840" s="22" t="n">
        <v>60</v>
      </c>
      <c r="G840" s="22" t="s">
        <v>51</v>
      </c>
      <c r="H840" s="22" t="n">
        <v>12.5</v>
      </c>
      <c r="I840" s="22" t="n">
        <v>125</v>
      </c>
      <c r="J840" s="22" t="n">
        <v>1.007</v>
      </c>
      <c r="K840" s="22" t="n">
        <v>25.57</v>
      </c>
      <c r="L840" s="22" t="n">
        <v>2.285</v>
      </c>
      <c r="M840" s="22" t="n">
        <v>58.04</v>
      </c>
      <c r="N840" s="22" t="n">
        <v>0.635</v>
      </c>
      <c r="O840" s="22" t="n">
        <v>16.2</v>
      </c>
      <c r="P840" s="22" t="n">
        <v>2.29</v>
      </c>
      <c r="Q840" s="22" t="n">
        <v>229</v>
      </c>
      <c r="R840" s="22" t="n">
        <v>28.6</v>
      </c>
      <c r="S840" s="22" t="n">
        <v>28600</v>
      </c>
      <c r="T840" s="22" t="n">
        <v>5.14</v>
      </c>
      <c r="U840" s="22" t="n">
        <v>195</v>
      </c>
      <c r="V840" s="22" t="n">
        <v>57.2</v>
      </c>
    </row>
    <row r="841" customFormat="false" ht="14.4" hidden="false" customHeight="false" outlineLevel="0" collapsed="false">
      <c r="A841" s="45" t="n">
        <v>75192</v>
      </c>
      <c r="B841" s="22" t="s">
        <v>920</v>
      </c>
      <c r="C841" s="23" t="n">
        <v>195</v>
      </c>
      <c r="D841" s="22" t="n">
        <v>60</v>
      </c>
      <c r="E841" s="47" t="s">
        <v>898</v>
      </c>
      <c r="F841" s="22" t="n">
        <v>138</v>
      </c>
      <c r="G841" s="22" t="s">
        <v>51</v>
      </c>
      <c r="H841" s="22" t="n">
        <v>12.5</v>
      </c>
      <c r="I841" s="22" t="n">
        <v>125</v>
      </c>
      <c r="J841" s="22" t="n">
        <v>1.007</v>
      </c>
      <c r="K841" s="22" t="n">
        <v>25.57</v>
      </c>
      <c r="L841" s="22" t="n">
        <v>2.285</v>
      </c>
      <c r="M841" s="22" t="n">
        <v>58.04</v>
      </c>
      <c r="N841" s="22" t="n">
        <v>0.635</v>
      </c>
      <c r="O841" s="22" t="n">
        <v>16.2</v>
      </c>
      <c r="P841" s="22" t="n">
        <v>2.29</v>
      </c>
      <c r="Q841" s="22" t="n">
        <v>229</v>
      </c>
      <c r="R841" s="22" t="n">
        <v>28.6</v>
      </c>
      <c r="S841" s="22" t="n">
        <v>28600</v>
      </c>
      <c r="T841" s="22" t="n">
        <v>5.14</v>
      </c>
      <c r="U841" s="22" t="n">
        <v>195</v>
      </c>
      <c r="V841" s="22" t="n">
        <v>57.2</v>
      </c>
    </row>
    <row r="842" customFormat="false" ht="14.4" hidden="false" customHeight="false" outlineLevel="0" collapsed="false">
      <c r="A842" s="45" t="n">
        <v>75212</v>
      </c>
      <c r="B842" s="22" t="s">
        <v>921</v>
      </c>
      <c r="C842" s="23" t="n">
        <v>109</v>
      </c>
      <c r="D842" s="22" t="n">
        <v>40</v>
      </c>
      <c r="E842" s="47" t="s">
        <v>898</v>
      </c>
      <c r="F842" s="22" t="n">
        <v>50</v>
      </c>
      <c r="G842" s="22" t="s">
        <v>51</v>
      </c>
      <c r="H842" s="22" t="n">
        <v>14.3</v>
      </c>
      <c r="I842" s="22" t="n">
        <v>143</v>
      </c>
      <c r="J842" s="22" t="n">
        <v>1.368</v>
      </c>
      <c r="K842" s="22" t="n">
        <v>34.74</v>
      </c>
      <c r="L842" s="22" t="n">
        <v>2.285</v>
      </c>
      <c r="M842" s="22" t="n">
        <v>58.04</v>
      </c>
      <c r="N842" s="22" t="n">
        <v>0.585</v>
      </c>
      <c r="O842" s="22" t="n">
        <v>14.9</v>
      </c>
      <c r="P842" s="22" t="n">
        <v>1.44</v>
      </c>
      <c r="Q842" s="22" t="n">
        <v>144</v>
      </c>
      <c r="R842" s="22" t="n">
        <v>20.7</v>
      </c>
      <c r="S842" s="22" t="n">
        <v>20700</v>
      </c>
      <c r="T842" s="22" t="n">
        <v>9.48</v>
      </c>
      <c r="U842" s="22" t="n">
        <v>109</v>
      </c>
      <c r="V842" s="22" t="n">
        <v>57.2</v>
      </c>
    </row>
    <row r="843" customFormat="false" ht="14.4" hidden="false" customHeight="false" outlineLevel="0" collapsed="false">
      <c r="A843" s="45" t="n">
        <v>75256</v>
      </c>
      <c r="B843" s="22" t="s">
        <v>922</v>
      </c>
      <c r="C843" s="23" t="n">
        <v>254</v>
      </c>
      <c r="D843" s="22" t="n">
        <v>26</v>
      </c>
      <c r="E843" s="47" t="s">
        <v>898</v>
      </c>
      <c r="F843" s="22" t="n">
        <v>35</v>
      </c>
      <c r="G843" s="22" t="s">
        <v>51</v>
      </c>
      <c r="H843" s="22" t="n">
        <v>9.84</v>
      </c>
      <c r="I843" s="22" t="n">
        <v>98.4</v>
      </c>
      <c r="J843" s="22" t="n">
        <v>0.918</v>
      </c>
      <c r="K843" s="22" t="n">
        <v>23.3</v>
      </c>
      <c r="L843" s="22" t="n">
        <v>1.605</v>
      </c>
      <c r="M843" s="22" t="n">
        <v>40.77</v>
      </c>
      <c r="N843" s="22" t="n">
        <v>0.605</v>
      </c>
      <c r="O843" s="22" t="n">
        <v>15.4</v>
      </c>
      <c r="P843" s="22" t="n">
        <v>1.07</v>
      </c>
      <c r="Q843" s="22" t="n">
        <v>107</v>
      </c>
      <c r="R843" s="36" t="n">
        <v>10.6</v>
      </c>
      <c r="S843" s="22" t="n">
        <v>10600</v>
      </c>
      <c r="T843" s="22" t="n">
        <v>4.27</v>
      </c>
      <c r="U843" s="22" t="n">
        <v>254</v>
      </c>
      <c r="V843" s="22" t="n">
        <v>39.9</v>
      </c>
    </row>
    <row r="844" customFormat="false" ht="14.4" hidden="false" customHeight="false" outlineLevel="0" collapsed="false">
      <c r="A844" s="45" t="n">
        <v>75260</v>
      </c>
      <c r="B844" s="22" t="s">
        <v>923</v>
      </c>
      <c r="C844" s="23" t="n">
        <v>254</v>
      </c>
      <c r="D844" s="22" t="n">
        <v>40</v>
      </c>
      <c r="E844" s="47" t="s">
        <v>898</v>
      </c>
      <c r="F844" s="22" t="n">
        <v>54</v>
      </c>
      <c r="G844" s="22" t="s">
        <v>51</v>
      </c>
      <c r="H844" s="22" t="n">
        <v>9.84</v>
      </c>
      <c r="I844" s="22" t="n">
        <v>98.4</v>
      </c>
      <c r="J844" s="22" t="n">
        <v>0.918</v>
      </c>
      <c r="K844" s="22" t="n">
        <v>23.3</v>
      </c>
      <c r="L844" s="22" t="n">
        <v>1.605</v>
      </c>
      <c r="M844" s="22" t="n">
        <v>40.77</v>
      </c>
      <c r="N844" s="22" t="n">
        <v>0.605</v>
      </c>
      <c r="O844" s="22" t="n">
        <v>15.4</v>
      </c>
      <c r="P844" s="22" t="n">
        <v>1.07</v>
      </c>
      <c r="Q844" s="22" t="n">
        <v>107</v>
      </c>
      <c r="R844" s="36" t="n">
        <v>10.6</v>
      </c>
      <c r="S844" s="22" t="n">
        <v>10600</v>
      </c>
      <c r="T844" s="22" t="n">
        <v>4.27</v>
      </c>
      <c r="U844" s="22" t="n">
        <v>254</v>
      </c>
      <c r="V844" s="22" t="n">
        <v>39.9</v>
      </c>
    </row>
    <row r="845" customFormat="false" ht="14.4" hidden="false" customHeight="false" outlineLevel="0" collapsed="false">
      <c r="A845" s="45" t="n">
        <v>75312</v>
      </c>
      <c r="B845" s="22" t="s">
        <v>924</v>
      </c>
      <c r="C845" s="23" t="n">
        <v>310</v>
      </c>
      <c r="D845" s="22" t="n">
        <v>26</v>
      </c>
      <c r="E845" s="47" t="s">
        <v>898</v>
      </c>
      <c r="F845" s="22" t="n">
        <v>19</v>
      </c>
      <c r="G845" s="22" t="s">
        <v>51</v>
      </c>
      <c r="H845" s="22" t="n">
        <v>5.67</v>
      </c>
      <c r="I845" s="22" t="n">
        <v>56.7</v>
      </c>
      <c r="J845" s="22" t="n">
        <v>0.525</v>
      </c>
      <c r="K845" s="22" t="n">
        <v>13.3</v>
      </c>
      <c r="L845" s="43" t="n">
        <v>0.93</v>
      </c>
      <c r="M845" s="22" t="n">
        <v>23.7</v>
      </c>
      <c r="N845" s="43" t="n">
        <v>0.33</v>
      </c>
      <c r="O845" s="22" t="n">
        <v>8.39</v>
      </c>
      <c r="P845" s="22" t="n">
        <v>0.317</v>
      </c>
      <c r="Q845" s="22" t="n">
        <v>31.7</v>
      </c>
      <c r="R845" s="42" t="n">
        <v>1.8</v>
      </c>
      <c r="S845" s="22" t="n">
        <v>1800</v>
      </c>
      <c r="T845" s="22" t="n">
        <v>1.39</v>
      </c>
      <c r="U845" s="22" t="n">
        <v>310</v>
      </c>
      <c r="V845" s="22" t="n">
        <v>22.9</v>
      </c>
    </row>
    <row r="846" customFormat="false" ht="14.4" hidden="false" customHeight="false" outlineLevel="0" collapsed="false">
      <c r="A846" s="45" t="n">
        <v>75316</v>
      </c>
      <c r="B846" s="22" t="s">
        <v>925</v>
      </c>
      <c r="C846" s="23" t="n">
        <v>310</v>
      </c>
      <c r="D846" s="22" t="n">
        <v>40</v>
      </c>
      <c r="E846" s="47" t="s">
        <v>898</v>
      </c>
      <c r="F846" s="22" t="n">
        <v>29</v>
      </c>
      <c r="G846" s="22" t="s">
        <v>51</v>
      </c>
      <c r="H846" s="22" t="n">
        <v>5.67</v>
      </c>
      <c r="I846" s="22" t="n">
        <v>56.7</v>
      </c>
      <c r="J846" s="22" t="n">
        <v>0.525</v>
      </c>
      <c r="K846" s="22" t="n">
        <v>13.3</v>
      </c>
      <c r="L846" s="43" t="n">
        <v>0.93</v>
      </c>
      <c r="M846" s="22" t="n">
        <v>23.7</v>
      </c>
      <c r="N846" s="43" t="n">
        <v>0.33</v>
      </c>
      <c r="O846" s="22" t="n">
        <v>8.39</v>
      </c>
      <c r="P846" s="22" t="n">
        <v>0.317</v>
      </c>
      <c r="Q846" s="22" t="n">
        <v>31.7</v>
      </c>
      <c r="R846" s="42" t="n">
        <v>1.8</v>
      </c>
      <c r="S846" s="22" t="n">
        <v>1800</v>
      </c>
      <c r="T846" s="22" t="n">
        <v>1.39</v>
      </c>
      <c r="U846" s="22" t="n">
        <v>310</v>
      </c>
      <c r="V846" s="22" t="n">
        <v>22.9</v>
      </c>
    </row>
    <row r="847" customFormat="false" ht="14.4" hidden="false" customHeight="false" outlineLevel="0" collapsed="false">
      <c r="A847" s="45" t="n">
        <v>75326</v>
      </c>
      <c r="B847" s="22" t="s">
        <v>926</v>
      </c>
      <c r="C847" s="23" t="n">
        <v>324</v>
      </c>
      <c r="D847" s="22" t="n">
        <v>26</v>
      </c>
      <c r="E847" s="47" t="s">
        <v>898</v>
      </c>
      <c r="F847" s="22" t="n">
        <v>24</v>
      </c>
      <c r="G847" s="22" t="s">
        <v>51</v>
      </c>
      <c r="H847" s="22" t="n">
        <v>8.98</v>
      </c>
      <c r="I847" s="22" t="n">
        <v>89.8</v>
      </c>
      <c r="J847" s="22" t="n">
        <v>0.848</v>
      </c>
      <c r="K847" s="22" t="n">
        <v>21.5</v>
      </c>
      <c r="L847" s="22" t="n">
        <v>1.445</v>
      </c>
      <c r="M847" s="22" t="n">
        <v>36.71</v>
      </c>
      <c r="N847" s="22" t="n">
        <v>0.447</v>
      </c>
      <c r="O847" s="22" t="n">
        <v>11.4</v>
      </c>
      <c r="P847" s="22" t="n">
        <v>0.678</v>
      </c>
      <c r="Q847" s="22" t="n">
        <v>67.8</v>
      </c>
      <c r="R847" s="42" t="n">
        <v>6.09</v>
      </c>
      <c r="S847" s="22" t="n">
        <v>6090</v>
      </c>
      <c r="T847" s="22" t="n">
        <v>3.64</v>
      </c>
      <c r="U847" s="22" t="n">
        <v>324</v>
      </c>
      <c r="V847" s="22" t="n">
        <v>35.8</v>
      </c>
    </row>
    <row r="848" customFormat="false" ht="14.4" hidden="false" customHeight="false" outlineLevel="0" collapsed="false">
      <c r="A848" s="45" t="n">
        <v>75330</v>
      </c>
      <c r="B848" s="22" t="s">
        <v>927</v>
      </c>
      <c r="C848" s="23" t="n">
        <v>324</v>
      </c>
      <c r="D848" s="22" t="n">
        <v>40</v>
      </c>
      <c r="E848" s="47" t="s">
        <v>898</v>
      </c>
      <c r="F848" s="22" t="n">
        <v>37</v>
      </c>
      <c r="G848" s="22" t="s">
        <v>51</v>
      </c>
      <c r="H848" s="22" t="n">
        <v>8.98</v>
      </c>
      <c r="I848" s="22" t="n">
        <v>89.8</v>
      </c>
      <c r="J848" s="22" t="n">
        <v>0.848</v>
      </c>
      <c r="K848" s="22" t="n">
        <v>21.5</v>
      </c>
      <c r="L848" s="22" t="n">
        <v>1.445</v>
      </c>
      <c r="M848" s="22" t="n">
        <v>36.71</v>
      </c>
      <c r="N848" s="22" t="n">
        <v>0.447</v>
      </c>
      <c r="O848" s="22" t="n">
        <v>11.4</v>
      </c>
      <c r="P848" s="22" t="n">
        <v>0.678</v>
      </c>
      <c r="Q848" s="22" t="n">
        <v>67.8</v>
      </c>
      <c r="R848" s="42" t="n">
        <v>6.09</v>
      </c>
      <c r="S848" s="22" t="n">
        <v>6090</v>
      </c>
      <c r="T848" s="22" t="n">
        <v>3.64</v>
      </c>
      <c r="U848" s="22" t="n">
        <v>324</v>
      </c>
      <c r="V848" s="22" t="n">
        <v>35.8</v>
      </c>
    </row>
    <row r="849" customFormat="false" ht="14.4" hidden="false" customHeight="false" outlineLevel="0" collapsed="false">
      <c r="A849" s="45" t="n">
        <v>75351</v>
      </c>
      <c r="B849" s="22" t="s">
        <v>928</v>
      </c>
      <c r="C849" s="23" t="n">
        <v>350</v>
      </c>
      <c r="D849" s="22" t="n">
        <v>60</v>
      </c>
      <c r="E849" s="47" t="s">
        <v>898</v>
      </c>
      <c r="F849" s="22" t="n">
        <v>51</v>
      </c>
      <c r="G849" s="22" t="s">
        <v>51</v>
      </c>
      <c r="H849" s="22" t="n">
        <v>5.88</v>
      </c>
      <c r="I849" s="22" t="n">
        <v>58.8</v>
      </c>
      <c r="J849" s="22" t="n">
        <v>0.542</v>
      </c>
      <c r="K849" s="22" t="n">
        <v>13.7</v>
      </c>
      <c r="L849" s="22" t="n">
        <v>0.958</v>
      </c>
      <c r="M849" s="22" t="n">
        <v>24.4</v>
      </c>
      <c r="N849" s="43" t="n">
        <v>0.38</v>
      </c>
      <c r="O849" s="22" t="n">
        <v>9.66</v>
      </c>
      <c r="P849" s="22" t="n">
        <v>0.388</v>
      </c>
      <c r="Q849" s="22" t="n">
        <v>38.8</v>
      </c>
      <c r="R849" s="42" t="n">
        <v>2.28144</v>
      </c>
      <c r="S849" s="22" t="n">
        <v>2280</v>
      </c>
      <c r="T849" s="22" t="n">
        <v>1.49</v>
      </c>
      <c r="U849" s="22" t="n">
        <v>350</v>
      </c>
      <c r="V849" s="22" t="n">
        <v>23.6</v>
      </c>
    </row>
    <row r="850" customFormat="false" ht="14.4" hidden="false" customHeight="false" outlineLevel="0" collapsed="false">
      <c r="A850" s="45" t="n">
        <v>75352</v>
      </c>
      <c r="B850" s="22" t="s">
        <v>929</v>
      </c>
      <c r="C850" s="23" t="n">
        <v>350</v>
      </c>
      <c r="D850" s="22" t="n">
        <v>26</v>
      </c>
      <c r="E850" s="47" t="s">
        <v>898</v>
      </c>
      <c r="F850" s="22" t="n">
        <v>22</v>
      </c>
      <c r="G850" s="22" t="s">
        <v>51</v>
      </c>
      <c r="H850" s="22" t="n">
        <v>5.88</v>
      </c>
      <c r="I850" s="22" t="n">
        <v>58.8</v>
      </c>
      <c r="J850" s="22" t="n">
        <v>0.542</v>
      </c>
      <c r="K850" s="22" t="n">
        <v>13.7</v>
      </c>
      <c r="L850" s="22" t="n">
        <v>0.958</v>
      </c>
      <c r="M850" s="22" t="n">
        <v>24.4</v>
      </c>
      <c r="N850" s="43" t="n">
        <v>0.38</v>
      </c>
      <c r="O850" s="22" t="n">
        <v>9.66</v>
      </c>
      <c r="P850" s="22" t="n">
        <v>0.388</v>
      </c>
      <c r="Q850" s="22" t="n">
        <v>38.8</v>
      </c>
      <c r="R850" s="42" t="n">
        <v>2.28144</v>
      </c>
      <c r="S850" s="22" t="n">
        <v>2280</v>
      </c>
      <c r="T850" s="22" t="n">
        <v>1.49</v>
      </c>
      <c r="U850" s="22" t="n">
        <v>350</v>
      </c>
      <c r="V850" s="22" t="n">
        <v>23.6</v>
      </c>
    </row>
    <row r="851" customFormat="false" ht="14.4" hidden="false" customHeight="false" outlineLevel="0" collapsed="false">
      <c r="A851" s="45" t="n">
        <v>75356</v>
      </c>
      <c r="B851" s="22" t="s">
        <v>930</v>
      </c>
      <c r="C851" s="23" t="n">
        <v>350</v>
      </c>
      <c r="D851" s="22" t="n">
        <v>40</v>
      </c>
      <c r="E851" s="47" t="s">
        <v>898</v>
      </c>
      <c r="F851" s="22" t="n">
        <v>34</v>
      </c>
      <c r="G851" s="22" t="s">
        <v>51</v>
      </c>
      <c r="H851" s="22" t="n">
        <v>5.88</v>
      </c>
      <c r="I851" s="22" t="n">
        <v>58.8</v>
      </c>
      <c r="J851" s="22" t="n">
        <v>0.542</v>
      </c>
      <c r="K851" s="22" t="n">
        <v>13.7</v>
      </c>
      <c r="L851" s="22" t="n">
        <v>0.958</v>
      </c>
      <c r="M851" s="22" t="n">
        <v>24.4</v>
      </c>
      <c r="N851" s="43" t="n">
        <v>0.38</v>
      </c>
      <c r="O851" s="22" t="n">
        <v>9.66</v>
      </c>
      <c r="P851" s="22" t="n">
        <v>0.388</v>
      </c>
      <c r="Q851" s="22" t="n">
        <v>38.8</v>
      </c>
      <c r="R851" s="42" t="n">
        <v>2.28144</v>
      </c>
      <c r="S851" s="22" t="n">
        <v>2280</v>
      </c>
      <c r="T851" s="22" t="n">
        <v>1.49</v>
      </c>
      <c r="U851" s="22" t="n">
        <v>350</v>
      </c>
      <c r="V851" s="22" t="n">
        <v>23.6</v>
      </c>
    </row>
    <row r="852" customFormat="false" ht="14.4" hidden="false" customHeight="false" outlineLevel="0" collapsed="false">
      <c r="A852" s="45" t="n">
        <v>75431</v>
      </c>
      <c r="B852" s="22" t="s">
        <v>931</v>
      </c>
      <c r="C852" s="23" t="n">
        <v>438</v>
      </c>
      <c r="D852" s="22" t="n">
        <v>40</v>
      </c>
      <c r="E852" s="47" t="s">
        <v>898</v>
      </c>
      <c r="F852" s="22" t="n">
        <v>90</v>
      </c>
      <c r="G852" s="22" t="s">
        <v>51</v>
      </c>
      <c r="H852" s="22" t="n">
        <v>10.7</v>
      </c>
      <c r="I852" s="22" t="n">
        <v>107</v>
      </c>
      <c r="J852" s="22" t="n">
        <v>0.918</v>
      </c>
      <c r="K852" s="22" t="n">
        <v>23.3</v>
      </c>
      <c r="L852" s="22" t="n">
        <v>1.875</v>
      </c>
      <c r="M852" s="22" t="n">
        <v>47.63</v>
      </c>
      <c r="N852" s="22" t="n">
        <v>0.745</v>
      </c>
      <c r="O852" s="36" t="n">
        <v>19</v>
      </c>
      <c r="P852" s="22" t="n">
        <v>1.99</v>
      </c>
      <c r="Q852" s="22" t="n">
        <v>199</v>
      </c>
      <c r="R852" s="22" t="n">
        <v>21.3</v>
      </c>
      <c r="S852" s="22" t="n">
        <v>21300</v>
      </c>
      <c r="T852" s="22" t="n">
        <v>4.27</v>
      </c>
      <c r="U852" s="22" t="n">
        <v>438</v>
      </c>
      <c r="V852" s="22" t="n">
        <v>46.7</v>
      </c>
    </row>
    <row r="853" customFormat="false" ht="14.4" hidden="false" customHeight="false" outlineLevel="0" collapsed="false">
      <c r="A853" s="45" t="n">
        <v>75439</v>
      </c>
      <c r="B853" s="22" t="s">
        <v>932</v>
      </c>
      <c r="C853" s="23" t="n">
        <v>438</v>
      </c>
      <c r="D853" s="22" t="n">
        <v>60</v>
      </c>
      <c r="E853" s="47" t="s">
        <v>898</v>
      </c>
      <c r="F853" s="22" t="n">
        <v>135</v>
      </c>
      <c r="G853" s="22" t="s">
        <v>51</v>
      </c>
      <c r="H853" s="22" t="n">
        <v>10.7</v>
      </c>
      <c r="I853" s="22" t="n">
        <v>107</v>
      </c>
      <c r="J853" s="22" t="n">
        <v>0.918</v>
      </c>
      <c r="K853" s="22" t="n">
        <v>23.3</v>
      </c>
      <c r="L853" s="22" t="n">
        <v>1.875</v>
      </c>
      <c r="M853" s="22" t="n">
        <v>47.63</v>
      </c>
      <c r="N853" s="22" t="n">
        <v>0.745</v>
      </c>
      <c r="O853" s="36" t="n">
        <v>19</v>
      </c>
      <c r="P853" s="22" t="n">
        <v>1.99</v>
      </c>
      <c r="Q853" s="22" t="n">
        <v>199</v>
      </c>
      <c r="R853" s="22" t="n">
        <v>21.3</v>
      </c>
      <c r="S853" s="22" t="n">
        <v>21300</v>
      </c>
      <c r="T853" s="22" t="n">
        <v>4.27</v>
      </c>
      <c r="U853" s="22" t="n">
        <v>438</v>
      </c>
      <c r="V853" s="22" t="n">
        <v>46.7</v>
      </c>
    </row>
    <row r="854" customFormat="false" ht="14.4" hidden="false" customHeight="false" outlineLevel="0" collapsed="false">
      <c r="A854" s="45" t="n">
        <v>75440</v>
      </c>
      <c r="B854" s="22" t="s">
        <v>933</v>
      </c>
      <c r="C854" s="23" t="n">
        <v>438</v>
      </c>
      <c r="D854" s="22" t="n">
        <v>26</v>
      </c>
      <c r="E854" s="47" t="s">
        <v>898</v>
      </c>
      <c r="F854" s="22" t="n">
        <v>59</v>
      </c>
      <c r="G854" s="22" t="s">
        <v>51</v>
      </c>
      <c r="H854" s="22" t="n">
        <v>10.7</v>
      </c>
      <c r="I854" s="22" t="n">
        <v>107</v>
      </c>
      <c r="J854" s="22" t="n">
        <v>0.918</v>
      </c>
      <c r="K854" s="22" t="n">
        <v>23.3</v>
      </c>
      <c r="L854" s="22" t="n">
        <v>1.875</v>
      </c>
      <c r="M854" s="22" t="n">
        <v>47.63</v>
      </c>
      <c r="N854" s="22" t="n">
        <v>0.745</v>
      </c>
      <c r="O854" s="36" t="n">
        <v>19</v>
      </c>
      <c r="P854" s="22" t="n">
        <v>1.99</v>
      </c>
      <c r="Q854" s="22" t="n">
        <v>199</v>
      </c>
      <c r="R854" s="22" t="n">
        <v>21.3</v>
      </c>
      <c r="S854" s="22" t="n">
        <v>21300</v>
      </c>
      <c r="T854" s="22" t="n">
        <v>4.27</v>
      </c>
      <c r="U854" s="22" t="n">
        <v>438</v>
      </c>
      <c r="V854" s="22" t="n">
        <v>46.7</v>
      </c>
    </row>
    <row r="855" customFormat="false" ht="14.4" hidden="false" customHeight="false" outlineLevel="0" collapsed="false">
      <c r="A855" s="45" t="n">
        <v>75550</v>
      </c>
      <c r="B855" s="22" t="s">
        <v>934</v>
      </c>
      <c r="C855" s="23" t="n">
        <v>548</v>
      </c>
      <c r="D855" s="22" t="n">
        <v>26</v>
      </c>
      <c r="E855" s="47" t="s">
        <v>898</v>
      </c>
      <c r="F855" s="22" t="n">
        <v>28</v>
      </c>
      <c r="G855" s="22" t="s">
        <v>51</v>
      </c>
      <c r="H855" s="22" t="n">
        <v>8.14</v>
      </c>
      <c r="I855" s="22" t="n">
        <v>81.4</v>
      </c>
      <c r="J855" s="22" t="n">
        <v>0.766</v>
      </c>
      <c r="K855" s="22" t="n">
        <v>19.4</v>
      </c>
      <c r="L855" s="22" t="n">
        <v>1.325</v>
      </c>
      <c r="M855" s="22" t="n">
        <v>33.66</v>
      </c>
      <c r="N855" s="43" t="n">
        <v>0.45</v>
      </c>
      <c r="O855" s="22" t="n">
        <v>11.5</v>
      </c>
      <c r="P855" s="22" t="n">
        <v>0.656</v>
      </c>
      <c r="Q855" s="22" t="n">
        <v>65.6</v>
      </c>
      <c r="R855" s="42" t="n">
        <v>5.34</v>
      </c>
      <c r="S855" s="22" t="n">
        <v>5340</v>
      </c>
      <c r="T855" s="22" t="n">
        <v>2.97</v>
      </c>
      <c r="U855" s="22" t="n">
        <v>548</v>
      </c>
      <c r="V855" s="22" t="n">
        <v>32.8</v>
      </c>
    </row>
    <row r="856" customFormat="false" ht="14.4" hidden="false" customHeight="false" outlineLevel="0" collapsed="false">
      <c r="A856" s="45" t="n">
        <v>75555</v>
      </c>
      <c r="B856" s="22" t="s">
        <v>935</v>
      </c>
      <c r="C856" s="23" t="n">
        <v>548</v>
      </c>
      <c r="D856" s="22" t="n">
        <v>40</v>
      </c>
      <c r="E856" s="47" t="s">
        <v>898</v>
      </c>
      <c r="F856" s="22" t="n">
        <v>41</v>
      </c>
      <c r="G856" s="22" t="s">
        <v>51</v>
      </c>
      <c r="H856" s="22" t="n">
        <v>8.14</v>
      </c>
      <c r="I856" s="22" t="n">
        <v>81.4</v>
      </c>
      <c r="J856" s="22" t="n">
        <v>0.766</v>
      </c>
      <c r="K856" s="22" t="n">
        <v>19.4</v>
      </c>
      <c r="L856" s="22" t="n">
        <v>1.325</v>
      </c>
      <c r="M856" s="22" t="n">
        <v>33.66</v>
      </c>
      <c r="N856" s="43" t="n">
        <v>0.45</v>
      </c>
      <c r="O856" s="22" t="n">
        <v>11.5</v>
      </c>
      <c r="P856" s="22" t="n">
        <v>0.656</v>
      </c>
      <c r="Q856" s="22" t="n">
        <v>65.6</v>
      </c>
      <c r="R856" s="42" t="n">
        <v>5.34</v>
      </c>
      <c r="S856" s="22" t="n">
        <v>5340</v>
      </c>
      <c r="T856" s="22" t="n">
        <v>2.97</v>
      </c>
      <c r="U856" s="22" t="n">
        <v>548</v>
      </c>
      <c r="V856" s="22" t="n">
        <v>32.8</v>
      </c>
    </row>
    <row r="857" customFormat="false" ht="14.4" hidden="false" customHeight="false" outlineLevel="0" collapsed="false">
      <c r="A857" s="45" t="n">
        <v>75586</v>
      </c>
      <c r="B857" s="22" t="s">
        <v>936</v>
      </c>
      <c r="C857" s="23" t="n">
        <v>585</v>
      </c>
      <c r="D857" s="22" t="n">
        <v>60</v>
      </c>
      <c r="E857" s="47" t="s">
        <v>898</v>
      </c>
      <c r="F857" s="22" t="n">
        <v>38</v>
      </c>
      <c r="G857" s="22" t="s">
        <v>51</v>
      </c>
      <c r="H857" s="22" t="n">
        <v>8.95</v>
      </c>
      <c r="I857" s="22" t="n">
        <v>89.5</v>
      </c>
      <c r="J857" s="22" t="n">
        <v>0.888</v>
      </c>
      <c r="K857" s="22" t="n">
        <v>22.5</v>
      </c>
      <c r="L857" s="22" t="n">
        <v>1.385</v>
      </c>
      <c r="M857" s="22" t="n">
        <v>35.18</v>
      </c>
      <c r="N857" s="22" t="n">
        <v>0.385</v>
      </c>
      <c r="O857" s="22" t="n">
        <v>9.78</v>
      </c>
      <c r="P857" s="22" t="n">
        <v>0.464</v>
      </c>
      <c r="Q857" s="22" t="n">
        <v>46.4</v>
      </c>
      <c r="R857" s="42" t="n">
        <v>4.15</v>
      </c>
      <c r="S857" s="22" t="n">
        <v>4150</v>
      </c>
      <c r="T857" s="22" t="n">
        <v>3.99</v>
      </c>
      <c r="U857" s="22" t="n">
        <v>585</v>
      </c>
      <c r="V857" s="22" t="n">
        <v>34.3</v>
      </c>
    </row>
    <row r="858" customFormat="false" ht="14.4" hidden="false" customHeight="false" outlineLevel="0" collapsed="false">
      <c r="A858" s="45" t="n">
        <v>75587</v>
      </c>
      <c r="B858" s="22" t="s">
        <v>937</v>
      </c>
      <c r="C858" s="23" t="n">
        <v>585</v>
      </c>
      <c r="D858" s="22" t="n">
        <v>26</v>
      </c>
      <c r="E858" s="47" t="s">
        <v>898</v>
      </c>
      <c r="F858" s="22" t="n">
        <v>16</v>
      </c>
      <c r="G858" s="22" t="s">
        <v>51</v>
      </c>
      <c r="H858" s="22" t="n">
        <v>8.95</v>
      </c>
      <c r="I858" s="22" t="n">
        <v>89.5</v>
      </c>
      <c r="J858" s="22" t="n">
        <v>0.888</v>
      </c>
      <c r="K858" s="22" t="n">
        <v>22.5</v>
      </c>
      <c r="L858" s="22" t="n">
        <v>1.385</v>
      </c>
      <c r="M858" s="22" t="n">
        <v>35.18</v>
      </c>
      <c r="N858" s="22" t="n">
        <v>0.385</v>
      </c>
      <c r="O858" s="22" t="n">
        <v>9.78</v>
      </c>
      <c r="P858" s="22" t="n">
        <v>0.464</v>
      </c>
      <c r="Q858" s="22" t="n">
        <v>46.4</v>
      </c>
      <c r="R858" s="42" t="n">
        <v>4.15</v>
      </c>
      <c r="S858" s="22" t="n">
        <v>4150</v>
      </c>
      <c r="T858" s="22" t="n">
        <v>3.99</v>
      </c>
      <c r="U858" s="22" t="n">
        <v>585</v>
      </c>
      <c r="V858" s="22" t="n">
        <v>34.3</v>
      </c>
    </row>
    <row r="859" customFormat="false" ht="14.4" hidden="false" customHeight="false" outlineLevel="0" collapsed="false">
      <c r="A859" s="45" t="n">
        <v>75591</v>
      </c>
      <c r="B859" s="22" t="s">
        <v>938</v>
      </c>
      <c r="C859" s="23" t="n">
        <v>585</v>
      </c>
      <c r="D859" s="22" t="n">
        <v>40</v>
      </c>
      <c r="E859" s="47" t="s">
        <v>898</v>
      </c>
      <c r="F859" s="22" t="n">
        <v>25</v>
      </c>
      <c r="G859" s="22" t="s">
        <v>51</v>
      </c>
      <c r="H859" s="22" t="n">
        <v>8.95</v>
      </c>
      <c r="I859" s="22" t="n">
        <v>89.5</v>
      </c>
      <c r="J859" s="22" t="n">
        <v>0.888</v>
      </c>
      <c r="K859" s="22" t="n">
        <v>22.5</v>
      </c>
      <c r="L859" s="22" t="n">
        <v>1.385</v>
      </c>
      <c r="M859" s="22" t="n">
        <v>35.18</v>
      </c>
      <c r="N859" s="22" t="n">
        <v>0.385</v>
      </c>
      <c r="O859" s="22" t="n">
        <v>9.78</v>
      </c>
      <c r="P859" s="22" t="n">
        <v>0.464</v>
      </c>
      <c r="Q859" s="22" t="n">
        <v>46.4</v>
      </c>
      <c r="R859" s="42" t="n">
        <v>4.15</v>
      </c>
      <c r="S859" s="22" t="n">
        <v>4150</v>
      </c>
      <c r="T859" s="22" t="n">
        <v>3.99</v>
      </c>
      <c r="U859" s="22" t="n">
        <v>585</v>
      </c>
      <c r="V859" s="22" t="n">
        <v>34.3</v>
      </c>
    </row>
    <row r="860" customFormat="false" ht="14.4" hidden="false" customHeight="false" outlineLevel="0" collapsed="false">
      <c r="A860" s="45" t="n">
        <v>75716</v>
      </c>
      <c r="B860" s="22" t="s">
        <v>939</v>
      </c>
      <c r="C860" s="23" t="n">
        <v>715</v>
      </c>
      <c r="D860" s="22" t="n">
        <v>60</v>
      </c>
      <c r="E860" s="47" t="s">
        <v>898</v>
      </c>
      <c r="F860" s="22" t="n">
        <v>73</v>
      </c>
      <c r="G860" s="22" t="s">
        <v>51</v>
      </c>
      <c r="H860" s="22" t="n">
        <v>12.7</v>
      </c>
      <c r="I860" s="22" t="n">
        <v>127</v>
      </c>
      <c r="J860" s="22" t="n">
        <v>1.218</v>
      </c>
      <c r="K860" s="22" t="n">
        <v>30.93</v>
      </c>
      <c r="L860" s="22" t="n">
        <v>2.035</v>
      </c>
      <c r="M860" s="22" t="n">
        <v>51.69</v>
      </c>
      <c r="N860" s="22" t="n">
        <v>0.565</v>
      </c>
      <c r="O860" s="22" t="n">
        <v>14.4</v>
      </c>
      <c r="P860" s="22" t="n">
        <v>1.25</v>
      </c>
      <c r="Q860" s="22" t="n">
        <v>125</v>
      </c>
      <c r="R860" s="22" t="n">
        <v>15.9</v>
      </c>
      <c r="S860" s="22" t="n">
        <v>15900</v>
      </c>
      <c r="T860" s="22" t="n">
        <v>7.51</v>
      </c>
      <c r="U860" s="22" t="n">
        <v>715</v>
      </c>
      <c r="V860" s="22" t="n">
        <v>50.8</v>
      </c>
    </row>
    <row r="861" customFormat="false" ht="14.4" hidden="false" customHeight="false" outlineLevel="0" collapsed="false">
      <c r="A861" s="45" t="n">
        <v>75717</v>
      </c>
      <c r="B861" s="22" t="s">
        <v>940</v>
      </c>
      <c r="C861" s="23" t="n">
        <v>715</v>
      </c>
      <c r="D861" s="22" t="n">
        <v>26</v>
      </c>
      <c r="E861" s="47" t="s">
        <v>898</v>
      </c>
      <c r="F861" s="22" t="n">
        <v>32</v>
      </c>
      <c r="G861" s="22" t="s">
        <v>51</v>
      </c>
      <c r="H861" s="22" t="n">
        <v>12.7</v>
      </c>
      <c r="I861" s="22" t="n">
        <v>127</v>
      </c>
      <c r="J861" s="22" t="n">
        <v>1.218</v>
      </c>
      <c r="K861" s="22" t="n">
        <v>30.93</v>
      </c>
      <c r="L861" s="22" t="n">
        <v>2.035</v>
      </c>
      <c r="M861" s="22" t="n">
        <v>51.69</v>
      </c>
      <c r="N861" s="22" t="n">
        <v>0.565</v>
      </c>
      <c r="O861" s="22" t="n">
        <v>14.4</v>
      </c>
      <c r="P861" s="22" t="n">
        <v>1.25</v>
      </c>
      <c r="Q861" s="22" t="n">
        <v>125</v>
      </c>
      <c r="R861" s="22" t="n">
        <v>15.9</v>
      </c>
      <c r="S861" s="22" t="n">
        <v>15900</v>
      </c>
      <c r="T861" s="22" t="n">
        <v>7.51</v>
      </c>
      <c r="U861" s="22" t="n">
        <v>715</v>
      </c>
      <c r="V861" s="22" t="n">
        <v>50.8</v>
      </c>
    </row>
    <row r="862" customFormat="false" ht="14.4" hidden="false" customHeight="false" outlineLevel="0" collapsed="false">
      <c r="A862" s="45" t="n">
        <v>75721</v>
      </c>
      <c r="B862" s="22" t="s">
        <v>941</v>
      </c>
      <c r="C862" s="23" t="n">
        <v>715</v>
      </c>
      <c r="D862" s="22" t="n">
        <v>40</v>
      </c>
      <c r="E862" s="47" t="s">
        <v>898</v>
      </c>
      <c r="F862" s="22" t="n">
        <v>49</v>
      </c>
      <c r="G862" s="22" t="s">
        <v>51</v>
      </c>
      <c r="H862" s="22" t="n">
        <v>12.7</v>
      </c>
      <c r="I862" s="22" t="n">
        <v>127</v>
      </c>
      <c r="J862" s="22" t="n">
        <v>1.218</v>
      </c>
      <c r="K862" s="22" t="n">
        <v>30.93</v>
      </c>
      <c r="L862" s="22" t="n">
        <v>2.035</v>
      </c>
      <c r="M862" s="22" t="n">
        <v>51.69</v>
      </c>
      <c r="N862" s="22" t="n">
        <v>0.565</v>
      </c>
      <c r="O862" s="22" t="n">
        <v>14.4</v>
      </c>
      <c r="P862" s="22" t="n">
        <v>1.25</v>
      </c>
      <c r="Q862" s="22" t="n">
        <v>125</v>
      </c>
      <c r="R862" s="22" t="n">
        <v>15.9</v>
      </c>
      <c r="S862" s="22" t="n">
        <v>15900</v>
      </c>
      <c r="T862" s="22" t="n">
        <v>7.51</v>
      </c>
      <c r="U862" s="22" t="n">
        <v>715</v>
      </c>
      <c r="V862" s="22" t="n">
        <v>50.8</v>
      </c>
    </row>
    <row r="863" customFormat="false" ht="14.4" hidden="false" customHeight="false" outlineLevel="0" collapsed="false">
      <c r="A863" s="45" t="n">
        <v>75867</v>
      </c>
      <c r="B863" s="22" t="s">
        <v>942</v>
      </c>
      <c r="C863" s="23" t="n">
        <v>866</v>
      </c>
      <c r="D863" s="22" t="n">
        <v>60</v>
      </c>
      <c r="E863" s="47" t="s">
        <v>898</v>
      </c>
      <c r="F863" s="22" t="n">
        <v>68</v>
      </c>
      <c r="G863" s="22" t="s">
        <v>51</v>
      </c>
      <c r="H863" s="22" t="n">
        <v>19.6</v>
      </c>
      <c r="I863" s="22" t="n">
        <v>196</v>
      </c>
      <c r="J863" s="22" t="n">
        <v>1.898</v>
      </c>
      <c r="K863" s="42" t="n">
        <v>48.2</v>
      </c>
      <c r="L863" s="22" t="n">
        <v>3.108</v>
      </c>
      <c r="M863" s="22" t="n">
        <v>78.95</v>
      </c>
      <c r="N863" s="22" t="n">
        <v>0.545</v>
      </c>
      <c r="O863" s="22" t="n">
        <v>13.9</v>
      </c>
      <c r="P863" s="22" t="n">
        <v>1.76</v>
      </c>
      <c r="Q863" s="22" t="n">
        <v>176</v>
      </c>
      <c r="R863" s="22" t="n">
        <v>34.5</v>
      </c>
      <c r="S863" s="22" t="n">
        <v>34500</v>
      </c>
      <c r="T863" s="22" t="n">
        <v>18.2</v>
      </c>
      <c r="U863" s="22" t="n">
        <v>866</v>
      </c>
      <c r="V863" s="22" t="n">
        <v>77.8</v>
      </c>
    </row>
    <row r="864" customFormat="false" ht="14.4" hidden="false" customHeight="false" outlineLevel="0" collapsed="false">
      <c r="A864" s="45" t="n">
        <v>75868</v>
      </c>
      <c r="B864" s="22" t="s">
        <v>943</v>
      </c>
      <c r="C864" s="23" t="n">
        <v>866</v>
      </c>
      <c r="D864" s="22" t="n">
        <v>26</v>
      </c>
      <c r="E864" s="47" t="s">
        <v>898</v>
      </c>
      <c r="F864" s="22" t="n">
        <v>30</v>
      </c>
      <c r="G864" s="22" t="s">
        <v>51</v>
      </c>
      <c r="H864" s="22" t="n">
        <v>19.6</v>
      </c>
      <c r="I864" s="22" t="n">
        <v>196</v>
      </c>
      <c r="J864" s="22" t="n">
        <v>1.898</v>
      </c>
      <c r="K864" s="42" t="n">
        <v>48.2</v>
      </c>
      <c r="L864" s="22" t="n">
        <v>3.108</v>
      </c>
      <c r="M864" s="22" t="n">
        <v>78.95</v>
      </c>
      <c r="N864" s="22" t="n">
        <v>0.545</v>
      </c>
      <c r="O864" s="22" t="n">
        <v>13.9</v>
      </c>
      <c r="P864" s="22" t="n">
        <v>1.76</v>
      </c>
      <c r="Q864" s="22" t="n">
        <v>176</v>
      </c>
      <c r="R864" s="22" t="n">
        <v>34.5</v>
      </c>
      <c r="S864" s="22" t="n">
        <v>34500</v>
      </c>
      <c r="T864" s="22" t="n">
        <v>18.2</v>
      </c>
      <c r="U864" s="22" t="n">
        <v>866</v>
      </c>
      <c r="V864" s="22" t="n">
        <v>77.8</v>
      </c>
    </row>
    <row r="865" customFormat="false" ht="14.4" hidden="false" customHeight="false" outlineLevel="0" collapsed="false">
      <c r="A865" s="45" t="n">
        <v>75872</v>
      </c>
      <c r="B865" s="22" t="s">
        <v>944</v>
      </c>
      <c r="C865" s="23" t="n">
        <v>866</v>
      </c>
      <c r="D865" s="22" t="n">
        <v>40</v>
      </c>
      <c r="E865" s="47" t="s">
        <v>898</v>
      </c>
      <c r="F865" s="22" t="n">
        <v>45</v>
      </c>
      <c r="G865" s="22" t="s">
        <v>51</v>
      </c>
      <c r="H865" s="22" t="n">
        <v>19.6</v>
      </c>
      <c r="I865" s="22" t="n">
        <v>196</v>
      </c>
      <c r="J865" s="22" t="n">
        <v>1.898</v>
      </c>
      <c r="K865" s="42" t="n">
        <v>48.2</v>
      </c>
      <c r="L865" s="22" t="n">
        <v>3.108</v>
      </c>
      <c r="M865" s="22" t="n">
        <v>78.95</v>
      </c>
      <c r="N865" s="22" t="n">
        <v>0.545</v>
      </c>
      <c r="O865" s="22" t="n">
        <v>13.9</v>
      </c>
      <c r="P865" s="22" t="n">
        <v>1.76</v>
      </c>
      <c r="Q865" s="22" t="n">
        <v>176</v>
      </c>
      <c r="R865" s="22" t="n">
        <v>34.5</v>
      </c>
      <c r="S865" s="22" t="n">
        <v>34500</v>
      </c>
      <c r="T865" s="22" t="n">
        <v>18.2</v>
      </c>
      <c r="U865" s="22" t="n">
        <v>866</v>
      </c>
      <c r="V865" s="22" t="n">
        <v>77.8</v>
      </c>
    </row>
    <row r="866" customFormat="false" ht="14.4" hidden="false" customHeight="false" outlineLevel="0" collapsed="false">
      <c r="A866" s="45" t="n">
        <v>75894</v>
      </c>
      <c r="B866" s="22" t="s">
        <v>945</v>
      </c>
      <c r="C866" s="23" t="n">
        <v>930</v>
      </c>
      <c r="D866" s="22" t="n">
        <v>60</v>
      </c>
      <c r="E866" s="47" t="s">
        <v>898</v>
      </c>
      <c r="F866" s="22" t="n">
        <v>75</v>
      </c>
      <c r="G866" s="22" t="s">
        <v>51</v>
      </c>
      <c r="H866" s="22" t="n">
        <v>6.35</v>
      </c>
      <c r="I866" s="22" t="n">
        <v>63.5</v>
      </c>
      <c r="J866" s="22" t="n">
        <v>0.555</v>
      </c>
      <c r="K866" s="22" t="n">
        <v>14.1</v>
      </c>
      <c r="L866" s="43" t="n">
        <v>1.09</v>
      </c>
      <c r="M866" s="22" t="n">
        <v>27.69</v>
      </c>
      <c r="N866" s="43" t="n">
        <v>0.47</v>
      </c>
      <c r="O866" s="36" t="n">
        <v>12</v>
      </c>
      <c r="P866" s="22" t="n">
        <v>0.654</v>
      </c>
      <c r="Q866" s="22" t="n">
        <v>65.4</v>
      </c>
      <c r="R866" s="22" t="n">
        <v>4.15</v>
      </c>
      <c r="S866" s="22" t="n">
        <v>4150</v>
      </c>
      <c r="T866" s="22" t="n">
        <v>1.56</v>
      </c>
      <c r="U866" s="22" t="n">
        <v>930</v>
      </c>
      <c r="V866" s="22" t="n">
        <v>26.9</v>
      </c>
    </row>
    <row r="867" customFormat="false" ht="14.4" hidden="false" customHeight="false" outlineLevel="0" collapsed="false">
      <c r="A867" s="45" t="n">
        <v>75907</v>
      </c>
      <c r="B867" s="22" t="s">
        <v>946</v>
      </c>
      <c r="C867" s="23" t="n">
        <v>906</v>
      </c>
      <c r="D867" s="22" t="n">
        <v>60</v>
      </c>
      <c r="E867" s="47" t="s">
        <v>898</v>
      </c>
      <c r="F867" s="22" t="n">
        <v>85</v>
      </c>
      <c r="G867" s="22" t="s">
        <v>51</v>
      </c>
      <c r="H867" s="22" t="n">
        <v>19.6</v>
      </c>
      <c r="I867" s="22" t="n">
        <v>196</v>
      </c>
      <c r="J867" s="22" t="n">
        <v>1.898</v>
      </c>
      <c r="K867" s="42" t="n">
        <v>48.2</v>
      </c>
      <c r="L867" s="22" t="n">
        <v>3.108</v>
      </c>
      <c r="M867" s="22" t="n">
        <v>78.95</v>
      </c>
      <c r="N867" s="43" t="n">
        <v>0.67</v>
      </c>
      <c r="O867" s="22" t="n">
        <v>17.1</v>
      </c>
      <c r="P867" s="22" t="n">
        <v>2.21</v>
      </c>
      <c r="Q867" s="22" t="n">
        <v>221</v>
      </c>
      <c r="R867" s="22" t="n">
        <v>43.4</v>
      </c>
      <c r="S867" s="22" t="n">
        <v>43400</v>
      </c>
      <c r="T867" s="22" t="n">
        <v>18.2</v>
      </c>
      <c r="U867" s="22" t="n">
        <v>906</v>
      </c>
      <c r="V867" s="22" t="n">
        <v>77.8</v>
      </c>
    </row>
    <row r="868" customFormat="false" ht="14.4" hidden="false" customHeight="false" outlineLevel="0" collapsed="false">
      <c r="A868" s="45" t="n">
        <v>75908</v>
      </c>
      <c r="B868" s="22" t="s">
        <v>947</v>
      </c>
      <c r="C868" s="23" t="n">
        <v>906</v>
      </c>
      <c r="D868" s="22" t="n">
        <v>26</v>
      </c>
      <c r="E868" s="47" t="s">
        <v>898</v>
      </c>
      <c r="F868" s="22" t="n">
        <v>37</v>
      </c>
      <c r="G868" s="22" t="s">
        <v>51</v>
      </c>
      <c r="H868" s="22" t="n">
        <v>19.6</v>
      </c>
      <c r="I868" s="22" t="n">
        <v>196</v>
      </c>
      <c r="J868" s="22" t="n">
        <v>1.898</v>
      </c>
      <c r="K868" s="42" t="n">
        <v>48.2</v>
      </c>
      <c r="L868" s="22" t="n">
        <v>3.108</v>
      </c>
      <c r="M868" s="22" t="n">
        <v>78.95</v>
      </c>
      <c r="N868" s="43" t="n">
        <v>0.67</v>
      </c>
      <c r="O868" s="22" t="n">
        <v>17.1</v>
      </c>
      <c r="P868" s="22" t="n">
        <v>2.21</v>
      </c>
      <c r="Q868" s="22" t="n">
        <v>221</v>
      </c>
      <c r="R868" s="22" t="n">
        <v>43.4</v>
      </c>
      <c r="S868" s="22" t="n">
        <v>43400</v>
      </c>
      <c r="T868" s="22" t="n">
        <v>18.2</v>
      </c>
      <c r="U868" s="22" t="n">
        <v>906</v>
      </c>
      <c r="V868" s="22" t="n">
        <v>77.8</v>
      </c>
    </row>
    <row r="869" customFormat="false" ht="14.4" hidden="false" customHeight="false" outlineLevel="0" collapsed="false">
      <c r="A869" s="45" t="n">
        <v>75912</v>
      </c>
      <c r="B869" s="22" t="s">
        <v>948</v>
      </c>
      <c r="C869" s="23" t="n">
        <v>906</v>
      </c>
      <c r="D869" s="22" t="n">
        <v>40</v>
      </c>
      <c r="E869" s="47" t="s">
        <v>898</v>
      </c>
      <c r="F869" s="22" t="n">
        <v>57</v>
      </c>
      <c r="G869" s="22" t="s">
        <v>51</v>
      </c>
      <c r="H869" s="22" t="n">
        <v>19.6</v>
      </c>
      <c r="I869" s="22" t="n">
        <v>196</v>
      </c>
      <c r="J869" s="22" t="n">
        <v>1.898</v>
      </c>
      <c r="K869" s="42" t="n">
        <v>48.2</v>
      </c>
      <c r="L869" s="22" t="n">
        <v>3.108</v>
      </c>
      <c r="M869" s="22" t="n">
        <v>78.95</v>
      </c>
      <c r="N869" s="43" t="n">
        <v>0.67</v>
      </c>
      <c r="O869" s="22" t="n">
        <v>17.1</v>
      </c>
      <c r="P869" s="22" t="n">
        <v>2.21</v>
      </c>
      <c r="Q869" s="22" t="n">
        <v>221</v>
      </c>
      <c r="R869" s="22" t="n">
        <v>43.4</v>
      </c>
      <c r="S869" s="22" t="n">
        <v>43400</v>
      </c>
      <c r="T869" s="22" t="n">
        <v>18.2</v>
      </c>
      <c r="U869" s="22" t="n">
        <v>906</v>
      </c>
      <c r="V869" s="22" t="n">
        <v>77.8</v>
      </c>
    </row>
    <row r="870" customFormat="false" ht="14.4" hidden="false" customHeight="false" outlineLevel="0" collapsed="false">
      <c r="A870" s="45" t="n">
        <v>75932</v>
      </c>
      <c r="B870" s="22" t="s">
        <v>949</v>
      </c>
      <c r="C870" s="23" t="n">
        <v>930</v>
      </c>
      <c r="D870" s="22" t="n">
        <v>26</v>
      </c>
      <c r="E870" s="47" t="s">
        <v>898</v>
      </c>
      <c r="F870" s="22" t="n">
        <v>32</v>
      </c>
      <c r="G870" s="22" t="s">
        <v>51</v>
      </c>
      <c r="H870" s="22" t="n">
        <v>6.35</v>
      </c>
      <c r="I870" s="22" t="n">
        <v>63.5</v>
      </c>
      <c r="J870" s="22" t="n">
        <v>0.555</v>
      </c>
      <c r="K870" s="22" t="n">
        <v>14.1</v>
      </c>
      <c r="L870" s="43" t="n">
        <v>1.09</v>
      </c>
      <c r="M870" s="22" t="n">
        <v>27.69</v>
      </c>
      <c r="N870" s="43" t="n">
        <v>0.47</v>
      </c>
      <c r="O870" s="36" t="n">
        <v>12</v>
      </c>
      <c r="P870" s="22" t="n">
        <v>0.654</v>
      </c>
      <c r="Q870" s="22" t="n">
        <v>65.4</v>
      </c>
      <c r="R870" s="22" t="n">
        <v>4.15</v>
      </c>
      <c r="S870" s="22" t="n">
        <v>4150</v>
      </c>
      <c r="T870" s="22" t="n">
        <v>1.56</v>
      </c>
      <c r="U870" s="22" t="n">
        <v>930</v>
      </c>
      <c r="V870" s="22" t="n">
        <v>26.9</v>
      </c>
    </row>
    <row r="871" customFormat="false" ht="14.4" hidden="false" customHeight="false" outlineLevel="0" collapsed="false">
      <c r="A871" s="45" t="n">
        <v>75936</v>
      </c>
      <c r="B871" s="22" t="s">
        <v>950</v>
      </c>
      <c r="C871" s="23" t="n">
        <v>930</v>
      </c>
      <c r="D871" s="22" t="n">
        <v>40</v>
      </c>
      <c r="E871" s="47" t="s">
        <v>898</v>
      </c>
      <c r="F871" s="22" t="n">
        <v>50</v>
      </c>
      <c r="G871" s="22" t="s">
        <v>51</v>
      </c>
      <c r="H871" s="22" t="n">
        <v>6.35</v>
      </c>
      <c r="I871" s="22" t="n">
        <v>63.5</v>
      </c>
      <c r="J871" s="22" t="n">
        <v>0.555</v>
      </c>
      <c r="K871" s="22" t="n">
        <v>14.1</v>
      </c>
      <c r="L871" s="43" t="n">
        <v>1.09</v>
      </c>
      <c r="M871" s="22" t="n">
        <v>27.69</v>
      </c>
      <c r="N871" s="43" t="n">
        <v>0.47</v>
      </c>
      <c r="O871" s="36" t="n">
        <v>12</v>
      </c>
      <c r="P871" s="22" t="n">
        <v>0.654</v>
      </c>
      <c r="Q871" s="22" t="n">
        <v>65.4</v>
      </c>
      <c r="R871" s="22" t="n">
        <v>4.15</v>
      </c>
      <c r="S871" s="22" t="n">
        <v>4150</v>
      </c>
      <c r="T871" s="22" t="n">
        <v>1.56</v>
      </c>
      <c r="U871" s="22" t="n">
        <v>930</v>
      </c>
      <c r="V871" s="22" t="n">
        <v>26.9</v>
      </c>
    </row>
    <row r="872" customFormat="false" ht="14.4" hidden="false" customHeight="false" outlineLevel="0" collapsed="false">
      <c r="A872" s="37" t="n">
        <v>75166</v>
      </c>
      <c r="B872" s="38" t="s">
        <v>951</v>
      </c>
      <c r="C872" s="39" t="n">
        <v>165</v>
      </c>
      <c r="D872" s="38" t="n">
        <v>40</v>
      </c>
      <c r="E872" s="47" t="s">
        <v>898</v>
      </c>
      <c r="F872" s="38" t="n">
        <v>120</v>
      </c>
      <c r="G872" s="38" t="s">
        <v>51</v>
      </c>
      <c r="H872" s="38" t="n">
        <v>41.2</v>
      </c>
      <c r="I872" s="38" t="n">
        <v>412</v>
      </c>
      <c r="J872" s="38" t="n">
        <v>3.977</v>
      </c>
      <c r="K872" s="40" t="n">
        <v>101</v>
      </c>
      <c r="L872" s="38" t="n">
        <v>6.555</v>
      </c>
      <c r="M872" s="40" t="n">
        <v>166.5</v>
      </c>
      <c r="N872" s="38" t="n">
        <v>1.305</v>
      </c>
      <c r="O872" s="41" t="n">
        <v>33.15</v>
      </c>
      <c r="P872" s="38" t="n">
        <v>9.87</v>
      </c>
      <c r="Q872" s="38" t="n">
        <v>987</v>
      </c>
      <c r="R872" s="38" t="n">
        <v>407</v>
      </c>
      <c r="S872" s="38" t="n">
        <v>407000</v>
      </c>
      <c r="T872" s="38" t="n">
        <v>80.3</v>
      </c>
      <c r="U872" s="22" t="n">
        <v>165</v>
      </c>
      <c r="V872" s="22" t="n">
        <v>165.1</v>
      </c>
    </row>
    <row r="873" customFormat="false" ht="14.4" hidden="false" customHeight="false" outlineLevel="0" collapsed="false">
      <c r="A873" s="22" t="n">
        <v>75338</v>
      </c>
      <c r="B873" s="22" t="s">
        <v>952</v>
      </c>
      <c r="C873" s="39" t="n">
        <v>337</v>
      </c>
      <c r="D873" s="22" t="n">
        <v>40</v>
      </c>
      <c r="E873" s="47" t="s">
        <v>898</v>
      </c>
      <c r="F873" s="22" t="n">
        <v>105</v>
      </c>
      <c r="G873" s="38" t="s">
        <v>51</v>
      </c>
      <c r="H873" s="38" t="n">
        <v>32.4</v>
      </c>
      <c r="I873" s="38" t="n">
        <v>324</v>
      </c>
      <c r="J873" s="38" t="n">
        <v>3.039</v>
      </c>
      <c r="K873" s="38" t="n">
        <v>77.19</v>
      </c>
      <c r="L873" s="38" t="n">
        <v>5.274</v>
      </c>
      <c r="M873" s="40" t="n">
        <v>134</v>
      </c>
      <c r="N873" s="38" t="n">
        <v>1.055</v>
      </c>
      <c r="O873" s="41" t="n">
        <v>26.8</v>
      </c>
      <c r="P873" s="38" t="n">
        <v>6.78</v>
      </c>
      <c r="Q873" s="38" t="n">
        <v>678</v>
      </c>
      <c r="R873" s="38" t="n">
        <v>220</v>
      </c>
      <c r="S873" s="38" t="n">
        <v>220000</v>
      </c>
      <c r="T873" s="38" t="n">
        <v>47.1</v>
      </c>
      <c r="U873" s="22" t="n">
        <v>337</v>
      </c>
      <c r="V873" s="22" t="n">
        <v>132.6</v>
      </c>
    </row>
    <row r="874" customFormat="false" ht="14.4" hidden="false" customHeight="false" outlineLevel="0" collapsed="false">
      <c r="A874" s="22" t="n">
        <v>75339</v>
      </c>
      <c r="B874" s="22" t="s">
        <v>953</v>
      </c>
      <c r="C874" s="39" t="n">
        <v>337</v>
      </c>
      <c r="D874" s="22" t="n">
        <v>60</v>
      </c>
      <c r="E874" s="47" t="s">
        <v>898</v>
      </c>
      <c r="F874" s="22" t="n">
        <v>158</v>
      </c>
      <c r="G874" s="38" t="s">
        <v>51</v>
      </c>
      <c r="H874" s="38" t="n">
        <v>32.4</v>
      </c>
      <c r="I874" s="38" t="n">
        <v>324</v>
      </c>
      <c r="J874" s="38" t="n">
        <v>3.039</v>
      </c>
      <c r="K874" s="38" t="n">
        <v>77.19</v>
      </c>
      <c r="L874" s="38" t="n">
        <v>5.274</v>
      </c>
      <c r="M874" s="40" t="n">
        <v>134</v>
      </c>
      <c r="N874" s="38" t="n">
        <v>1.055</v>
      </c>
      <c r="O874" s="41" t="n">
        <v>26.8</v>
      </c>
      <c r="P874" s="38" t="n">
        <v>6.78</v>
      </c>
      <c r="Q874" s="38" t="n">
        <v>678</v>
      </c>
      <c r="R874" s="38" t="n">
        <v>220</v>
      </c>
      <c r="S874" s="38" t="n">
        <v>220000</v>
      </c>
      <c r="T874" s="38" t="n">
        <v>47.1</v>
      </c>
      <c r="U874" s="22" t="n">
        <v>337</v>
      </c>
      <c r="V874" s="22" t="n">
        <v>132.6</v>
      </c>
    </row>
    <row r="875" customFormat="false" ht="14.4" hidden="false" customHeight="false" outlineLevel="0" collapsed="false">
      <c r="A875" s="22" t="n">
        <v>75072</v>
      </c>
      <c r="B875" s="22" t="s">
        <v>954</v>
      </c>
      <c r="C875" s="23" t="s">
        <v>866</v>
      </c>
      <c r="D875" s="22" t="n">
        <v>60</v>
      </c>
      <c r="E875" s="47" t="s">
        <v>898</v>
      </c>
      <c r="F875" s="22" t="n">
        <v>143</v>
      </c>
      <c r="G875" s="38" t="s">
        <v>51</v>
      </c>
      <c r="H875" s="22" t="n">
        <v>15.8</v>
      </c>
      <c r="I875" s="22" t="n">
        <v>158</v>
      </c>
      <c r="J875" s="22" t="n">
        <v>1.366</v>
      </c>
      <c r="K875" s="22" t="n">
        <v>34.7</v>
      </c>
      <c r="L875" s="22" t="n">
        <v>2.732</v>
      </c>
      <c r="M875" s="22" t="n">
        <v>69.4</v>
      </c>
      <c r="N875" s="22" t="n">
        <v>0.843</v>
      </c>
      <c r="O875" s="22" t="n">
        <v>21.4</v>
      </c>
      <c r="P875" s="22" t="n">
        <v>3.14</v>
      </c>
      <c r="Q875" s="22" t="n">
        <v>314</v>
      </c>
      <c r="R875" s="22" t="n">
        <v>49.7</v>
      </c>
      <c r="S875" s="22" t="n">
        <v>49700</v>
      </c>
      <c r="T875" s="22" t="n">
        <v>9.45</v>
      </c>
      <c r="U875" s="22" t="n">
        <v>70</v>
      </c>
      <c r="V875" s="22" t="e">
        <f aca="false">#N/A</f>
        <v>#N/A</v>
      </c>
    </row>
    <row r="876" customFormat="false" ht="14.4" hidden="false" customHeight="false" outlineLevel="0" collapsed="false">
      <c r="A876" s="22" t="n">
        <v>75073</v>
      </c>
      <c r="B876" s="22" t="s">
        <v>955</v>
      </c>
      <c r="C876" s="23" t="s">
        <v>866</v>
      </c>
      <c r="D876" s="22" t="n">
        <v>40</v>
      </c>
      <c r="E876" s="47" t="s">
        <v>898</v>
      </c>
      <c r="F876" s="22" t="n">
        <v>95</v>
      </c>
      <c r="G876" s="38" t="s">
        <v>51</v>
      </c>
      <c r="H876" s="22" t="n">
        <v>15.8</v>
      </c>
      <c r="I876" s="22" t="n">
        <v>158</v>
      </c>
      <c r="J876" s="22" t="n">
        <v>1.366</v>
      </c>
      <c r="K876" s="22" t="n">
        <v>34.7</v>
      </c>
      <c r="L876" s="22" t="n">
        <v>2.732</v>
      </c>
      <c r="M876" s="22" t="n">
        <v>69.4</v>
      </c>
      <c r="N876" s="22" t="n">
        <v>0.843</v>
      </c>
      <c r="O876" s="22" t="n">
        <v>21.4</v>
      </c>
      <c r="P876" s="22" t="n">
        <v>3.14</v>
      </c>
      <c r="Q876" s="22" t="n">
        <v>314</v>
      </c>
      <c r="R876" s="22" t="n">
        <v>49.7</v>
      </c>
      <c r="S876" s="22" t="n">
        <v>49700</v>
      </c>
      <c r="T876" s="22" t="n">
        <v>9.45</v>
      </c>
      <c r="U876" s="22" t="n">
        <v>70</v>
      </c>
      <c r="V876" s="22" t="e">
        <f aca="false">#N/A</f>
        <v>#N/A</v>
      </c>
    </row>
    <row r="877" customFormat="false" ht="14.4" hidden="false" customHeight="false" outlineLevel="0" collapsed="false">
      <c r="A877" s="22" t="n">
        <v>75074</v>
      </c>
      <c r="B877" s="22" t="s">
        <v>956</v>
      </c>
      <c r="C877" s="23" t="s">
        <v>866</v>
      </c>
      <c r="D877" s="22" t="n">
        <v>26</v>
      </c>
      <c r="E877" s="47" t="s">
        <v>898</v>
      </c>
      <c r="F877" s="22" t="n">
        <v>62</v>
      </c>
      <c r="G877" s="38" t="s">
        <v>51</v>
      </c>
      <c r="H877" s="22" t="n">
        <v>15.8</v>
      </c>
      <c r="I877" s="22" t="n">
        <v>158</v>
      </c>
      <c r="J877" s="22" t="n">
        <v>1.366</v>
      </c>
      <c r="K877" s="22" t="n">
        <v>34.7</v>
      </c>
      <c r="L877" s="22" t="n">
        <v>2.732</v>
      </c>
      <c r="M877" s="22" t="n">
        <v>69.4</v>
      </c>
      <c r="N877" s="22" t="n">
        <v>0.843</v>
      </c>
      <c r="O877" s="22" t="n">
        <v>21.4</v>
      </c>
      <c r="P877" s="22" t="n">
        <v>3.14</v>
      </c>
      <c r="Q877" s="22" t="n">
        <v>314</v>
      </c>
      <c r="R877" s="22" t="n">
        <v>49.7</v>
      </c>
      <c r="S877" s="22" t="n">
        <v>49700</v>
      </c>
      <c r="T877" s="22" t="n">
        <v>9.45</v>
      </c>
      <c r="U877" s="22" t="n">
        <v>70</v>
      </c>
      <c r="V877" s="22" t="e">
        <f aca="false">#N/A</f>
        <v>#N/A</v>
      </c>
    </row>
  </sheetData>
  <autoFilter ref="B1:T818">
    <filterColumn colId="3">
      <customFilters and="true">
        <customFilter operator="equal" val="Xflux"/>
      </customFilters>
    </filterColumn>
    <filterColumn colId="5">
      <customFilters and="true">
        <customFilter operator="equal" val="Toroid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W121"/>
  <sheetViews>
    <sheetView showFormulas="false" showGridLines="true" showRowColHeaders="true" showZeros="true" rightToLeft="false" tabSelected="false" showOutlineSymbols="true" defaultGridColor="true" view="normal" topLeftCell="AA1" colorId="64" zoomScale="80" zoomScaleNormal="80" zoomScalePageLayoutView="100" workbookViewId="0">
      <selection pane="topLeft" activeCell="AS7" activeCellId="0" sqref="AS7"/>
    </sheetView>
  </sheetViews>
  <sheetFormatPr defaultRowHeight="14.4" zeroHeight="false" outlineLevelRow="0" outlineLevelCol="0"/>
  <cols>
    <col collapsed="false" customWidth="true" hidden="true" outlineLevel="0" max="16" min="1" style="48" width="12.33"/>
    <col collapsed="false" customWidth="true" hidden="true" outlineLevel="0" max="17" min="17" style="48" width="15.11"/>
    <col collapsed="false" customWidth="true" hidden="true" outlineLevel="0" max="24" min="18" style="48" width="12.33"/>
    <col collapsed="false" customWidth="true" hidden="true" outlineLevel="0" max="25" min="25" style="48" width="22.89"/>
    <col collapsed="false" customWidth="true" hidden="true" outlineLevel="0" max="26" min="26" style="48" width="12.33"/>
    <col collapsed="false" customWidth="true" hidden="false" outlineLevel="0" max="33" min="27" style="48" width="12.33"/>
    <col collapsed="false" customWidth="true" hidden="false" outlineLevel="0" max="34" min="34" style="48" width="11.11"/>
    <col collapsed="false" customWidth="true" hidden="false" outlineLevel="0" max="35" min="35" style="48" width="10.66"/>
    <col collapsed="false" customWidth="true" hidden="false" outlineLevel="0" max="36" min="36" style="48" width="13.11"/>
    <col collapsed="false" customWidth="true" hidden="false" outlineLevel="0" max="37" min="37" style="48" width="15.89"/>
    <col collapsed="false" customWidth="true" hidden="false" outlineLevel="0" max="38" min="38" style="48" width="4.66"/>
    <col collapsed="false" customWidth="true" hidden="false" outlineLevel="0" max="39" min="39" style="48" width="19.67"/>
    <col collapsed="false" customWidth="true" hidden="false" outlineLevel="0" max="40" min="40" style="48" width="4.44"/>
    <col collapsed="false" customWidth="true" hidden="false" outlineLevel="0" max="45" min="41" style="48" width="12.33"/>
    <col collapsed="false" customWidth="true" hidden="false" outlineLevel="0" max="46" min="46" style="49" width="12.33"/>
    <col collapsed="false" customWidth="true" hidden="false" outlineLevel="0" max="1025" min="47" style="48" width="12.33"/>
  </cols>
  <sheetData>
    <row r="1" customFormat="false" ht="15" hidden="false" customHeight="false" outlineLevel="0" collapsed="false">
      <c r="G1" s="50" t="s">
        <v>50</v>
      </c>
      <c r="H1" s="50"/>
      <c r="I1" s="50"/>
      <c r="J1" s="51" t="s">
        <v>957</v>
      </c>
      <c r="K1" s="51"/>
      <c r="L1" s="51"/>
      <c r="N1" s="52" t="s">
        <v>958</v>
      </c>
      <c r="O1" s="52"/>
      <c r="P1" s="52"/>
      <c r="S1" s="52" t="s">
        <v>959</v>
      </c>
      <c r="T1" s="52"/>
      <c r="U1" s="52"/>
      <c r="X1" s="53"/>
      <c r="Y1" s="53"/>
      <c r="Z1" s="53"/>
      <c r="AA1" s="53"/>
      <c r="AB1" s="53"/>
      <c r="AC1" s="54"/>
      <c r="AD1" s="55"/>
      <c r="AE1" s="54"/>
      <c r="AF1" s="56"/>
      <c r="AG1" s="57"/>
      <c r="AH1" s="58"/>
      <c r="AI1" s="58"/>
      <c r="AJ1" s="58"/>
      <c r="AK1" s="53"/>
      <c r="AL1" s="54"/>
      <c r="AM1" s="54"/>
      <c r="AN1" s="54"/>
      <c r="AO1" s="53"/>
      <c r="AP1" s="54"/>
      <c r="AQ1" s="54"/>
      <c r="AR1" s="54"/>
      <c r="AS1" s="54"/>
      <c r="AT1" s="59"/>
      <c r="AU1" s="53"/>
      <c r="AV1" s="53"/>
      <c r="AW1" s="53"/>
    </row>
    <row r="2" customFormat="false" ht="28.5" hidden="false" customHeight="true" outlineLevel="0" collapsed="false">
      <c r="B2" s="60" t="s">
        <v>960</v>
      </c>
      <c r="C2" s="60"/>
      <c r="D2" s="60"/>
      <c r="G2" s="61"/>
      <c r="H2" s="62"/>
      <c r="I2" s="63"/>
      <c r="J2" s="64"/>
      <c r="K2" s="65"/>
      <c r="L2" s="66"/>
      <c r="N2" s="67" t="s">
        <v>961</v>
      </c>
      <c r="O2" s="67"/>
      <c r="P2" s="67"/>
      <c r="S2" s="67" t="s">
        <v>961</v>
      </c>
      <c r="T2" s="67"/>
      <c r="U2" s="67"/>
      <c r="X2" s="53"/>
      <c r="Y2" s="53"/>
      <c r="Z2" s="53"/>
      <c r="AA2" s="53"/>
      <c r="AB2" s="68"/>
      <c r="AC2" s="69"/>
      <c r="AD2" s="70" t="s">
        <v>962</v>
      </c>
      <c r="AE2" s="70"/>
      <c r="AF2" s="71"/>
      <c r="AG2" s="72"/>
      <c r="AH2" s="73" t="s">
        <v>963</v>
      </c>
      <c r="AI2" s="73"/>
      <c r="AJ2" s="73"/>
      <c r="AK2" s="72"/>
      <c r="AL2" s="73" t="s">
        <v>964</v>
      </c>
      <c r="AM2" s="73"/>
      <c r="AN2" s="73"/>
      <c r="AO2" s="72"/>
      <c r="AP2" s="73" t="s">
        <v>965</v>
      </c>
      <c r="AQ2" s="73"/>
      <c r="AR2" s="73"/>
      <c r="AS2" s="73"/>
      <c r="AT2" s="73"/>
      <c r="AU2" s="74"/>
      <c r="AV2" s="53"/>
      <c r="AW2" s="53"/>
    </row>
    <row r="3" customFormat="false" ht="33.75" hidden="false" customHeight="true" outlineLevel="0" collapsed="false">
      <c r="B3" s="75" t="s">
        <v>966</v>
      </c>
      <c r="C3" s="75"/>
      <c r="D3" s="75"/>
      <c r="E3" s="76" t="n">
        <f aca="false">AE13</f>
        <v>0.096</v>
      </c>
      <c r="G3" s="61"/>
      <c r="H3" s="62"/>
      <c r="I3" s="63"/>
      <c r="J3" s="64"/>
      <c r="K3" s="65"/>
      <c r="L3" s="66"/>
      <c r="N3" s="77" t="s">
        <v>967</v>
      </c>
      <c r="O3" s="77"/>
      <c r="P3" s="77"/>
      <c r="Q3" s="76" t="n">
        <f aca="false">AM4</f>
        <v>55930</v>
      </c>
      <c r="S3" s="77" t="s">
        <v>967</v>
      </c>
      <c r="T3" s="77"/>
      <c r="U3" s="77"/>
      <c r="V3" s="76" t="n">
        <v>77351</v>
      </c>
      <c r="X3" s="53"/>
      <c r="Y3" s="53"/>
      <c r="Z3" s="53"/>
      <c r="AA3" s="53"/>
      <c r="AB3" s="68"/>
      <c r="AC3" s="78"/>
      <c r="AD3" s="79" t="s">
        <v>968</v>
      </c>
      <c r="AE3" s="79"/>
      <c r="AF3" s="80"/>
      <c r="AG3" s="72"/>
      <c r="AH3" s="81" t="s">
        <v>969</v>
      </c>
      <c r="AI3" s="81"/>
      <c r="AJ3" s="81"/>
      <c r="AK3" s="72"/>
      <c r="AL3" s="82" t="s">
        <v>970</v>
      </c>
      <c r="AM3" s="82"/>
      <c r="AN3" s="82"/>
      <c r="AO3" s="72"/>
      <c r="AP3" s="83"/>
      <c r="AQ3" s="84" t="s">
        <v>971</v>
      </c>
      <c r="AR3" s="84"/>
      <c r="AS3" s="84"/>
      <c r="AT3" s="85"/>
      <c r="AU3" s="74"/>
      <c r="AV3" s="53"/>
      <c r="AW3" s="53"/>
    </row>
    <row r="4" customFormat="false" ht="24" hidden="false" customHeight="true" outlineLevel="0" collapsed="false">
      <c r="B4" s="77" t="s">
        <v>972</v>
      </c>
      <c r="C4" s="77"/>
      <c r="D4" s="77"/>
      <c r="E4" s="86" t="n">
        <f aca="false">AE5</f>
        <v>8.33</v>
      </c>
      <c r="G4" s="61"/>
      <c r="H4" s="62"/>
      <c r="I4" s="63"/>
      <c r="J4" s="64"/>
      <c r="K4" s="65"/>
      <c r="L4" s="66"/>
      <c r="N4" s="77" t="s">
        <v>973</v>
      </c>
      <c r="O4" s="77"/>
      <c r="P4" s="77"/>
      <c r="Q4" s="76" t="n">
        <f aca="false">AE16</f>
        <v>1</v>
      </c>
      <c r="S4" s="77" t="s">
        <v>973</v>
      </c>
      <c r="T4" s="77"/>
      <c r="U4" s="77"/>
      <c r="V4" s="76" t="n">
        <v>1</v>
      </c>
      <c r="X4" s="53"/>
      <c r="Y4" s="53"/>
      <c r="Z4" s="53"/>
      <c r="AA4" s="53"/>
      <c r="AB4" s="68"/>
      <c r="AC4" s="87"/>
      <c r="AD4" s="88"/>
      <c r="AE4" s="53"/>
      <c r="AF4" s="80"/>
      <c r="AG4" s="72"/>
      <c r="AH4" s="89" t="n">
        <f aca="false">E15</f>
        <v>7.344121176</v>
      </c>
      <c r="AI4" s="89"/>
      <c r="AJ4" s="89"/>
      <c r="AK4" s="72"/>
      <c r="AL4" s="90"/>
      <c r="AM4" s="91" t="n">
        <v>55930</v>
      </c>
      <c r="AN4" s="92"/>
      <c r="AO4" s="72"/>
      <c r="AP4" s="93" t="s">
        <v>974</v>
      </c>
      <c r="AQ4" s="93"/>
      <c r="AR4" s="94"/>
      <c r="AS4" s="95" t="n">
        <f aca="false">Q9</f>
        <v>0.0896752901157487</v>
      </c>
      <c r="AT4" s="96" t="s">
        <v>975</v>
      </c>
      <c r="AU4" s="74"/>
      <c r="AV4" s="53"/>
      <c r="AW4" s="53"/>
    </row>
    <row r="5" customFormat="false" ht="24" hidden="false" customHeight="false" outlineLevel="0" collapsed="false">
      <c r="B5" s="97" t="s">
        <v>976</v>
      </c>
      <c r="C5" s="97"/>
      <c r="D5" s="97"/>
      <c r="E5" s="76" t="n">
        <f aca="false">E6/2/1.732</f>
        <v>0.240473441108545</v>
      </c>
      <c r="G5" s="61"/>
      <c r="H5" s="62"/>
      <c r="I5" s="63"/>
      <c r="J5" s="64"/>
      <c r="K5" s="65"/>
      <c r="L5" s="66"/>
      <c r="N5" s="77" t="s">
        <v>15</v>
      </c>
      <c r="O5" s="77"/>
      <c r="P5" s="77"/>
      <c r="Q5" s="98" t="str">
        <f aca="false">VLOOKUP(Q3,'Powder Core Detail'!$A$2:$T$985,5,0)</f>
        <v>MPP</v>
      </c>
      <c r="S5" s="77" t="s">
        <v>15</v>
      </c>
      <c r="T5" s="77"/>
      <c r="U5" s="77"/>
      <c r="V5" s="98" t="str">
        <f aca="false">VLOOKUP(V3,'Powder Core Detail'!$A$2:$T$985,5,0)</f>
        <v>Kool Mu</v>
      </c>
      <c r="X5" s="53"/>
      <c r="Y5" s="53"/>
      <c r="Z5" s="53"/>
      <c r="AA5" s="53"/>
      <c r="AB5" s="68"/>
      <c r="AC5" s="99" t="s">
        <v>977</v>
      </c>
      <c r="AD5" s="100"/>
      <c r="AE5" s="91" t="n">
        <v>8.33</v>
      </c>
      <c r="AF5" s="101" t="s">
        <v>978</v>
      </c>
      <c r="AG5" s="72"/>
      <c r="AH5" s="102"/>
      <c r="AI5" s="103"/>
      <c r="AJ5" s="104"/>
      <c r="AK5" s="72"/>
      <c r="AL5" s="105"/>
      <c r="AM5" s="57"/>
      <c r="AN5" s="106"/>
      <c r="AO5" s="72"/>
      <c r="AP5" s="93"/>
      <c r="AQ5" s="93"/>
      <c r="AR5" s="94"/>
      <c r="AS5" s="95"/>
      <c r="AT5" s="96"/>
      <c r="AU5" s="74"/>
      <c r="AV5" s="53"/>
      <c r="AW5" s="53"/>
    </row>
    <row r="6" customFormat="false" ht="16.5" hidden="false" customHeight="true" outlineLevel="0" collapsed="false">
      <c r="B6" s="97" t="s">
        <v>979</v>
      </c>
      <c r="C6" s="97"/>
      <c r="D6" s="97"/>
      <c r="E6" s="76" t="n">
        <f aca="false">AE7</f>
        <v>0.833</v>
      </c>
      <c r="G6" s="61"/>
      <c r="H6" s="62"/>
      <c r="I6" s="63"/>
      <c r="J6" s="64"/>
      <c r="K6" s="65"/>
      <c r="L6" s="66"/>
      <c r="N6" s="107" t="s">
        <v>980</v>
      </c>
      <c r="O6" s="107"/>
      <c r="P6" s="107"/>
      <c r="Q6" s="98" t="n">
        <f aca="false">VLOOKUP(Q3,'Powder Core Detail'!$A$2:$T$985,4,0)</f>
        <v>125</v>
      </c>
      <c r="S6" s="107" t="s">
        <v>980</v>
      </c>
      <c r="T6" s="107"/>
      <c r="U6" s="107"/>
      <c r="V6" s="98" t="n">
        <f aca="false">VLOOKUP(V3,'Powder Core Detail'!$A$2:$T$985,4,0)</f>
        <v>60</v>
      </c>
      <c r="X6" s="53"/>
      <c r="Y6" s="53"/>
      <c r="Z6" s="53"/>
      <c r="AA6" s="53"/>
      <c r="AB6" s="68"/>
      <c r="AC6" s="87"/>
      <c r="AD6" s="88"/>
      <c r="AE6" s="108"/>
      <c r="AF6" s="80"/>
      <c r="AG6" s="72"/>
      <c r="AH6" s="109" t="s">
        <v>981</v>
      </c>
      <c r="AI6" s="109"/>
      <c r="AJ6" s="109"/>
      <c r="AK6" s="72"/>
      <c r="AL6" s="110" t="s">
        <v>982</v>
      </c>
      <c r="AM6" s="110"/>
      <c r="AN6" s="110"/>
      <c r="AO6" s="72"/>
      <c r="AP6" s="111"/>
      <c r="AQ6" s="112"/>
      <c r="AR6" s="113"/>
      <c r="AS6" s="114"/>
      <c r="AT6" s="85"/>
      <c r="AU6" s="74"/>
      <c r="AV6" s="53"/>
      <c r="AW6" s="53"/>
    </row>
    <row r="7" customFormat="false" ht="15" hidden="false" customHeight="true" outlineLevel="0" collapsed="false">
      <c r="B7" s="97" t="s">
        <v>983</v>
      </c>
      <c r="C7" s="97"/>
      <c r="D7" s="97"/>
      <c r="E7" s="76" t="n">
        <f aca="false">AE10</f>
        <v>100</v>
      </c>
      <c r="G7" s="61"/>
      <c r="H7" s="62"/>
      <c r="I7" s="63"/>
      <c r="J7" s="64"/>
      <c r="K7" s="65"/>
      <c r="L7" s="66"/>
      <c r="N7" s="107" t="s">
        <v>984</v>
      </c>
      <c r="O7" s="107"/>
      <c r="P7" s="107"/>
      <c r="Q7" s="98" t="n">
        <f aca="false">(VLOOKUP(Q3,'Powder Core Detail'!$A$2:$T$985,6,0))*Q4</f>
        <v>157</v>
      </c>
      <c r="S7" s="107" t="s">
        <v>984</v>
      </c>
      <c r="T7" s="107"/>
      <c r="U7" s="107"/>
      <c r="V7" s="98" t="n">
        <f aca="false">(VLOOKUP(V3,'Powder Core Detail'!$A$2:$T$985,6,0))*V4</f>
        <v>51</v>
      </c>
      <c r="X7" s="53"/>
      <c r="Y7" s="53"/>
      <c r="Z7" s="53"/>
      <c r="AA7" s="53"/>
      <c r="AB7" s="68"/>
      <c r="AC7" s="115" t="s">
        <v>985</v>
      </c>
      <c r="AD7" s="116"/>
      <c r="AE7" s="117" t="n">
        <v>0.833</v>
      </c>
      <c r="AF7" s="118" t="s">
        <v>986</v>
      </c>
      <c r="AG7" s="72"/>
      <c r="AH7" s="109"/>
      <c r="AI7" s="109"/>
      <c r="AJ7" s="109"/>
      <c r="AK7" s="72"/>
      <c r="AL7" s="105"/>
      <c r="AM7" s="57"/>
      <c r="AN7" s="106"/>
      <c r="AO7" s="72"/>
      <c r="AP7" s="93" t="s">
        <v>987</v>
      </c>
      <c r="AQ7" s="93"/>
      <c r="AR7" s="94"/>
      <c r="AS7" s="119" t="n">
        <f aca="false">Q12</f>
        <v>0.276948</v>
      </c>
      <c r="AT7" s="96" t="s">
        <v>975</v>
      </c>
      <c r="AU7" s="74"/>
      <c r="AV7" s="53"/>
      <c r="AW7" s="53"/>
    </row>
    <row r="8" customFormat="false" ht="15" hidden="false" customHeight="true" outlineLevel="0" collapsed="false">
      <c r="B8" s="107" t="s">
        <v>988</v>
      </c>
      <c r="C8" s="107"/>
      <c r="D8" s="107"/>
      <c r="E8" s="76" t="n">
        <f aca="false">AE18</f>
        <v>8.33</v>
      </c>
      <c r="G8" s="61"/>
      <c r="H8" s="62"/>
      <c r="I8" s="63"/>
      <c r="J8" s="64"/>
      <c r="K8" s="65"/>
      <c r="L8" s="66"/>
      <c r="N8" s="107" t="s">
        <v>989</v>
      </c>
      <c r="O8" s="107"/>
      <c r="P8" s="107"/>
      <c r="Q8" s="120" t="n">
        <f aca="false">IF(E8=0,"No Value",(Q43*Q54)*Q49^2/10^6)</f>
        <v>0.0961637633943355</v>
      </c>
      <c r="S8" s="107" t="s">
        <v>989</v>
      </c>
      <c r="T8" s="107"/>
      <c r="U8" s="107"/>
      <c r="V8" s="120" t="n">
        <f aca="false">IF(E8=0,"No Value",(V43*V54)*V49^2/10^6)</f>
        <v>195.303308233886</v>
      </c>
      <c r="X8" s="53"/>
      <c r="Y8" s="53"/>
      <c r="Z8" s="53"/>
      <c r="AA8" s="53"/>
      <c r="AB8" s="68"/>
      <c r="AC8" s="121"/>
      <c r="AD8" s="116"/>
      <c r="AE8" s="117"/>
      <c r="AF8" s="118"/>
      <c r="AG8" s="72"/>
      <c r="AH8" s="122"/>
      <c r="AI8" s="123"/>
      <c r="AJ8" s="124"/>
      <c r="AK8" s="72"/>
      <c r="AL8" s="105"/>
      <c r="AM8" s="91" t="n">
        <v>13</v>
      </c>
      <c r="AN8" s="106"/>
      <c r="AO8" s="72"/>
      <c r="AP8" s="93"/>
      <c r="AQ8" s="93"/>
      <c r="AR8" s="94"/>
      <c r="AS8" s="119"/>
      <c r="AT8" s="96"/>
      <c r="AU8" s="74"/>
      <c r="AV8" s="53"/>
      <c r="AW8" s="53"/>
    </row>
    <row r="9" customFormat="false" ht="16.2" hidden="false" customHeight="false" outlineLevel="0" collapsed="false">
      <c r="B9" s="77" t="s">
        <v>990</v>
      </c>
      <c r="C9" s="77"/>
      <c r="D9" s="77"/>
      <c r="E9" s="76"/>
      <c r="G9" s="61"/>
      <c r="H9" s="62"/>
      <c r="I9" s="63"/>
      <c r="J9" s="64"/>
      <c r="K9" s="65"/>
      <c r="L9" s="66"/>
      <c r="N9" s="77" t="s">
        <v>991</v>
      </c>
      <c r="O9" s="77"/>
      <c r="P9" s="77"/>
      <c r="Q9" s="120" t="n">
        <f aca="false">(Q43*Q51)*Q49^2/10^6</f>
        <v>0.0896752901157487</v>
      </c>
      <c r="S9" s="77" t="s">
        <v>991</v>
      </c>
      <c r="T9" s="77"/>
      <c r="U9" s="77"/>
      <c r="V9" s="120" t="n">
        <f aca="false">(V43*V51)*V49^2/10^6</f>
        <v>215.321844303289</v>
      </c>
      <c r="X9" s="53"/>
      <c r="Y9" s="53"/>
      <c r="Z9" s="53"/>
      <c r="AA9" s="53"/>
      <c r="AB9" s="68"/>
      <c r="AC9" s="87"/>
      <c r="AD9" s="88"/>
      <c r="AE9" s="108"/>
      <c r="AF9" s="80"/>
      <c r="AG9" s="72"/>
      <c r="AH9" s="122"/>
      <c r="AI9" s="123"/>
      <c r="AJ9" s="124"/>
      <c r="AK9" s="72"/>
      <c r="AL9" s="105"/>
      <c r="AM9" s="125" t="s">
        <v>992</v>
      </c>
      <c r="AN9" s="106"/>
      <c r="AO9" s="72"/>
      <c r="AP9" s="111"/>
      <c r="AQ9" s="112"/>
      <c r="AR9" s="113"/>
      <c r="AS9" s="114"/>
      <c r="AT9" s="85"/>
      <c r="AU9" s="74"/>
      <c r="AV9" s="53"/>
      <c r="AW9" s="53"/>
    </row>
    <row r="10" customFormat="false" ht="15" hidden="false" customHeight="true" outlineLevel="0" collapsed="false">
      <c r="B10" s="77" t="s">
        <v>993</v>
      </c>
      <c r="C10" s="77"/>
      <c r="D10" s="77"/>
      <c r="E10" s="76" t="n">
        <v>25</v>
      </c>
      <c r="G10" s="126"/>
      <c r="H10" s="127"/>
      <c r="I10" s="128"/>
      <c r="J10" s="129"/>
      <c r="K10" s="130"/>
      <c r="L10" s="131"/>
      <c r="N10" s="77" t="s">
        <v>994</v>
      </c>
      <c r="O10" s="77"/>
      <c r="P10" s="77"/>
      <c r="Q10" s="120" t="n">
        <f aca="false">(Q43*Q50)*Q49^2/10^6</f>
        <v>0.0961637633943355</v>
      </c>
      <c r="S10" s="77" t="s">
        <v>994</v>
      </c>
      <c r="T10" s="77"/>
      <c r="U10" s="77"/>
      <c r="V10" s="120" t="n">
        <f aca="false">(V43*V50)*V49^2/10^6</f>
        <v>195.303308233886</v>
      </c>
      <c r="X10" s="53"/>
      <c r="Y10" s="53"/>
      <c r="Z10" s="53"/>
      <c r="AA10" s="53"/>
      <c r="AB10" s="68"/>
      <c r="AC10" s="99" t="s">
        <v>995</v>
      </c>
      <c r="AD10" s="100"/>
      <c r="AE10" s="91" t="n">
        <v>100</v>
      </c>
      <c r="AF10" s="96" t="s">
        <v>996</v>
      </c>
      <c r="AG10" s="72"/>
      <c r="AH10" s="122"/>
      <c r="AI10" s="123"/>
      <c r="AJ10" s="124"/>
      <c r="AK10" s="72"/>
      <c r="AL10" s="78"/>
      <c r="AM10" s="53"/>
      <c r="AN10" s="80"/>
      <c r="AO10" s="72"/>
      <c r="AP10" s="93" t="s">
        <v>997</v>
      </c>
      <c r="AQ10" s="93"/>
      <c r="AR10" s="68"/>
      <c r="AS10" s="119" t="n">
        <f aca="false">Q8</f>
        <v>0.0961637633943355</v>
      </c>
      <c r="AT10" s="96" t="s">
        <v>975</v>
      </c>
      <c r="AU10" s="74"/>
      <c r="AV10" s="53"/>
      <c r="AW10" s="53"/>
    </row>
    <row r="11" customFormat="false" ht="15" hidden="false" customHeight="true" outlineLevel="0" collapsed="false">
      <c r="B11" s="77" t="s">
        <v>998</v>
      </c>
      <c r="C11" s="77"/>
      <c r="D11" s="77"/>
      <c r="E11" s="76" t="n">
        <f aca="false">AE16</f>
        <v>1</v>
      </c>
      <c r="N11" s="77" t="s">
        <v>999</v>
      </c>
      <c r="O11" s="77"/>
      <c r="P11" s="77"/>
      <c r="Q11" s="120" t="n">
        <f aca="false">(Q43*Q52)*Q49^2/10^6</f>
        <v>0.10317546558172</v>
      </c>
      <c r="S11" s="77" t="s">
        <v>999</v>
      </c>
      <c r="T11" s="77"/>
      <c r="U11" s="77"/>
      <c r="V11" s="120" t="n">
        <f aca="false">(V43*V52)*V49^2/10^6</f>
        <v>176.261286088831</v>
      </c>
      <c r="X11" s="53"/>
      <c r="Y11" s="53"/>
      <c r="Z11" s="53"/>
      <c r="AA11" s="53"/>
      <c r="AB11" s="68"/>
      <c r="AC11" s="87"/>
      <c r="AD11" s="88"/>
      <c r="AE11" s="132"/>
      <c r="AF11" s="80"/>
      <c r="AG11" s="72"/>
      <c r="AH11" s="122"/>
      <c r="AI11" s="123"/>
      <c r="AJ11" s="124"/>
      <c r="AK11" s="72"/>
      <c r="AL11" s="78"/>
      <c r="AM11" s="53"/>
      <c r="AN11" s="80"/>
      <c r="AO11" s="72"/>
      <c r="AP11" s="93"/>
      <c r="AQ11" s="93"/>
      <c r="AR11" s="68"/>
      <c r="AS11" s="119"/>
      <c r="AT11" s="96"/>
      <c r="AU11" s="74"/>
      <c r="AV11" s="53"/>
      <c r="AW11" s="53"/>
    </row>
    <row r="12" customFormat="false" ht="16.2" hidden="false" customHeight="false" outlineLevel="0" collapsed="false">
      <c r="N12" s="77" t="s">
        <v>1000</v>
      </c>
      <c r="O12" s="77"/>
      <c r="P12" s="77"/>
      <c r="Q12" s="120" t="n">
        <f aca="false">(Q7)*Q49^2/10^6</f>
        <v>0.276948</v>
      </c>
      <c r="S12" s="77" t="s">
        <v>1000</v>
      </c>
      <c r="T12" s="77"/>
      <c r="U12" s="77"/>
      <c r="V12" s="120" t="n">
        <f aca="false">(V7)*V49^2/10^6</f>
        <v>0.055539</v>
      </c>
      <c r="X12" s="53"/>
      <c r="Y12" s="53"/>
      <c r="Z12" s="53"/>
      <c r="AA12" s="53"/>
      <c r="AB12" s="68"/>
      <c r="AC12" s="87"/>
      <c r="AD12" s="88"/>
      <c r="AE12" s="54"/>
      <c r="AF12" s="80"/>
      <c r="AG12" s="72"/>
      <c r="AH12" s="122"/>
      <c r="AI12" s="123"/>
      <c r="AJ12" s="124"/>
      <c r="AK12" s="72"/>
      <c r="AL12" s="133" t="s">
        <v>15</v>
      </c>
      <c r="AM12" s="133"/>
      <c r="AN12" s="133"/>
      <c r="AO12" s="72"/>
      <c r="AP12" s="134"/>
      <c r="AQ12" s="135"/>
      <c r="AR12" s="68"/>
      <c r="AS12" s="136"/>
      <c r="AT12" s="137"/>
      <c r="AU12" s="74"/>
      <c r="AV12" s="53"/>
      <c r="AW12" s="53"/>
    </row>
    <row r="13" customFormat="false" ht="15.75" hidden="false" customHeight="true" outlineLevel="0" collapsed="false">
      <c r="N13" s="77" t="s">
        <v>1001</v>
      </c>
      <c r="O13" s="77"/>
      <c r="P13" s="77"/>
      <c r="Q13" s="120" t="n">
        <f aca="false">(Q7*Q53)*Q49^2/10^6</f>
        <v>0.05657312311055</v>
      </c>
      <c r="S13" s="77" t="s">
        <v>1001</v>
      </c>
      <c r="T13" s="77"/>
      <c r="U13" s="77"/>
      <c r="V13" s="120" t="n">
        <f aca="false">(V7*V53)*V49^2/10^6</f>
        <v>455.124283193008</v>
      </c>
      <c r="X13" s="53"/>
      <c r="Y13" s="53"/>
      <c r="Z13" s="53"/>
      <c r="AA13" s="53"/>
      <c r="AB13" s="68"/>
      <c r="AC13" s="99" t="s">
        <v>1002</v>
      </c>
      <c r="AD13" s="100"/>
      <c r="AE13" s="91" t="n">
        <v>0.096</v>
      </c>
      <c r="AF13" s="96" t="s">
        <v>975</v>
      </c>
      <c r="AG13" s="72"/>
      <c r="AH13" s="138"/>
      <c r="AI13" s="139"/>
      <c r="AJ13" s="140"/>
      <c r="AK13" s="72"/>
      <c r="AL13" s="141" t="str">
        <f aca="false">Q5</f>
        <v>MPP</v>
      </c>
      <c r="AM13" s="141"/>
      <c r="AN13" s="141"/>
      <c r="AO13" s="72"/>
      <c r="AP13" s="142" t="s">
        <v>1003</v>
      </c>
      <c r="AQ13" s="142"/>
      <c r="AR13" s="53"/>
      <c r="AS13" s="119" t="n">
        <f aca="false">Q15</f>
        <v>0.0292552544971641</v>
      </c>
      <c r="AT13" s="96" t="s">
        <v>1004</v>
      </c>
      <c r="AU13" s="74"/>
      <c r="AV13" s="53"/>
      <c r="AW13" s="53"/>
    </row>
    <row r="14" customFormat="false" ht="16.2" hidden="false" customHeight="false" outlineLevel="0" collapsed="false">
      <c r="B14" s="143"/>
      <c r="C14" s="143" t="s">
        <v>1005</v>
      </c>
      <c r="D14" s="143"/>
      <c r="G14" s="144" t="s">
        <v>33</v>
      </c>
      <c r="H14" s="144"/>
      <c r="I14" s="144"/>
      <c r="J14" s="145" t="s">
        <v>1006</v>
      </c>
      <c r="K14" s="145"/>
      <c r="L14" s="145"/>
      <c r="N14" s="77" t="s">
        <v>1007</v>
      </c>
      <c r="O14" s="77"/>
      <c r="P14" s="77"/>
      <c r="Q14" s="146" t="n">
        <f aca="false">0.292*(Q22^1.065)*Q94/Q45</f>
        <v>1.61045045620858</v>
      </c>
      <c r="S14" s="77" t="s">
        <v>1007</v>
      </c>
      <c r="T14" s="77"/>
      <c r="U14" s="77"/>
      <c r="V14" s="146" t="n">
        <f aca="false">0.292*(V22^1.065)*V94/V45</f>
        <v>0.798095012751509</v>
      </c>
      <c r="X14" s="53"/>
      <c r="Y14" s="53"/>
      <c r="Z14" s="53"/>
      <c r="AA14" s="53"/>
      <c r="AB14" s="68"/>
      <c r="AC14" s="87"/>
      <c r="AD14" s="88"/>
      <c r="AE14" s="132"/>
      <c r="AF14" s="80"/>
      <c r="AG14" s="72"/>
      <c r="AH14" s="147"/>
      <c r="AI14" s="148"/>
      <c r="AJ14" s="149"/>
      <c r="AK14" s="74"/>
      <c r="AL14" s="133" t="s">
        <v>1008</v>
      </c>
      <c r="AM14" s="133"/>
      <c r="AN14" s="133"/>
      <c r="AO14" s="68"/>
      <c r="AP14" s="150"/>
      <c r="AQ14" s="151"/>
      <c r="AR14" s="53"/>
      <c r="AS14" s="152"/>
      <c r="AT14" s="85"/>
      <c r="AU14" s="74"/>
      <c r="AV14" s="53"/>
      <c r="AW14" s="53"/>
    </row>
    <row r="15" customFormat="false" ht="15" hidden="false" customHeight="true" outlineLevel="0" collapsed="false">
      <c r="B15" s="153" t="s">
        <v>1009</v>
      </c>
      <c r="C15" s="153"/>
      <c r="D15" s="153"/>
      <c r="E15" s="154" t="n">
        <f aca="false">E3*E16^2</f>
        <v>7.344121176</v>
      </c>
      <c r="G15" s="155"/>
      <c r="H15" s="156"/>
      <c r="I15" s="157"/>
      <c r="J15" s="158"/>
      <c r="K15" s="159"/>
      <c r="L15" s="160"/>
      <c r="N15" s="77" t="s">
        <v>1003</v>
      </c>
      <c r="O15" s="77"/>
      <c r="P15" s="77"/>
      <c r="Q15" s="146" t="n">
        <f aca="false">(Q62*Q46)/1000</f>
        <v>0.0292552544971641</v>
      </c>
      <c r="S15" s="77" t="s">
        <v>1003</v>
      </c>
      <c r="T15" s="77"/>
      <c r="U15" s="77"/>
      <c r="V15" s="146" t="n">
        <f aca="false">(V62*V46)/1000</f>
        <v>0.0295518863635886</v>
      </c>
      <c r="X15" s="53"/>
      <c r="Y15" s="53"/>
      <c r="Z15" s="53"/>
      <c r="AA15" s="53"/>
      <c r="AB15" s="68"/>
      <c r="AC15" s="87"/>
      <c r="AD15" s="88"/>
      <c r="AE15" s="54"/>
      <c r="AF15" s="80"/>
      <c r="AG15" s="72"/>
      <c r="AH15" s="53"/>
      <c r="AI15" s="53"/>
      <c r="AJ15" s="53"/>
      <c r="AK15" s="74"/>
      <c r="AL15" s="141" t="n">
        <f aca="false">Q65</f>
        <v>27.69</v>
      </c>
      <c r="AM15" s="141"/>
      <c r="AN15" s="141"/>
      <c r="AO15" s="68"/>
      <c r="AP15" s="142" t="s">
        <v>1010</v>
      </c>
      <c r="AQ15" s="142"/>
      <c r="AR15" s="68"/>
      <c r="AS15" s="119" t="n">
        <f aca="false">Q16</f>
        <v>1.0467690591498</v>
      </c>
      <c r="AT15" s="96" t="s">
        <v>1004</v>
      </c>
      <c r="AU15" s="74"/>
      <c r="AV15" s="53"/>
      <c r="AW15" s="53"/>
    </row>
    <row r="16" customFormat="false" ht="15" hidden="false" customHeight="true" outlineLevel="0" collapsed="false">
      <c r="B16" s="153" t="s">
        <v>1011</v>
      </c>
      <c r="C16" s="153"/>
      <c r="D16" s="153"/>
      <c r="E16" s="161" t="n">
        <f aca="false">IF(E4=0,E6/2,E4+(0.5*E6))</f>
        <v>8.7465</v>
      </c>
      <c r="G16" s="155"/>
      <c r="H16" s="156"/>
      <c r="I16" s="157"/>
      <c r="J16" s="158"/>
      <c r="K16" s="159"/>
      <c r="L16" s="160"/>
      <c r="N16" s="77" t="s">
        <v>1010</v>
      </c>
      <c r="O16" s="77"/>
      <c r="P16" s="77"/>
      <c r="Q16" s="146" t="n">
        <f aca="false">E4^2*Q38/1000+E5^2*Q39/1000</f>
        <v>1.0467690591498</v>
      </c>
      <c r="S16" s="77" t="s">
        <v>1010</v>
      </c>
      <c r="T16" s="77"/>
      <c r="U16" s="77"/>
      <c r="V16" s="146" t="e">
        <f aca="false">IF(V29=1,#REF!+#REF!,#REF!+#REF!)</f>
        <v>#REF!</v>
      </c>
      <c r="X16" s="53"/>
      <c r="Y16" s="53"/>
      <c r="Z16" s="53"/>
      <c r="AA16" s="53"/>
      <c r="AB16" s="68"/>
      <c r="AC16" s="87" t="s">
        <v>1012</v>
      </c>
      <c r="AD16" s="100"/>
      <c r="AE16" s="91" t="n">
        <v>1</v>
      </c>
      <c r="AF16" s="162"/>
      <c r="AG16" s="72"/>
      <c r="AH16" s="53"/>
      <c r="AI16" s="53"/>
      <c r="AJ16" s="53"/>
      <c r="AK16" s="74"/>
      <c r="AL16" s="133" t="s">
        <v>1013</v>
      </c>
      <c r="AM16" s="133"/>
      <c r="AN16" s="133"/>
      <c r="AO16" s="68"/>
      <c r="AP16" s="150"/>
      <c r="AQ16" s="151"/>
      <c r="AR16" s="68"/>
      <c r="AS16" s="53"/>
      <c r="AT16" s="96"/>
      <c r="AU16" s="74"/>
      <c r="AV16" s="53"/>
      <c r="AW16" s="53"/>
    </row>
    <row r="17" customFormat="false" ht="15" hidden="false" customHeight="false" outlineLevel="0" collapsed="false">
      <c r="B17" s="77" t="s">
        <v>1014</v>
      </c>
      <c r="C17" s="77"/>
      <c r="D17" s="77"/>
      <c r="E17" s="161" t="n">
        <f aca="false">IF(E4=0,E6/2,E4-(0.5*E6))</f>
        <v>7.9135</v>
      </c>
      <c r="G17" s="155"/>
      <c r="H17" s="156"/>
      <c r="I17" s="157"/>
      <c r="J17" s="158"/>
      <c r="K17" s="159"/>
      <c r="L17" s="160"/>
      <c r="N17" s="77" t="s">
        <v>1015</v>
      </c>
      <c r="O17" s="77"/>
      <c r="P17" s="77"/>
      <c r="Q17" s="146" t="n">
        <f aca="false">Q15+Q16</f>
        <v>1.07602431364696</v>
      </c>
      <c r="S17" s="77" t="s">
        <v>1015</v>
      </c>
      <c r="T17" s="77"/>
      <c r="U17" s="77"/>
      <c r="V17" s="146" t="e">
        <f aca="false">V15+V16</f>
        <v>#REF!</v>
      </c>
      <c r="X17" s="53"/>
      <c r="Y17" s="53"/>
      <c r="Z17" s="53"/>
      <c r="AA17" s="53"/>
      <c r="AB17" s="68"/>
      <c r="AC17" s="78"/>
      <c r="AD17" s="74"/>
      <c r="AE17" s="163"/>
      <c r="AF17" s="80"/>
      <c r="AG17" s="164"/>
      <c r="AH17" s="53"/>
      <c r="AI17" s="53"/>
      <c r="AJ17" s="53"/>
      <c r="AK17" s="74"/>
      <c r="AL17" s="141" t="n">
        <f aca="false">Q66</f>
        <v>14.1</v>
      </c>
      <c r="AM17" s="141"/>
      <c r="AN17" s="141"/>
      <c r="AO17" s="68"/>
      <c r="AP17" s="111" t="s">
        <v>1016</v>
      </c>
      <c r="AQ17" s="112"/>
      <c r="AR17" s="68"/>
      <c r="AS17" s="119" t="n">
        <f aca="false">Q17</f>
        <v>1.07602431364696</v>
      </c>
      <c r="AT17" s="96" t="s">
        <v>1004</v>
      </c>
      <c r="AU17" s="74"/>
      <c r="AV17" s="53"/>
      <c r="AW17" s="53"/>
    </row>
    <row r="18" customFormat="false" ht="33.75" hidden="false" customHeight="true" outlineLevel="0" collapsed="false">
      <c r="B18" s="77" t="s">
        <v>1017</v>
      </c>
      <c r="C18" s="77"/>
      <c r="D18" s="77"/>
      <c r="E18" s="98" t="n">
        <f aca="false">E4</f>
        <v>8.33</v>
      </c>
      <c r="G18" s="155"/>
      <c r="H18" s="156"/>
      <c r="I18" s="157"/>
      <c r="J18" s="158"/>
      <c r="K18" s="159"/>
      <c r="L18" s="160"/>
      <c r="N18" s="77" t="s">
        <v>1018</v>
      </c>
      <c r="O18" s="77"/>
      <c r="P18" s="77"/>
      <c r="Q18" s="165" t="n">
        <f aca="false">Q33*Q49/Q44</f>
        <v>0.764615384615384</v>
      </c>
      <c r="S18" s="77" t="s">
        <v>1018</v>
      </c>
      <c r="T18" s="77"/>
      <c r="U18" s="77"/>
      <c r="V18" s="165" t="n">
        <f aca="false">V33*V49/V44</f>
        <v>7.3751677852349</v>
      </c>
      <c r="X18" s="53"/>
      <c r="Y18" s="53"/>
      <c r="Z18" s="53"/>
      <c r="AA18" s="53"/>
      <c r="AB18" s="68"/>
      <c r="AC18" s="115" t="s">
        <v>1019</v>
      </c>
      <c r="AD18" s="116"/>
      <c r="AE18" s="117" t="n">
        <v>8.33</v>
      </c>
      <c r="AF18" s="96" t="s">
        <v>978</v>
      </c>
      <c r="AG18" s="74"/>
      <c r="AH18" s="53"/>
      <c r="AI18" s="53"/>
      <c r="AJ18" s="53"/>
      <c r="AK18" s="53"/>
      <c r="AL18" s="133" t="s">
        <v>1020</v>
      </c>
      <c r="AM18" s="133"/>
      <c r="AN18" s="133"/>
      <c r="AO18" s="68"/>
      <c r="AP18" s="150"/>
      <c r="AQ18" s="151"/>
      <c r="AR18" s="53"/>
      <c r="AS18" s="152"/>
      <c r="AT18" s="85"/>
      <c r="AU18" s="74"/>
      <c r="AV18" s="53"/>
      <c r="AW18" s="53"/>
    </row>
    <row r="19" customFormat="false" ht="15" hidden="false" customHeight="false" outlineLevel="0" collapsed="false">
      <c r="B19" s="77" t="s">
        <v>1021</v>
      </c>
      <c r="C19" s="77"/>
      <c r="D19" s="77"/>
      <c r="E19" s="166" t="n">
        <f aca="false">(E4*SQRT(2))+(E6/2)</f>
        <v>12.1968989745679</v>
      </c>
      <c r="G19" s="155"/>
      <c r="H19" s="156"/>
      <c r="I19" s="157"/>
      <c r="J19" s="158"/>
      <c r="K19" s="159"/>
      <c r="L19" s="160"/>
      <c r="N19" s="77" t="s">
        <v>1022</v>
      </c>
      <c r="O19" s="77"/>
      <c r="P19" s="77"/>
      <c r="Q19" s="146" t="n">
        <f aca="false">Q38</f>
        <v>15.0541757642088</v>
      </c>
      <c r="S19" s="77" t="s">
        <v>1023</v>
      </c>
      <c r="T19" s="77"/>
      <c r="U19" s="77"/>
      <c r="V19" s="146" t="n">
        <f aca="false">V38</f>
        <v>-2.35510939348943</v>
      </c>
      <c r="X19" s="53"/>
      <c r="Y19" s="53"/>
      <c r="Z19" s="53"/>
      <c r="AA19" s="53"/>
      <c r="AB19" s="68"/>
      <c r="AC19" s="78"/>
      <c r="AD19" s="74"/>
      <c r="AE19" s="57"/>
      <c r="AF19" s="80"/>
      <c r="AG19" s="74"/>
      <c r="AH19" s="167"/>
      <c r="AI19" s="167"/>
      <c r="AJ19" s="167"/>
      <c r="AK19" s="53"/>
      <c r="AL19" s="141" t="n">
        <f aca="false">Q67/AE16</f>
        <v>12</v>
      </c>
      <c r="AM19" s="141"/>
      <c r="AN19" s="141"/>
      <c r="AO19" s="68"/>
      <c r="AP19" s="168" t="s">
        <v>1024</v>
      </c>
      <c r="AQ19" s="112"/>
      <c r="AR19" s="68"/>
      <c r="AS19" s="169" t="n">
        <f aca="false">Q20</f>
        <v>14.877288279947</v>
      </c>
      <c r="AT19" s="96" t="s">
        <v>1025</v>
      </c>
      <c r="AU19" s="74"/>
      <c r="AV19" s="53"/>
      <c r="AW19" s="53"/>
    </row>
    <row r="20" customFormat="false" ht="16.2" hidden="false" customHeight="false" outlineLevel="0" collapsed="false">
      <c r="B20" s="77" t="s">
        <v>1026</v>
      </c>
      <c r="C20" s="77"/>
      <c r="D20" s="77"/>
      <c r="E20" s="98" t="n">
        <f aca="false">E8</f>
        <v>8.33</v>
      </c>
      <c r="G20" s="155"/>
      <c r="H20" s="156"/>
      <c r="I20" s="157"/>
      <c r="J20" s="158"/>
      <c r="K20" s="159"/>
      <c r="L20" s="160"/>
      <c r="N20" s="77" t="s">
        <v>1027</v>
      </c>
      <c r="O20" s="77"/>
      <c r="P20" s="77"/>
      <c r="Q20" s="170" t="n">
        <f aca="false">(Q17*1000/Q40)^0.833</f>
        <v>14.877288279947</v>
      </c>
      <c r="S20" s="77" t="s">
        <v>1027</v>
      </c>
      <c r="T20" s="77"/>
      <c r="U20" s="77"/>
      <c r="V20" s="170" t="e">
        <f aca="false">V21-E10</f>
        <v>#REF!</v>
      </c>
      <c r="X20" s="53"/>
      <c r="Y20" s="53"/>
      <c r="Z20" s="53"/>
      <c r="AA20" s="53"/>
      <c r="AB20" s="68"/>
      <c r="AC20" s="171" t="s">
        <v>1024</v>
      </c>
      <c r="AD20" s="172"/>
      <c r="AE20" s="91" t="n">
        <v>80</v>
      </c>
      <c r="AF20" s="173" t="s">
        <v>1025</v>
      </c>
      <c r="AG20" s="74"/>
      <c r="AH20" s="53"/>
      <c r="AI20" s="53"/>
      <c r="AJ20" s="53"/>
      <c r="AK20" s="53"/>
      <c r="AL20" s="133" t="s">
        <v>1028</v>
      </c>
      <c r="AM20" s="133"/>
      <c r="AN20" s="133"/>
      <c r="AO20" s="68"/>
      <c r="AP20" s="150"/>
      <c r="AQ20" s="151"/>
      <c r="AR20" s="53"/>
      <c r="AS20" s="152"/>
      <c r="AT20" s="85"/>
      <c r="AU20" s="74"/>
      <c r="AV20" s="53"/>
      <c r="AW20" s="53"/>
    </row>
    <row r="21" customFormat="false" ht="15" hidden="false" customHeight="false" outlineLevel="0" collapsed="false">
      <c r="B21" s="77" t="s">
        <v>1029</v>
      </c>
      <c r="C21" s="77"/>
      <c r="D21" s="77"/>
      <c r="E21" s="98" t="n">
        <v>6</v>
      </c>
      <c r="G21" s="155"/>
      <c r="H21" s="156"/>
      <c r="I21" s="157"/>
      <c r="J21" s="158"/>
      <c r="K21" s="159"/>
      <c r="L21" s="160"/>
      <c r="N21" s="77" t="s">
        <v>1030</v>
      </c>
      <c r="O21" s="77"/>
      <c r="P21" s="77"/>
      <c r="Q21" s="170" t="n">
        <f aca="false">Q20+$E$10</f>
        <v>39.877288279947</v>
      </c>
      <c r="S21" s="77" t="s">
        <v>1030</v>
      </c>
      <c r="T21" s="77"/>
      <c r="U21" s="77"/>
      <c r="V21" s="170" t="e">
        <f aca="false">IF(V29=1,#REF!,#REF!)</f>
        <v>#REF!</v>
      </c>
      <c r="X21" s="53"/>
      <c r="Y21" s="53"/>
      <c r="Z21" s="53"/>
      <c r="AA21" s="53"/>
      <c r="AB21" s="68"/>
      <c r="AC21" s="174"/>
      <c r="AD21" s="175"/>
      <c r="AE21" s="176"/>
      <c r="AF21" s="177"/>
      <c r="AG21" s="74"/>
      <c r="AH21" s="53"/>
      <c r="AI21" s="53"/>
      <c r="AJ21" s="53"/>
      <c r="AK21" s="53"/>
      <c r="AL21" s="178" t="n">
        <f aca="false">Q6</f>
        <v>125</v>
      </c>
      <c r="AM21" s="178"/>
      <c r="AN21" s="178"/>
      <c r="AO21" s="68"/>
      <c r="AP21" s="111" t="s">
        <v>1031</v>
      </c>
      <c r="AQ21" s="112"/>
      <c r="AR21" s="94"/>
      <c r="AS21" s="179" t="n">
        <f aca="false">Q49</f>
        <v>42</v>
      </c>
      <c r="AT21" s="96"/>
      <c r="AU21" s="74"/>
      <c r="AV21" s="53"/>
      <c r="AW21" s="53"/>
    </row>
    <row r="22" customFormat="false" ht="15.6" hidden="false" customHeight="false" outlineLevel="0" collapsed="false">
      <c r="G22" s="155"/>
      <c r="H22" s="156"/>
      <c r="I22" s="157"/>
      <c r="J22" s="158"/>
      <c r="K22" s="159"/>
      <c r="L22" s="160"/>
      <c r="N22" s="77" t="s">
        <v>1031</v>
      </c>
      <c r="O22" s="77"/>
      <c r="P22" s="77"/>
      <c r="Q22" s="98" t="n">
        <f aca="false">Q49</f>
        <v>42</v>
      </c>
      <c r="S22" s="77" t="s">
        <v>1031</v>
      </c>
      <c r="T22" s="77"/>
      <c r="U22" s="77"/>
      <c r="V22" s="98" t="n">
        <f aca="false">V49</f>
        <v>33</v>
      </c>
      <c r="X22" s="53"/>
      <c r="Y22" s="53"/>
      <c r="Z22" s="53"/>
      <c r="AA22" s="53"/>
      <c r="AB22" s="68"/>
      <c r="AC22" s="180"/>
      <c r="AD22" s="181"/>
      <c r="AE22" s="180"/>
      <c r="AF22" s="180"/>
      <c r="AG22" s="74"/>
      <c r="AH22" s="53"/>
      <c r="AI22" s="53"/>
      <c r="AJ22" s="53"/>
      <c r="AK22" s="53"/>
      <c r="AL22" s="133" t="s">
        <v>1032</v>
      </c>
      <c r="AM22" s="133"/>
      <c r="AN22" s="133"/>
      <c r="AO22" s="68"/>
      <c r="AP22" s="111"/>
      <c r="AQ22" s="112"/>
      <c r="AR22" s="113"/>
      <c r="AS22" s="182"/>
      <c r="AT22" s="85"/>
      <c r="AU22" s="74"/>
      <c r="AV22" s="53"/>
      <c r="AW22" s="53"/>
    </row>
    <row r="23" customFormat="false" ht="15" hidden="false" customHeight="false" outlineLevel="0" collapsed="false">
      <c r="G23" s="183"/>
      <c r="H23" s="184"/>
      <c r="I23" s="185"/>
      <c r="J23" s="186"/>
      <c r="K23" s="187"/>
      <c r="L23" s="188"/>
      <c r="N23" s="107" t="s">
        <v>1033</v>
      </c>
      <c r="O23" s="107"/>
      <c r="P23" s="107"/>
      <c r="Q23" s="98" t="n">
        <f aca="false">COUNTIF(Q73:Q76,"&gt;0")</f>
        <v>3</v>
      </c>
      <c r="S23" s="107" t="s">
        <v>1033</v>
      </c>
      <c r="T23" s="107"/>
      <c r="U23" s="107"/>
      <c r="V23" s="98" t="n">
        <f aca="false">COUNTIF(V73:V76,"&gt;0")</f>
        <v>1</v>
      </c>
      <c r="X23" s="53"/>
      <c r="Y23" s="53"/>
      <c r="Z23" s="53"/>
      <c r="AA23" s="53"/>
      <c r="AB23" s="53"/>
      <c r="AC23" s="53"/>
      <c r="AD23" s="74"/>
      <c r="AE23" s="53"/>
      <c r="AF23" s="53"/>
      <c r="AG23" s="53"/>
      <c r="AH23" s="53"/>
      <c r="AI23" s="53"/>
      <c r="AJ23" s="53"/>
      <c r="AK23" s="53"/>
      <c r="AL23" s="189" t="n">
        <f aca="false">Q7/Q4</f>
        <v>157</v>
      </c>
      <c r="AM23" s="189"/>
      <c r="AN23" s="189"/>
      <c r="AO23" s="68"/>
      <c r="AP23" s="111"/>
      <c r="AQ23" s="112"/>
      <c r="AR23" s="113"/>
      <c r="AS23" s="112"/>
      <c r="AT23" s="85"/>
      <c r="AU23" s="74"/>
      <c r="AV23" s="53"/>
      <c r="AW23" s="53"/>
    </row>
    <row r="24" customFormat="false" ht="15" hidden="false" customHeight="false" outlineLevel="0" collapsed="false">
      <c r="N24" s="107" t="s">
        <v>1034</v>
      </c>
      <c r="O24" s="107"/>
      <c r="P24" s="107"/>
      <c r="Q24" s="190" t="n">
        <f aca="false">(2*E9*Q29)+(Q81*Q29)</f>
        <v>2293.48080929777</v>
      </c>
      <c r="S24" s="107" t="s">
        <v>1034</v>
      </c>
      <c r="T24" s="107"/>
      <c r="U24" s="107"/>
      <c r="V24" s="191" t="n">
        <f aca="false">(2*E9*V29)+(V81*V29)</f>
        <v>-12969.0287984783</v>
      </c>
      <c r="X24" s="53"/>
      <c r="Y24" s="53"/>
      <c r="Z24" s="53"/>
      <c r="AA24" s="53"/>
      <c r="AB24" s="53"/>
      <c r="AC24" s="53"/>
      <c r="AD24" s="74"/>
      <c r="AE24" s="53"/>
      <c r="AF24" s="53"/>
      <c r="AG24" s="53"/>
      <c r="AH24" s="53"/>
      <c r="AI24" s="53"/>
      <c r="AJ24" s="53"/>
      <c r="AK24" s="53"/>
      <c r="AL24" s="58"/>
      <c r="AM24" s="58"/>
      <c r="AN24" s="58"/>
      <c r="AO24" s="68"/>
      <c r="AP24" s="168" t="s">
        <v>1035</v>
      </c>
      <c r="AQ24" s="112"/>
      <c r="AR24" s="94"/>
      <c r="AS24" s="192" t="n">
        <f aca="false">Q18</f>
        <v>0.764615384615384</v>
      </c>
      <c r="AT24" s="96"/>
      <c r="AU24" s="74"/>
      <c r="AV24" s="53"/>
      <c r="AW24" s="53"/>
    </row>
    <row r="25" customFormat="false" ht="15" hidden="false" customHeight="false" outlineLevel="0" collapsed="false">
      <c r="N25" s="193"/>
      <c r="O25" s="193"/>
      <c r="P25" s="193"/>
      <c r="Q25" s="194"/>
      <c r="S25" s="195"/>
      <c r="T25" s="195"/>
      <c r="U25" s="195"/>
      <c r="V25" s="194"/>
      <c r="X25" s="53"/>
      <c r="Y25" s="53"/>
      <c r="Z25" s="53"/>
      <c r="AA25" s="53"/>
      <c r="AB25" s="53"/>
      <c r="AC25" s="196" t="s">
        <v>1036</v>
      </c>
      <c r="AD25" s="197"/>
      <c r="AE25" s="197"/>
      <c r="AF25" s="198"/>
      <c r="AG25" s="198"/>
      <c r="AH25" s="198"/>
      <c r="AI25" s="198"/>
      <c r="AJ25" s="198"/>
      <c r="AK25" s="198"/>
      <c r="AL25" s="199"/>
      <c r="AM25" s="199"/>
      <c r="AN25" s="200"/>
      <c r="AO25" s="72"/>
      <c r="AP25" s="111"/>
      <c r="AQ25" s="112"/>
      <c r="AR25" s="113"/>
      <c r="AS25" s="182"/>
      <c r="AT25" s="85"/>
      <c r="AU25" s="74"/>
      <c r="AV25" s="53"/>
      <c r="AW25" s="53"/>
    </row>
    <row r="26" customFormat="false" ht="14.4" hidden="false" customHeight="true" outlineLevel="0" collapsed="false">
      <c r="N26" s="201"/>
      <c r="O26" s="201"/>
      <c r="P26" s="201"/>
      <c r="Q26" s="194"/>
      <c r="S26" s="202"/>
      <c r="T26" s="202"/>
      <c r="U26" s="202"/>
      <c r="X26" s="53"/>
      <c r="Y26" s="53"/>
      <c r="Z26" s="53"/>
      <c r="AA26" s="53"/>
      <c r="AB26" s="53"/>
      <c r="AC26" s="203" t="s">
        <v>1037</v>
      </c>
      <c r="AD26" s="204"/>
      <c r="AE26" s="204"/>
      <c r="AF26" s="57"/>
      <c r="AG26" s="57"/>
      <c r="AH26" s="204"/>
      <c r="AI26" s="204"/>
      <c r="AJ26" s="204"/>
      <c r="AK26" s="204"/>
      <c r="AL26" s="53"/>
      <c r="AM26" s="53"/>
      <c r="AN26" s="205"/>
      <c r="AO26" s="72"/>
      <c r="AP26" s="93" t="s">
        <v>1038</v>
      </c>
      <c r="AQ26" s="93"/>
      <c r="AR26" s="94"/>
      <c r="AS26" s="119" t="n">
        <f aca="false">Q19</f>
        <v>15.0541757642088</v>
      </c>
      <c r="AT26" s="96" t="s">
        <v>1039</v>
      </c>
      <c r="AU26" s="74"/>
      <c r="AV26" s="53"/>
      <c r="AW26" s="53"/>
    </row>
    <row r="27" customFormat="false" ht="15" hidden="false" customHeight="false" outlineLevel="0" collapsed="false">
      <c r="N27" s="206" t="s">
        <v>1040</v>
      </c>
      <c r="O27" s="206"/>
      <c r="P27" s="206"/>
      <c r="S27" s="206" t="s">
        <v>1040</v>
      </c>
      <c r="T27" s="206"/>
      <c r="U27" s="206"/>
      <c r="X27" s="53"/>
      <c r="Y27" s="53"/>
      <c r="Z27" s="53"/>
      <c r="AA27" s="53"/>
      <c r="AB27" s="53"/>
      <c r="AC27" s="203" t="s">
        <v>1041</v>
      </c>
      <c r="AD27" s="204"/>
      <c r="AE27" s="204"/>
      <c r="AF27" s="207"/>
      <c r="AG27" s="204"/>
      <c r="AH27" s="204"/>
      <c r="AI27" s="204"/>
      <c r="AJ27" s="204"/>
      <c r="AK27" s="204"/>
      <c r="AL27" s="53"/>
      <c r="AM27" s="53"/>
      <c r="AN27" s="205"/>
      <c r="AO27" s="72"/>
      <c r="AP27" s="93"/>
      <c r="AQ27" s="93"/>
      <c r="AR27" s="94"/>
      <c r="AS27" s="119"/>
      <c r="AT27" s="96"/>
      <c r="AU27" s="74"/>
      <c r="AV27" s="53"/>
      <c r="AW27" s="53"/>
    </row>
    <row r="28" customFormat="false" ht="16.5" hidden="false" customHeight="true" outlineLevel="0" collapsed="false">
      <c r="N28" s="77" t="s">
        <v>1042</v>
      </c>
      <c r="O28" s="77"/>
      <c r="P28" s="77"/>
      <c r="Q28" s="208" t="n">
        <f aca="false">AM8</f>
        <v>13</v>
      </c>
      <c r="S28" s="77" t="s">
        <v>1042</v>
      </c>
      <c r="T28" s="77"/>
      <c r="U28" s="77"/>
      <c r="V28" s="76" t="n">
        <v>7</v>
      </c>
      <c r="X28" s="53"/>
      <c r="Y28" s="53"/>
      <c r="Z28" s="53"/>
      <c r="AA28" s="53"/>
      <c r="AB28" s="53"/>
      <c r="AC28" s="203" t="s">
        <v>1043</v>
      </c>
      <c r="AD28" s="204"/>
      <c r="AE28" s="204"/>
      <c r="AF28" s="207"/>
      <c r="AG28" s="204"/>
      <c r="AH28" s="204"/>
      <c r="AI28" s="204"/>
      <c r="AJ28" s="204"/>
      <c r="AK28" s="204"/>
      <c r="AL28" s="58"/>
      <c r="AM28" s="58"/>
      <c r="AN28" s="209"/>
      <c r="AO28" s="72"/>
      <c r="AP28" s="134"/>
      <c r="AQ28" s="135"/>
      <c r="AR28" s="94"/>
      <c r="AS28" s="152"/>
      <c r="AT28" s="137"/>
      <c r="AU28" s="74"/>
      <c r="AV28" s="53"/>
      <c r="AW28" s="53"/>
    </row>
    <row r="29" customFormat="false" ht="15" hidden="false" customHeight="true" outlineLevel="0" collapsed="false">
      <c r="N29" s="77" t="s">
        <v>1044</v>
      </c>
      <c r="O29" s="77"/>
      <c r="P29" s="77"/>
      <c r="Q29" s="76" t="n">
        <f aca="false">IF(AS38=0,1,AS38)</f>
        <v>1</v>
      </c>
      <c r="S29" s="77" t="s">
        <v>1044</v>
      </c>
      <c r="T29" s="77"/>
      <c r="U29" s="77"/>
      <c r="V29" s="76" t="n">
        <v>3</v>
      </c>
      <c r="X29" s="53"/>
      <c r="Y29" s="53"/>
      <c r="Z29" s="53"/>
      <c r="AA29" s="53"/>
      <c r="AB29" s="53"/>
      <c r="AC29" s="203" t="s">
        <v>1045</v>
      </c>
      <c r="AD29" s="204"/>
      <c r="AE29" s="204"/>
      <c r="AF29" s="207"/>
      <c r="AG29" s="204"/>
      <c r="AH29" s="204"/>
      <c r="AI29" s="204"/>
      <c r="AJ29" s="204"/>
      <c r="AK29" s="204"/>
      <c r="AL29" s="207"/>
      <c r="AM29" s="207"/>
      <c r="AN29" s="210"/>
      <c r="AO29" s="72"/>
      <c r="AP29" s="93" t="s">
        <v>1046</v>
      </c>
      <c r="AQ29" s="93"/>
      <c r="AR29" s="94"/>
      <c r="AS29" s="119" t="n">
        <f aca="false">Q24</f>
        <v>2293.48080929777</v>
      </c>
      <c r="AT29" s="137"/>
      <c r="AU29" s="74"/>
      <c r="AV29" s="53"/>
      <c r="AW29" s="53"/>
    </row>
    <row r="30" customFormat="false" ht="15" hidden="false" customHeight="false" outlineLevel="0" collapsed="false">
      <c r="N30" s="77" t="s">
        <v>1047</v>
      </c>
      <c r="O30" s="77"/>
      <c r="P30" s="77"/>
      <c r="Q30" s="166" t="n">
        <f aca="false">66.3/SQRT(E7*1000)</f>
        <v>0.209659008869164</v>
      </c>
      <c r="S30" s="77" t="s">
        <v>1048</v>
      </c>
      <c r="T30" s="77"/>
      <c r="U30" s="77"/>
      <c r="V30" s="166" t="n">
        <f aca="false">66.3/SQRT(E7*1000)</f>
        <v>0.209659008869164</v>
      </c>
      <c r="X30" s="53"/>
      <c r="Y30" s="53"/>
      <c r="Z30" s="53"/>
      <c r="AA30" s="53"/>
      <c r="AB30" s="53"/>
      <c r="AC30" s="203"/>
      <c r="AD30" s="204"/>
      <c r="AE30" s="204"/>
      <c r="AF30" s="207"/>
      <c r="AG30" s="204"/>
      <c r="AH30" s="204"/>
      <c r="AI30" s="204"/>
      <c r="AJ30" s="204"/>
      <c r="AK30" s="204"/>
      <c r="AL30" s="53"/>
      <c r="AM30" s="53"/>
      <c r="AN30" s="205"/>
      <c r="AO30" s="72"/>
      <c r="AP30" s="93"/>
      <c r="AQ30" s="93"/>
      <c r="AR30" s="94"/>
      <c r="AS30" s="119"/>
      <c r="AT30" s="137" t="s">
        <v>1049</v>
      </c>
      <c r="AU30" s="74"/>
      <c r="AV30" s="53"/>
      <c r="AW30" s="53"/>
    </row>
    <row r="31" customFormat="false" ht="15" hidden="false" customHeight="false" outlineLevel="0" collapsed="false">
      <c r="N31" s="77" t="s">
        <v>7</v>
      </c>
      <c r="O31" s="77"/>
      <c r="P31" s="77"/>
      <c r="Q31" s="211" t="n">
        <f aca="false">VLOOKUP(Q28, 'Wire Table'!$A$4:$N$47,14,0)</f>
        <v>0.9144</v>
      </c>
      <c r="S31" s="77" t="s">
        <v>1050</v>
      </c>
      <c r="T31" s="77"/>
      <c r="U31" s="77"/>
      <c r="V31" s="211" t="n">
        <f aca="false">VLOOKUP(V28, 'Wire Table'!$A$4:$N$47,14,0)</f>
        <v>1.83261</v>
      </c>
      <c r="X31" s="53"/>
      <c r="Y31" s="53"/>
      <c r="Z31" s="53"/>
      <c r="AA31" s="53"/>
      <c r="AB31" s="53"/>
      <c r="AC31" s="203" t="s">
        <v>1051</v>
      </c>
      <c r="AD31" s="204"/>
      <c r="AE31" s="204"/>
      <c r="AF31" s="207"/>
      <c r="AG31" s="204"/>
      <c r="AH31" s="204"/>
      <c r="AI31" s="204"/>
      <c r="AJ31" s="204"/>
      <c r="AK31" s="204"/>
      <c r="AL31" s="53"/>
      <c r="AM31" s="53"/>
      <c r="AN31" s="205"/>
      <c r="AO31" s="72"/>
      <c r="AP31" s="150"/>
      <c r="AQ31" s="151"/>
      <c r="AR31" s="53"/>
      <c r="AS31" s="152"/>
      <c r="AT31" s="85"/>
      <c r="AU31" s="74"/>
      <c r="AV31" s="53"/>
      <c r="AW31" s="53"/>
    </row>
    <row r="32" customFormat="false" ht="15" hidden="false" customHeight="false" outlineLevel="0" collapsed="false">
      <c r="N32" s="107" t="s">
        <v>1052</v>
      </c>
      <c r="O32" s="107"/>
      <c r="P32" s="107"/>
      <c r="Q32" s="98" t="n">
        <f aca="false">VLOOKUP(Q28, 'Wire Table'!$A$4:$J$47,5,0)</f>
        <v>0.0284</v>
      </c>
      <c r="S32" s="107" t="s">
        <v>1052</v>
      </c>
      <c r="T32" s="107"/>
      <c r="U32" s="107"/>
      <c r="V32" s="98" t="n">
        <f aca="false">VLOOKUP(V28, 'Wire Table'!$A$4:$J$47,5,0)</f>
        <v>0.111</v>
      </c>
      <c r="X32" s="53"/>
      <c r="Y32" s="53"/>
      <c r="Z32" s="53"/>
      <c r="AA32" s="53"/>
      <c r="AB32" s="53"/>
      <c r="AC32" s="203"/>
      <c r="AD32" s="204"/>
      <c r="AE32" s="204"/>
      <c r="AF32" s="207"/>
      <c r="AG32" s="204"/>
      <c r="AH32" s="204"/>
      <c r="AI32" s="204"/>
      <c r="AJ32" s="204"/>
      <c r="AK32" s="204"/>
      <c r="AL32" s="53"/>
      <c r="AM32" s="53"/>
      <c r="AN32" s="205"/>
      <c r="AO32" s="68"/>
      <c r="AP32" s="168" t="s">
        <v>1053</v>
      </c>
      <c r="AQ32" s="112"/>
      <c r="AR32" s="68"/>
      <c r="AS32" s="212" t="n">
        <f aca="false">Q120</f>
        <v>40.240417259</v>
      </c>
      <c r="AT32" s="96" t="s">
        <v>1049</v>
      </c>
      <c r="AU32" s="74"/>
      <c r="AV32" s="53"/>
      <c r="AW32" s="53"/>
    </row>
    <row r="33" customFormat="false" ht="15" hidden="false" customHeight="false" outlineLevel="0" collapsed="false">
      <c r="N33" s="77" t="s">
        <v>1054</v>
      </c>
      <c r="O33" s="77"/>
      <c r="P33" s="77"/>
      <c r="Q33" s="98" t="n">
        <f aca="false">Q32*Q29</f>
        <v>0.0284</v>
      </c>
      <c r="S33" s="77" t="s">
        <v>1054</v>
      </c>
      <c r="T33" s="77"/>
      <c r="U33" s="77"/>
      <c r="V33" s="98" t="n">
        <f aca="false">V32*V29</f>
        <v>0.333</v>
      </c>
      <c r="X33" s="53"/>
      <c r="Y33" s="53"/>
      <c r="Z33" s="53"/>
      <c r="AA33" s="53"/>
      <c r="AB33" s="53"/>
      <c r="AC33" s="203" t="s">
        <v>1055</v>
      </c>
      <c r="AD33" s="204"/>
      <c r="AE33" s="204"/>
      <c r="AF33" s="207"/>
      <c r="AG33" s="204"/>
      <c r="AH33" s="204"/>
      <c r="AI33" s="204"/>
      <c r="AJ33" s="204"/>
      <c r="AK33" s="204"/>
      <c r="AL33" s="53"/>
      <c r="AM33" s="53"/>
      <c r="AN33" s="205"/>
      <c r="AO33" s="68"/>
      <c r="AP33" s="150"/>
      <c r="AQ33" s="151"/>
      <c r="AR33" s="53"/>
      <c r="AS33" s="152"/>
      <c r="AT33" s="85"/>
      <c r="AU33" s="74"/>
      <c r="AV33" s="53"/>
      <c r="AW33" s="53"/>
    </row>
    <row r="34" customFormat="false" ht="15" hidden="false" customHeight="false" outlineLevel="0" collapsed="false">
      <c r="N34" s="77" t="s">
        <v>1056</v>
      </c>
      <c r="O34" s="77"/>
      <c r="P34" s="77"/>
      <c r="Q34" s="98" t="n">
        <f aca="false">VLOOKUP(Q28, 'Wire Table'!$A$4:$J$47,2,0)</f>
        <v>5184</v>
      </c>
      <c r="S34" s="77" t="s">
        <v>1056</v>
      </c>
      <c r="T34" s="77"/>
      <c r="U34" s="77"/>
      <c r="V34" s="98" t="n">
        <f aca="false">VLOOKUP(V28, 'Wire Table'!$A$4:$J$47,2,0)</f>
        <v>20820</v>
      </c>
      <c r="X34" s="53"/>
      <c r="Y34" s="53"/>
      <c r="Z34" s="53"/>
      <c r="AA34" s="53"/>
      <c r="AB34" s="53"/>
      <c r="AC34" s="203"/>
      <c r="AD34" s="204"/>
      <c r="AE34" s="204"/>
      <c r="AF34" s="207"/>
      <c r="AG34" s="204"/>
      <c r="AH34" s="204"/>
      <c r="AI34" s="204"/>
      <c r="AJ34" s="204"/>
      <c r="AK34" s="204"/>
      <c r="AL34" s="204"/>
      <c r="AM34" s="204"/>
      <c r="AN34" s="213"/>
      <c r="AO34" s="68"/>
      <c r="AP34" s="168" t="s">
        <v>1057</v>
      </c>
      <c r="AQ34" s="112"/>
      <c r="AR34" s="68"/>
      <c r="AS34" s="212" t="n">
        <f aca="false">Q121</f>
        <v>24.550417259</v>
      </c>
      <c r="AT34" s="96" t="s">
        <v>1049</v>
      </c>
      <c r="AU34" s="74"/>
      <c r="AV34" s="53"/>
      <c r="AW34" s="68"/>
    </row>
    <row r="35" customFormat="false" ht="15" hidden="false" customHeight="false" outlineLevel="0" collapsed="false">
      <c r="C35" s="214"/>
      <c r="D35" s="214"/>
      <c r="E35" s="214"/>
      <c r="N35" s="77" t="s">
        <v>1058</v>
      </c>
      <c r="O35" s="77"/>
      <c r="P35" s="77"/>
      <c r="Q35" s="98" t="n">
        <f aca="false">10.371/Q34*3.281/Q29</f>
        <v>0.00656389872685185</v>
      </c>
      <c r="S35" s="77" t="s">
        <v>1059</v>
      </c>
      <c r="T35" s="77"/>
      <c r="U35" s="77"/>
      <c r="V35" s="98" t="n">
        <f aca="false">10.371/V34*3.281/V29</f>
        <v>0.000544784678194044</v>
      </c>
      <c r="X35" s="53"/>
      <c r="Y35" s="53"/>
      <c r="Z35" s="53"/>
      <c r="AA35" s="53"/>
      <c r="AB35" s="53"/>
      <c r="AC35" s="203" t="s">
        <v>1060</v>
      </c>
      <c r="AD35" s="204"/>
      <c r="AE35" s="204"/>
      <c r="AF35" s="207"/>
      <c r="AG35" s="204"/>
      <c r="AH35" s="204"/>
      <c r="AI35" s="204"/>
      <c r="AJ35" s="204"/>
      <c r="AK35" s="204"/>
      <c r="AL35" s="204"/>
      <c r="AM35" s="204"/>
      <c r="AN35" s="213"/>
      <c r="AO35" s="68"/>
      <c r="AP35" s="150"/>
      <c r="AQ35" s="151"/>
      <c r="AR35" s="53"/>
      <c r="AS35" s="163"/>
      <c r="AT35" s="85"/>
      <c r="AU35" s="74"/>
      <c r="AV35" s="53"/>
      <c r="AW35" s="68"/>
    </row>
    <row r="36" customFormat="false" ht="15" hidden="false" customHeight="false" outlineLevel="0" collapsed="false">
      <c r="C36" s="214"/>
      <c r="D36" s="214"/>
      <c r="E36" s="214"/>
      <c r="N36" s="77" t="s">
        <v>1061</v>
      </c>
      <c r="O36" s="77"/>
      <c r="P36" s="77"/>
      <c r="Q36" s="98" t="n">
        <f aca="false">Q35/1000</f>
        <v>6.56389872685185E-006</v>
      </c>
      <c r="S36" s="77" t="s">
        <v>1062</v>
      </c>
      <c r="T36" s="77"/>
      <c r="U36" s="77"/>
      <c r="V36" s="98" t="n">
        <f aca="false">V35/1000</f>
        <v>5.44784678194044E-007</v>
      </c>
      <c r="X36" s="53"/>
      <c r="Y36" s="53"/>
      <c r="Z36" s="53"/>
      <c r="AA36" s="53"/>
      <c r="AB36" s="53"/>
      <c r="AC36" s="203" t="s">
        <v>1063</v>
      </c>
      <c r="AD36" s="204"/>
      <c r="AE36" s="204"/>
      <c r="AF36" s="207"/>
      <c r="AG36" s="204"/>
      <c r="AH36" s="204"/>
      <c r="AI36" s="204"/>
      <c r="AJ36" s="204"/>
      <c r="AK36" s="204"/>
      <c r="AL36" s="204"/>
      <c r="AM36" s="204"/>
      <c r="AN36" s="213"/>
      <c r="AO36" s="53"/>
      <c r="AP36" s="111" t="s">
        <v>1064</v>
      </c>
      <c r="AQ36" s="112"/>
      <c r="AR36" s="68"/>
      <c r="AS36" s="91" t="n">
        <v>42</v>
      </c>
      <c r="AT36" s="96"/>
      <c r="AU36" s="53"/>
      <c r="AV36" s="53"/>
      <c r="AW36" s="68"/>
    </row>
    <row r="37" customFormat="false" ht="15" hidden="false" customHeight="false" outlineLevel="0" collapsed="false">
      <c r="C37" s="202"/>
      <c r="D37" s="202"/>
      <c r="E37" s="215"/>
      <c r="F37" s="214"/>
      <c r="G37" s="214"/>
      <c r="H37" s="214"/>
      <c r="I37" s="214"/>
      <c r="J37" s="214"/>
      <c r="K37" s="214"/>
      <c r="L37" s="214"/>
      <c r="M37" s="216"/>
      <c r="N37" s="77" t="s">
        <v>1065</v>
      </c>
      <c r="O37" s="77"/>
      <c r="P37" s="77"/>
      <c r="Q37" s="191" t="n">
        <f aca="false">Q82</f>
        <v>54.6066859356612</v>
      </c>
      <c r="S37" s="77" t="s">
        <v>1065</v>
      </c>
      <c r="T37" s="77"/>
      <c r="U37" s="77"/>
      <c r="V37" s="191" t="n">
        <f aca="false">V82</f>
        <v>-131.00029089372</v>
      </c>
      <c r="X37" s="53"/>
      <c r="Y37" s="53"/>
      <c r="Z37" s="53"/>
      <c r="AA37" s="53"/>
      <c r="AB37" s="53"/>
      <c r="AC37" s="203" t="s">
        <v>1066</v>
      </c>
      <c r="AD37" s="204"/>
      <c r="AE37" s="204"/>
      <c r="AF37" s="207"/>
      <c r="AG37" s="204"/>
      <c r="AH37" s="204"/>
      <c r="AI37" s="204"/>
      <c r="AJ37" s="204"/>
      <c r="AK37" s="217"/>
      <c r="AL37" s="204"/>
      <c r="AM37" s="204"/>
      <c r="AN37" s="213"/>
      <c r="AO37" s="53"/>
      <c r="AP37" s="105"/>
      <c r="AQ37" s="57"/>
      <c r="AR37" s="57"/>
      <c r="AS37" s="57"/>
      <c r="AT37" s="218"/>
      <c r="AU37" s="53"/>
      <c r="AV37" s="53"/>
      <c r="AW37" s="68"/>
    </row>
    <row r="38" customFormat="false" ht="15" hidden="false" customHeight="false" outlineLevel="0" collapsed="false">
      <c r="C38" s="202"/>
      <c r="D38" s="202"/>
      <c r="E38" s="202"/>
      <c r="F38" s="214"/>
      <c r="G38" s="214"/>
      <c r="H38" s="214"/>
      <c r="I38" s="214"/>
      <c r="J38" s="214"/>
      <c r="K38" s="214"/>
      <c r="L38" s="214"/>
      <c r="M38" s="216"/>
      <c r="N38" s="77" t="s">
        <v>1067</v>
      </c>
      <c r="O38" s="77"/>
      <c r="P38" s="77"/>
      <c r="Q38" s="166" t="n">
        <f aca="false">Q37*Q49*Q36*1000</f>
        <v>15.0541757642088</v>
      </c>
      <c r="S38" s="77" t="s">
        <v>1067</v>
      </c>
      <c r="T38" s="77"/>
      <c r="U38" s="77"/>
      <c r="V38" s="166" t="n">
        <f aca="false">V37*V49*V36*1000</f>
        <v>-2.35510939348943</v>
      </c>
      <c r="X38" s="53"/>
      <c r="Y38" s="53"/>
      <c r="Z38" s="53"/>
      <c r="AA38" s="53"/>
      <c r="AB38" s="53"/>
      <c r="AC38" s="203"/>
      <c r="AD38" s="204"/>
      <c r="AE38" s="204"/>
      <c r="AF38" s="207"/>
      <c r="AG38" s="204"/>
      <c r="AH38" s="204"/>
      <c r="AI38" s="204"/>
      <c r="AJ38" s="204"/>
      <c r="AK38" s="204"/>
      <c r="AL38" s="204"/>
      <c r="AM38" s="204"/>
      <c r="AN38" s="213"/>
      <c r="AO38" s="53"/>
      <c r="AP38" s="78" t="s">
        <v>1068</v>
      </c>
      <c r="AQ38" s="53"/>
      <c r="AR38" s="53"/>
      <c r="AS38" s="91" t="n">
        <v>1</v>
      </c>
      <c r="AT38" s="85"/>
      <c r="AU38" s="53"/>
      <c r="AV38" s="53"/>
      <c r="AW38" s="68"/>
    </row>
    <row r="39" customFormat="false" ht="15" hidden="false" customHeight="false" outlineLevel="0" collapsed="false">
      <c r="C39" s="202"/>
      <c r="D39" s="202"/>
      <c r="E39" s="202"/>
      <c r="F39" s="214"/>
      <c r="G39" s="214"/>
      <c r="H39" s="214"/>
      <c r="I39" s="214"/>
      <c r="J39" s="214"/>
      <c r="K39" s="214"/>
      <c r="L39" s="214"/>
      <c r="M39" s="216"/>
      <c r="N39" s="77" t="s">
        <v>1069</v>
      </c>
      <c r="O39" s="77"/>
      <c r="P39" s="77"/>
      <c r="Q39" s="166" t="n">
        <f aca="false">Q38*2.5</f>
        <v>37.635439410522</v>
      </c>
      <c r="S39" s="98"/>
      <c r="T39" s="98"/>
      <c r="U39" s="98"/>
      <c r="V39" s="166"/>
      <c r="X39" s="53"/>
      <c r="Y39" s="53"/>
      <c r="Z39" s="53"/>
      <c r="AA39" s="53"/>
      <c r="AB39" s="53"/>
      <c r="AC39" s="203" t="s">
        <v>1070</v>
      </c>
      <c r="AD39" s="204"/>
      <c r="AE39" s="204"/>
      <c r="AF39" s="207"/>
      <c r="AG39" s="204"/>
      <c r="AH39" s="204"/>
      <c r="AI39" s="204"/>
      <c r="AJ39" s="204"/>
      <c r="AK39" s="204"/>
      <c r="AL39" s="204"/>
      <c r="AM39" s="204"/>
      <c r="AN39" s="213"/>
      <c r="AO39" s="53"/>
      <c r="AP39" s="174"/>
      <c r="AQ39" s="175"/>
      <c r="AR39" s="175"/>
      <c r="AS39" s="175"/>
      <c r="AT39" s="219"/>
      <c r="AU39" s="53"/>
      <c r="AV39" s="53"/>
      <c r="AW39" s="68"/>
    </row>
    <row r="40" customFormat="false" ht="16.2" hidden="false" customHeight="false" outlineLevel="0" collapsed="false">
      <c r="C40" s="202"/>
      <c r="D40" s="202"/>
      <c r="E40" s="202"/>
      <c r="F40" s="214"/>
      <c r="G40" s="214"/>
      <c r="H40" s="214"/>
      <c r="I40" s="214"/>
      <c r="J40" s="214"/>
      <c r="K40" s="214"/>
      <c r="L40" s="214"/>
      <c r="M40" s="216"/>
      <c r="N40" s="77" t="s">
        <v>1071</v>
      </c>
      <c r="O40" s="77"/>
      <c r="P40" s="77"/>
      <c r="Q40" s="98" t="n">
        <f aca="false">0.01*(Q91)</f>
        <v>42.095</v>
      </c>
      <c r="S40" s="77" t="s">
        <v>1071</v>
      </c>
      <c r="T40" s="77"/>
      <c r="U40" s="77"/>
      <c r="V40" s="98" t="n">
        <f aca="false">0.01*(V91)</f>
        <v>172.778523489933</v>
      </c>
      <c r="X40" s="53"/>
      <c r="Y40" s="53"/>
      <c r="Z40" s="53"/>
      <c r="AA40" s="53"/>
      <c r="AB40" s="53"/>
      <c r="AC40" s="220"/>
      <c r="AD40" s="221"/>
      <c r="AE40" s="221"/>
      <c r="AF40" s="222"/>
      <c r="AG40" s="204"/>
      <c r="AH40" s="204"/>
      <c r="AI40" s="204"/>
      <c r="AJ40" s="204"/>
      <c r="AK40" s="204"/>
      <c r="AL40" s="204"/>
      <c r="AM40" s="204"/>
      <c r="AN40" s="213"/>
      <c r="AO40" s="53"/>
      <c r="AP40" s="57"/>
      <c r="AQ40" s="57"/>
      <c r="AR40" s="57"/>
      <c r="AS40" s="57"/>
      <c r="AT40" s="223"/>
      <c r="AU40" s="53"/>
      <c r="AV40" s="53"/>
      <c r="AW40" s="68"/>
    </row>
    <row r="41" customFormat="false" ht="14.4" hidden="false" customHeight="false" outlineLevel="0" collapsed="false"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N41" s="77" t="s">
        <v>1064</v>
      </c>
      <c r="O41" s="77"/>
      <c r="P41" s="77"/>
      <c r="Q41" s="76" t="n">
        <f aca="false">AS36</f>
        <v>42</v>
      </c>
      <c r="S41" s="77" t="s">
        <v>1064</v>
      </c>
      <c r="T41" s="77"/>
      <c r="U41" s="77"/>
      <c r="V41" s="76" t="n">
        <v>33</v>
      </c>
      <c r="X41" s="53"/>
      <c r="Y41" s="53"/>
      <c r="Z41" s="53"/>
      <c r="AA41" s="53"/>
      <c r="AB41" s="53"/>
      <c r="AC41" s="224"/>
      <c r="AD41" s="225"/>
      <c r="AE41" s="225"/>
      <c r="AF41" s="225"/>
      <c r="AG41" s="225"/>
      <c r="AH41" s="225"/>
      <c r="AI41" s="225"/>
      <c r="AJ41" s="225"/>
      <c r="AK41" s="225"/>
      <c r="AL41" s="226"/>
      <c r="AM41" s="226"/>
      <c r="AN41" s="227"/>
      <c r="AO41" s="74"/>
      <c r="AP41" s="53"/>
      <c r="AQ41" s="53"/>
      <c r="AR41" s="53"/>
      <c r="AS41" s="53"/>
      <c r="AT41" s="228"/>
      <c r="AU41" s="53"/>
      <c r="AV41" s="53"/>
      <c r="AW41" s="68"/>
    </row>
    <row r="42" customFormat="false" ht="14.4" hidden="false" customHeight="false" outlineLevel="0" collapsed="false"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N42" s="229"/>
      <c r="O42" s="229"/>
      <c r="P42" s="229"/>
      <c r="S42" s="229"/>
      <c r="T42" s="229"/>
      <c r="U42" s="229"/>
      <c r="X42" s="53"/>
      <c r="Y42" s="53"/>
      <c r="Z42" s="53"/>
      <c r="AA42" s="53"/>
      <c r="AB42" s="68"/>
      <c r="AC42" s="57"/>
      <c r="AD42" s="57"/>
      <c r="AE42" s="57"/>
      <c r="AF42" s="57"/>
      <c r="AG42" s="58"/>
      <c r="AH42" s="58"/>
      <c r="AI42" s="58"/>
      <c r="AJ42" s="58"/>
      <c r="AK42" s="230"/>
      <c r="AL42" s="231"/>
      <c r="AM42" s="197"/>
      <c r="AN42" s="232"/>
      <c r="AO42" s="74"/>
      <c r="AP42" s="53"/>
      <c r="AQ42" s="53"/>
      <c r="AR42" s="53"/>
      <c r="AS42" s="53"/>
      <c r="AT42" s="228"/>
      <c r="AU42" s="53"/>
      <c r="AV42" s="53"/>
      <c r="AW42" s="68"/>
    </row>
    <row r="43" customFormat="false" ht="17.25" hidden="false" customHeight="true" outlineLevel="0" collapsed="false">
      <c r="F43" s="202"/>
      <c r="G43" s="202"/>
      <c r="H43" s="202"/>
      <c r="I43" s="202"/>
      <c r="J43" s="202"/>
      <c r="K43" s="202"/>
      <c r="L43" s="202"/>
      <c r="N43" s="107" t="s">
        <v>1072</v>
      </c>
      <c r="O43" s="107"/>
      <c r="P43" s="107"/>
      <c r="Q43" s="98" t="n">
        <f aca="false">Q7*0.92</f>
        <v>144.44</v>
      </c>
      <c r="S43" s="107" t="s">
        <v>1072</v>
      </c>
      <c r="T43" s="107"/>
      <c r="U43" s="107"/>
      <c r="V43" s="98" t="n">
        <f aca="false">V7*0.92</f>
        <v>46.92</v>
      </c>
      <c r="X43" s="53"/>
      <c r="Y43" s="53"/>
      <c r="Z43" s="53"/>
      <c r="AA43" s="53"/>
      <c r="AB43" s="68"/>
      <c r="AC43" s="53"/>
      <c r="AD43" s="53"/>
      <c r="AE43" s="53"/>
      <c r="AF43" s="53"/>
      <c r="AG43" s="53"/>
      <c r="AH43" s="53"/>
      <c r="AI43" s="53"/>
      <c r="AJ43" s="53"/>
      <c r="AK43" s="53"/>
      <c r="AL43" s="233"/>
      <c r="AM43" s="204"/>
      <c r="AN43" s="234"/>
      <c r="AO43" s="74"/>
      <c r="AP43" s="53"/>
      <c r="AQ43" s="53"/>
      <c r="AR43" s="53"/>
      <c r="AS43" s="53"/>
      <c r="AT43" s="228"/>
      <c r="AU43" s="53"/>
      <c r="AV43" s="53"/>
      <c r="AW43" s="68"/>
    </row>
    <row r="44" customFormat="false" ht="17.25" hidden="false" customHeight="true" outlineLevel="0" collapsed="false">
      <c r="F44" s="202"/>
      <c r="G44" s="202"/>
      <c r="H44" s="202"/>
      <c r="I44" s="202"/>
      <c r="J44" s="202"/>
      <c r="K44" s="202"/>
      <c r="L44" s="202"/>
      <c r="N44" s="107" t="s">
        <v>1073</v>
      </c>
      <c r="O44" s="107"/>
      <c r="P44" s="107"/>
      <c r="Q44" s="98" t="n">
        <f aca="false">VLOOKUP(Q3,'Powder Core Detail'!$A$2:$T$985,20,0)</f>
        <v>1.56</v>
      </c>
      <c r="S44" s="107" t="s">
        <v>1073</v>
      </c>
      <c r="T44" s="107"/>
      <c r="U44" s="107"/>
      <c r="V44" s="98" t="n">
        <f aca="false">VLOOKUP(V3,'Powder Core Detail'!$A$2:$T$985,20,0)</f>
        <v>1.49</v>
      </c>
      <c r="X44" s="53"/>
      <c r="Y44" s="53"/>
      <c r="Z44" s="53"/>
      <c r="AA44" s="53"/>
      <c r="AB44" s="68"/>
      <c r="AC44" s="53"/>
      <c r="AD44" s="53"/>
      <c r="AE44" s="53"/>
      <c r="AF44" s="53"/>
      <c r="AG44" s="53"/>
      <c r="AH44" s="53"/>
      <c r="AI44" s="53"/>
      <c r="AJ44" s="53"/>
      <c r="AK44" s="53"/>
      <c r="AL44" s="233"/>
      <c r="AM44" s="204"/>
      <c r="AN44" s="234"/>
      <c r="AO44" s="74"/>
      <c r="AP44" s="53"/>
      <c r="AQ44" s="53"/>
      <c r="AR44" s="53"/>
      <c r="AS44" s="53"/>
      <c r="AT44" s="228"/>
      <c r="AU44" s="53"/>
      <c r="AV44" s="53"/>
      <c r="AW44" s="68"/>
    </row>
    <row r="45" customFormat="false" ht="15" hidden="false" customHeight="true" outlineLevel="0" collapsed="false">
      <c r="N45" s="107" t="s">
        <v>1074</v>
      </c>
      <c r="O45" s="107"/>
      <c r="P45" s="107"/>
      <c r="Q45" s="98" t="n">
        <f aca="false">VLOOKUP(Q3,'Powder Core Detail'!$A$2:$T$985,8,0)</f>
        <v>6.35</v>
      </c>
      <c r="S45" s="107" t="s">
        <v>1074</v>
      </c>
      <c r="T45" s="107"/>
      <c r="U45" s="107"/>
      <c r="V45" s="98" t="n">
        <f aca="false">VLOOKUP(V3,'Powder Core Detail'!$A$2:$T$985,8,0)</f>
        <v>5.88</v>
      </c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74"/>
      <c r="AP45" s="53"/>
      <c r="AQ45" s="53"/>
      <c r="AR45" s="53"/>
      <c r="AS45" s="53"/>
      <c r="AT45" s="228"/>
      <c r="AU45" s="53"/>
      <c r="AV45" s="53"/>
      <c r="AW45" s="68"/>
    </row>
    <row r="46" customFormat="false" ht="15" hidden="false" customHeight="true" outlineLevel="0" collapsed="false">
      <c r="N46" s="107" t="s">
        <v>1075</v>
      </c>
      <c r="O46" s="107"/>
      <c r="P46" s="107"/>
      <c r="Q46" s="98" t="n">
        <f aca="false">(VLOOKUP(Q3,'Powder Core Detail'!$A$2:$T$985,18,0))*Q4</f>
        <v>4.15</v>
      </c>
      <c r="S46" s="107" t="s">
        <v>1075</v>
      </c>
      <c r="T46" s="107"/>
      <c r="U46" s="107"/>
      <c r="V46" s="98" t="n">
        <f aca="false">(VLOOKUP(V3,'Powder Core Detail'!$A$2:$T$985,18,0))*V4</f>
        <v>2.28144</v>
      </c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204"/>
      <c r="AM46" s="204"/>
      <c r="AN46" s="235"/>
      <c r="AO46" s="53"/>
      <c r="AP46" s="53"/>
      <c r="AQ46" s="53"/>
      <c r="AR46" s="53"/>
      <c r="AS46" s="53"/>
      <c r="AT46" s="228"/>
      <c r="AU46" s="53"/>
      <c r="AV46" s="53"/>
      <c r="AW46" s="68"/>
    </row>
    <row r="47" customFormat="false" ht="15" hidden="false" customHeight="true" outlineLevel="0" collapsed="false">
      <c r="N47" s="77" t="s">
        <v>1076</v>
      </c>
      <c r="O47" s="77"/>
      <c r="P47" s="77"/>
      <c r="Q47" s="98" t="n">
        <f aca="false">IF(Q41=0,ROUNDUP(SQRT((E3*10^6)/Q43),0),Q41)</f>
        <v>42</v>
      </c>
      <c r="S47" s="77" t="s">
        <v>1076</v>
      </c>
      <c r="T47" s="77"/>
      <c r="U47" s="77"/>
      <c r="V47" s="98" t="n">
        <f aca="false">IF(V41=0,ROUNDUP(SQRT((E3*10^6)/V43),0),V41)</f>
        <v>33</v>
      </c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228"/>
      <c r="AU47" s="53"/>
      <c r="AV47" s="53"/>
      <c r="AW47" s="68"/>
    </row>
    <row r="48" customFormat="false" ht="15" hidden="false" customHeight="true" outlineLevel="0" collapsed="false">
      <c r="N48" s="77" t="s">
        <v>1077</v>
      </c>
      <c r="O48" s="77"/>
      <c r="P48" s="77"/>
      <c r="Q48" s="236" t="n">
        <f aca="false">0.01*(1/(Q97+Q98*(Q113^Q99)))</f>
        <v>0.377420417466281</v>
      </c>
      <c r="S48" s="77" t="s">
        <v>1077</v>
      </c>
      <c r="T48" s="77"/>
      <c r="U48" s="77"/>
      <c r="V48" s="237" t="n">
        <f aca="false">V97+(V98*V113)+(V99*V113^2)+(V100*V113^3)+(V101*V113^4)</f>
        <v>3822.29072547309</v>
      </c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228"/>
      <c r="AU48" s="53"/>
      <c r="AV48" s="53"/>
      <c r="AW48" s="68"/>
    </row>
    <row r="49" customFormat="false" ht="15" hidden="false" customHeight="true" outlineLevel="0" collapsed="false">
      <c r="N49" s="77" t="s">
        <v>1078</v>
      </c>
      <c r="O49" s="77"/>
      <c r="P49" s="77"/>
      <c r="Q49" s="238" t="n">
        <f aca="false">IF(Q41=0,ROUNDUP(Q47/Q48,0),Q41)</f>
        <v>42</v>
      </c>
      <c r="S49" s="77" t="s">
        <v>1078</v>
      </c>
      <c r="T49" s="77"/>
      <c r="U49" s="77"/>
      <c r="V49" s="98" t="n">
        <f aca="false">IF(V41=0,ROUNDUP(V47/V48,0),V41)</f>
        <v>33</v>
      </c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228"/>
      <c r="AU49" s="53"/>
      <c r="AV49" s="53"/>
      <c r="AW49" s="68"/>
    </row>
    <row r="50" customFormat="false" ht="15" hidden="false" customHeight="true" outlineLevel="0" collapsed="false">
      <c r="N50" s="77" t="s">
        <v>1079</v>
      </c>
      <c r="O50" s="77"/>
      <c r="P50" s="77"/>
      <c r="Q50" s="236" t="n">
        <f aca="false">0.01*(1/(Q97+Q98*(Q115^Q99)))</f>
        <v>0.377420417466281</v>
      </c>
      <c r="S50" s="77" t="s">
        <v>1079</v>
      </c>
      <c r="T50" s="77"/>
      <c r="U50" s="77"/>
      <c r="V50" s="237" t="n">
        <f aca="false">V97+(V98*V115)+(V99*V115^2)+(V100*V115^3)+(V101*V115^4)</f>
        <v>3822.29072547309</v>
      </c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228"/>
      <c r="AU50" s="53"/>
      <c r="AV50" s="53"/>
      <c r="AW50" s="68"/>
    </row>
    <row r="51" customFormat="false" ht="15" hidden="false" customHeight="true" outlineLevel="0" collapsed="false">
      <c r="N51" s="77" t="s">
        <v>1080</v>
      </c>
      <c r="O51" s="77"/>
      <c r="P51" s="77"/>
      <c r="Q51" s="236" t="n">
        <f aca="false">0.01*(1/(Q97+Q98*(Q111^Q99)))</f>
        <v>0.35195466813323</v>
      </c>
      <c r="S51" s="77" t="s">
        <v>1080</v>
      </c>
      <c r="T51" s="77"/>
      <c r="U51" s="77"/>
      <c r="V51" s="237" t="n">
        <f aca="false">V97+(V98*V111)+(V99*V111^2)+(V100*V111^3)+(V101*V111^4)</f>
        <v>4214.07448708759</v>
      </c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228"/>
      <c r="AU51" s="53"/>
      <c r="AV51" s="53"/>
      <c r="AW51" s="68"/>
    </row>
    <row r="52" customFormat="false" ht="15" hidden="false" customHeight="true" outlineLevel="0" collapsed="false">
      <c r="N52" s="77" t="s">
        <v>1081</v>
      </c>
      <c r="O52" s="77"/>
      <c r="P52" s="77"/>
      <c r="Q52" s="236" t="n">
        <f aca="false">0.01*(1/(Q97+Q98*(Q112^Q99)))</f>
        <v>0.404939718638595</v>
      </c>
      <c r="S52" s="77" t="s">
        <v>1081</v>
      </c>
      <c r="T52" s="77"/>
      <c r="U52" s="77"/>
      <c r="V52" s="237" t="n">
        <f aca="false">V97+(V98*V112)+(V99*V112^2)+(V100*V112^3)+(V101*V112^4)</f>
        <v>3449.61836627201</v>
      </c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228"/>
      <c r="AU52" s="53"/>
      <c r="AV52" s="53"/>
      <c r="AW52" s="68"/>
    </row>
    <row r="53" customFormat="false" ht="15" hidden="false" customHeight="true" outlineLevel="0" collapsed="false">
      <c r="N53" s="77" t="s">
        <v>1082</v>
      </c>
      <c r="O53" s="77"/>
      <c r="P53" s="77"/>
      <c r="Q53" s="236" t="n">
        <f aca="false">0.01*(1/(Q97+Q98*(Q114^Q99)))</f>
        <v>0.204273448844368</v>
      </c>
      <c r="S53" s="77" t="s">
        <v>1082</v>
      </c>
      <c r="T53" s="77"/>
      <c r="U53" s="77"/>
      <c r="V53" s="237" t="n">
        <f aca="false">V97+(V98*V114)+(V99*V114^2)+(V100*V114^3)+(V101*V114^4)</f>
        <v>8194.67911184948</v>
      </c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228"/>
      <c r="AU53" s="53"/>
      <c r="AV53" s="53"/>
      <c r="AW53" s="68"/>
    </row>
    <row r="54" customFormat="false" ht="15" hidden="false" customHeight="true" outlineLevel="0" collapsed="false">
      <c r="N54" s="77" t="s">
        <v>1083</v>
      </c>
      <c r="O54" s="77"/>
      <c r="P54" s="77"/>
      <c r="Q54" s="236" t="n">
        <f aca="false">0.01*(1/(Q97+Q98*(Q116^Q99)))</f>
        <v>0.377420417466281</v>
      </c>
      <c r="S54" s="77" t="s">
        <v>1083</v>
      </c>
      <c r="T54" s="77"/>
      <c r="U54" s="77"/>
      <c r="V54" s="237" t="n">
        <f aca="false">V97+(V98*V116)+(V99*V116^2)+(V100*V116^3)+(V101*V116^4)</f>
        <v>3822.29072547309</v>
      </c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228"/>
      <c r="AU54" s="53"/>
      <c r="AV54" s="53"/>
      <c r="AW54" s="68"/>
    </row>
    <row r="55" customFormat="false" ht="15" hidden="false" customHeight="true" outlineLevel="0" collapsed="false">
      <c r="N55" s="67" t="s">
        <v>1084</v>
      </c>
      <c r="O55" s="67"/>
      <c r="P55" s="67"/>
      <c r="Q55" s="194"/>
      <c r="S55" s="67" t="s">
        <v>1084</v>
      </c>
      <c r="T55" s="67"/>
      <c r="U55" s="67"/>
      <c r="V55" s="194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228"/>
      <c r="AU55" s="53"/>
      <c r="AV55" s="53"/>
      <c r="AW55" s="68"/>
    </row>
    <row r="56" customFormat="false" ht="15" hidden="false" customHeight="true" outlineLevel="0" collapsed="false">
      <c r="N56" s="77" t="s">
        <v>1085</v>
      </c>
      <c r="O56" s="77"/>
      <c r="P56" s="77"/>
      <c r="Q56" s="98" t="n">
        <f aca="false">(Q49/Q45)*(E16)</f>
        <v>57.8508661417323</v>
      </c>
      <c r="S56" s="77" t="s">
        <v>1085</v>
      </c>
      <c r="T56" s="77"/>
      <c r="U56" s="77"/>
      <c r="V56" s="98" t="n">
        <f aca="false">(V49/V45)*(E16)</f>
        <v>49.0875</v>
      </c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228"/>
      <c r="AU56" s="53"/>
      <c r="AV56" s="53"/>
      <c r="AW56" s="68"/>
    </row>
    <row r="57" customFormat="false" ht="15" hidden="false" customHeight="true" outlineLevel="0" collapsed="false">
      <c r="N57" s="77" t="s">
        <v>1086</v>
      </c>
      <c r="O57" s="77"/>
      <c r="P57" s="77"/>
      <c r="Q57" s="98" t="n">
        <f aca="false">(Q49/Q45)*(E17)</f>
        <v>52.3412598425197</v>
      </c>
      <c r="S57" s="77" t="s">
        <v>1086</v>
      </c>
      <c r="T57" s="77"/>
      <c r="U57" s="77"/>
      <c r="V57" s="98" t="n">
        <f aca="false">(V49/V45)*(E17)</f>
        <v>44.4125</v>
      </c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228"/>
      <c r="AU57" s="53"/>
      <c r="AV57" s="53"/>
      <c r="AW57" s="68"/>
    </row>
    <row r="58" customFormat="false" ht="15" hidden="false" customHeight="true" outlineLevel="0" collapsed="false">
      <c r="N58" s="77" t="s">
        <v>1087</v>
      </c>
      <c r="O58" s="77"/>
      <c r="P58" s="77"/>
      <c r="Q58" s="98" t="n">
        <f aca="false">ABS(Q57)</f>
        <v>52.3412598425197</v>
      </c>
      <c r="S58" s="77" t="s">
        <v>1087</v>
      </c>
      <c r="T58" s="77"/>
      <c r="U58" s="77"/>
      <c r="V58" s="98" t="n">
        <f aca="false">ABS(V57)</f>
        <v>44.4125</v>
      </c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228"/>
      <c r="AU58" s="53"/>
      <c r="AV58" s="53"/>
      <c r="AW58" s="68"/>
    </row>
    <row r="59" customFormat="false" ht="15" hidden="false" customHeight="true" outlineLevel="0" collapsed="false">
      <c r="N59" s="77" t="s">
        <v>1088</v>
      </c>
      <c r="O59" s="77"/>
      <c r="P59" s="77"/>
      <c r="Q59" s="239" t="n">
        <f aca="false">((Q102+(Q103*Q56)+(Q104*Q56^2))/(1+(Q105*Q56)+(Q106*Q56^2)))^Q107</f>
        <v>0.559111207572325</v>
      </c>
      <c r="S59" s="77" t="s">
        <v>1088</v>
      </c>
      <c r="T59" s="77"/>
      <c r="U59" s="77"/>
      <c r="V59" s="239" t="n">
        <f aca="false">((V102+(V103*V111)+(V104*V111^2))/(1+(V105*V111)+(V106*V111^2)))^V107</f>
        <v>0.351233213695785</v>
      </c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228"/>
      <c r="AU59" s="53"/>
      <c r="AV59" s="53"/>
      <c r="AW59" s="68"/>
    </row>
    <row r="60" customFormat="false" ht="15" hidden="false" customHeight="true" outlineLevel="0" collapsed="false">
      <c r="N60" s="77" t="s">
        <v>1089</v>
      </c>
      <c r="O60" s="77"/>
      <c r="P60" s="77"/>
      <c r="Q60" s="239" t="n">
        <f aca="false">IF(Q57&lt;0,-(((Q102+(Q103*Q58)+(Q104*Q58^2))/(1+(Q105*Q58)+(Q106*Q58^2)))^Q107),((Q102+(Q103*Q57)+(Q104*Q57^2))/(1+(Q105*Q57)+(Q106*Q57^2)))^Q107)</f>
        <v>0.536151461485161</v>
      </c>
      <c r="S60" s="77" t="s">
        <v>1089</v>
      </c>
      <c r="T60" s="77"/>
      <c r="U60" s="77"/>
      <c r="V60" s="239" t="n">
        <f aca="false">IF(V57&lt;0,-(((V102+(V103*V58)+(V104*V58^2))/(1+(V105*V58)+(V106*V58^2)))^V107),((V102+(V103*V57)+(V104*V57^2))/(1+(V105*V57)+(V106*V57^2)))^V107)</f>
        <v>0.324082847543545</v>
      </c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228"/>
      <c r="AU60" s="53"/>
      <c r="AV60" s="53"/>
      <c r="AW60" s="68"/>
    </row>
    <row r="61" customFormat="false" ht="15" hidden="false" customHeight="true" outlineLevel="0" collapsed="false">
      <c r="N61" s="77" t="s">
        <v>1090</v>
      </c>
      <c r="O61" s="77"/>
      <c r="P61" s="77"/>
      <c r="Q61" s="211" t="n">
        <f aca="false">(Q59-Q60)/2</f>
        <v>0.0114798730435821</v>
      </c>
      <c r="S61" s="77" t="s">
        <v>1090</v>
      </c>
      <c r="T61" s="77"/>
      <c r="U61" s="77"/>
      <c r="V61" s="211" t="n">
        <f aca="false">(V59-V60)/2</f>
        <v>0.01357518307612</v>
      </c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228"/>
      <c r="AU61" s="53"/>
      <c r="AV61" s="53"/>
      <c r="AW61" s="68"/>
    </row>
    <row r="62" customFormat="false" ht="15" hidden="false" customHeight="true" outlineLevel="0" collapsed="false">
      <c r="N62" s="75" t="s">
        <v>1091</v>
      </c>
      <c r="O62" s="75"/>
      <c r="P62" s="75"/>
      <c r="Q62" s="240" t="n">
        <f aca="false">IF($Q$5="75",R108*(Q61^R109)*($E$7^R110),Q108*(Q61^Q109)*($E$7^Q110))</f>
        <v>7.0494589149793</v>
      </c>
      <c r="S62" s="75" t="s">
        <v>1091</v>
      </c>
      <c r="T62" s="75"/>
      <c r="U62" s="75"/>
      <c r="V62" s="239" t="n">
        <f aca="false">V108*(V61^V109)*($E$7^V110)</f>
        <v>12.9531727170509</v>
      </c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228"/>
      <c r="AU62" s="53"/>
      <c r="AV62" s="53"/>
      <c r="AW62" s="68"/>
    </row>
    <row r="63" customFormat="false" ht="14.4" hidden="false" customHeight="false" outlineLevel="0" collapsed="false">
      <c r="N63" s="52"/>
      <c r="O63" s="52"/>
      <c r="P63" s="52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228"/>
      <c r="AU63" s="53"/>
      <c r="AV63" s="53"/>
      <c r="AW63" s="68"/>
    </row>
    <row r="64" customFormat="false" ht="14.4" hidden="false" customHeight="false" outlineLevel="0" collapsed="false">
      <c r="N64" s="67" t="s">
        <v>1092</v>
      </c>
      <c r="O64" s="67"/>
      <c r="P64" s="67"/>
      <c r="S64" s="67"/>
      <c r="T64" s="67"/>
      <c r="U64" s="67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228"/>
      <c r="AU64" s="53"/>
      <c r="AV64" s="53"/>
      <c r="AW64" s="68"/>
    </row>
    <row r="65" customFormat="false" ht="14.4" hidden="false" customHeight="false" outlineLevel="0" collapsed="false">
      <c r="N65" s="77" t="s">
        <v>1093</v>
      </c>
      <c r="O65" s="77"/>
      <c r="P65" s="77"/>
      <c r="Q65" s="98" t="n">
        <f aca="false">VLOOKUP(Q3,'Powder Core Detail'!$A$2:$T$985,13,0)</f>
        <v>27.69</v>
      </c>
      <c r="S65" s="77" t="s">
        <v>1093</v>
      </c>
      <c r="T65" s="77"/>
      <c r="U65" s="77"/>
      <c r="V65" s="98" t="n">
        <f aca="false">VLOOKUP(V3,'Powder Core Detail'!$A$2:$T$985,13,0)</f>
        <v>24.4</v>
      </c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228"/>
      <c r="AU65" s="53"/>
      <c r="AV65" s="53"/>
      <c r="AW65" s="68"/>
    </row>
    <row r="66" customFormat="false" ht="14.4" hidden="false" customHeight="false" outlineLevel="0" collapsed="false">
      <c r="N66" s="77" t="s">
        <v>1094</v>
      </c>
      <c r="O66" s="77"/>
      <c r="P66" s="77"/>
      <c r="Q66" s="98" t="n">
        <f aca="false">VLOOKUP(Q3,'Powder Core Detail'!$A$2:$T$985,11,0)</f>
        <v>14.1</v>
      </c>
      <c r="S66" s="77" t="s">
        <v>1094</v>
      </c>
      <c r="T66" s="77"/>
      <c r="U66" s="77"/>
      <c r="V66" s="98" t="n">
        <f aca="false">VLOOKUP(V3,'Powder Core Detail'!$A$2:$T$985,11,0)</f>
        <v>13.7</v>
      </c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228"/>
      <c r="AU66" s="53"/>
      <c r="AV66" s="53"/>
      <c r="AW66" s="68"/>
    </row>
    <row r="67" customFormat="false" ht="14.4" hidden="false" customHeight="false" outlineLevel="0" collapsed="false">
      <c r="N67" s="77" t="s">
        <v>1095</v>
      </c>
      <c r="O67" s="77"/>
      <c r="P67" s="77"/>
      <c r="Q67" s="98" t="n">
        <f aca="false">Q4*(VLOOKUP(Q3,'Powder Core Detail'!$A$2:$T$985,15,0))</f>
        <v>12</v>
      </c>
      <c r="S67" s="77" t="s">
        <v>1096</v>
      </c>
      <c r="T67" s="77"/>
      <c r="U67" s="77"/>
      <c r="V67" s="98" t="n">
        <f aca="false">V4*(VLOOKUP(V3,'Powder Core Detail'!$A$2:$T$985,15,0))</f>
        <v>9.66</v>
      </c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228"/>
      <c r="AU67" s="53"/>
      <c r="AV67" s="53"/>
      <c r="AW67" s="68"/>
    </row>
    <row r="68" customFormat="false" ht="14.4" hidden="false" customHeight="false" outlineLevel="0" collapsed="false">
      <c r="N68" s="77" t="s">
        <v>1097</v>
      </c>
      <c r="O68" s="77"/>
      <c r="P68" s="77"/>
      <c r="Q68" s="98" t="n">
        <f aca="false">100*(VLOOKUP(Q3,'Powder Core Detail'!$A$2:$T$985,20,0))</f>
        <v>156</v>
      </c>
      <c r="S68" s="77" t="s">
        <v>1097</v>
      </c>
      <c r="T68" s="77"/>
      <c r="U68" s="77"/>
      <c r="V68" s="98" t="n">
        <f aca="false">100*(VLOOKUP(V3,'Powder Core Detail'!$A$2:$T$985,20,0))</f>
        <v>149</v>
      </c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228"/>
      <c r="AU68" s="53"/>
      <c r="AV68" s="53"/>
      <c r="AW68" s="68"/>
    </row>
    <row r="69" customFormat="false" ht="14.4" hidden="false" customHeight="false" outlineLevel="0" collapsed="false">
      <c r="N69" s="77" t="s">
        <v>1098</v>
      </c>
      <c r="O69" s="77"/>
      <c r="P69" s="77"/>
      <c r="Q69" s="98" t="n">
        <f aca="false">Q65-Q66+(2*Q67)</f>
        <v>37.59</v>
      </c>
      <c r="S69" s="77" t="s">
        <v>1098</v>
      </c>
      <c r="T69" s="77"/>
      <c r="U69" s="77"/>
      <c r="V69" s="98" t="n">
        <f aca="false">V65-V66+(2*V67)</f>
        <v>30.02</v>
      </c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228"/>
      <c r="AU69" s="53"/>
      <c r="AV69" s="53"/>
      <c r="AW69" s="68"/>
    </row>
    <row r="70" customFormat="false" ht="14.4" hidden="false" customHeight="false" outlineLevel="0" collapsed="false">
      <c r="N70" s="77" t="s">
        <v>1099</v>
      </c>
      <c r="O70" s="77"/>
      <c r="P70" s="77"/>
      <c r="Q70" s="98" t="n">
        <f aca="false">2*PI()*((Q66/2)-(Q71/2))</f>
        <v>38.3224717701068</v>
      </c>
      <c r="S70" s="77" t="s">
        <v>1099</v>
      </c>
      <c r="T70" s="77"/>
      <c r="U70" s="77"/>
      <c r="V70" s="98" t="n">
        <f aca="false">2*PI()*((V66/2)-(V71/2))</f>
        <v>22.5835210219266</v>
      </c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228"/>
      <c r="AU70" s="53"/>
      <c r="AV70" s="53"/>
      <c r="AW70" s="68"/>
    </row>
    <row r="71" customFormat="false" ht="14.4" hidden="false" customHeight="false" outlineLevel="0" collapsed="false">
      <c r="N71" s="77" t="s">
        <v>1100</v>
      </c>
      <c r="O71" s="77"/>
      <c r="P71" s="77"/>
      <c r="Q71" s="98" t="n">
        <f aca="false">SQRT((4*Q33*100)/PI())</f>
        <v>1.90157837257576</v>
      </c>
      <c r="S71" s="77" t="s">
        <v>1100</v>
      </c>
      <c r="T71" s="77"/>
      <c r="U71" s="77"/>
      <c r="V71" s="98" t="n">
        <f aca="false">SQRT((4*V33*100)/PI())</f>
        <v>6.5114419938813</v>
      </c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228"/>
      <c r="AU71" s="53"/>
      <c r="AV71" s="53"/>
      <c r="AW71" s="68"/>
    </row>
    <row r="72" customFormat="false" ht="14.4" hidden="false" customHeight="false" outlineLevel="0" collapsed="false">
      <c r="N72" s="77" t="s">
        <v>1101</v>
      </c>
      <c r="O72" s="77"/>
      <c r="P72" s="77"/>
      <c r="Q72" s="98" t="n">
        <f aca="false">ROUNDDOWN(Q70/Q71,0)</f>
        <v>20</v>
      </c>
      <c r="S72" s="77" t="s">
        <v>1101</v>
      </c>
      <c r="T72" s="77"/>
      <c r="U72" s="77"/>
      <c r="V72" s="98" t="n">
        <f aca="false">ROUNDDOWN(V70/V71,0)</f>
        <v>3</v>
      </c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228"/>
      <c r="AU72" s="53"/>
      <c r="AV72" s="53"/>
      <c r="AW72" s="68"/>
    </row>
    <row r="73" customFormat="false" ht="14.4" hidden="false" customHeight="false" outlineLevel="0" collapsed="false">
      <c r="N73" s="77" t="s">
        <v>1102</v>
      </c>
      <c r="O73" s="77"/>
      <c r="P73" s="77"/>
      <c r="Q73" s="98" t="n">
        <f aca="false">IF(Q72&gt;Q49, Q49,Q72)</f>
        <v>20</v>
      </c>
      <c r="S73" s="77" t="s">
        <v>1102</v>
      </c>
      <c r="T73" s="77"/>
      <c r="U73" s="77"/>
      <c r="V73" s="98" t="n">
        <f aca="false">IF(V72&gt;V49, V49,V72)</f>
        <v>3</v>
      </c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228"/>
      <c r="AU73" s="53"/>
      <c r="AV73" s="53"/>
      <c r="AW73" s="68"/>
    </row>
    <row r="74" customFormat="false" ht="14.4" hidden="false" customHeight="false" outlineLevel="0" collapsed="false">
      <c r="N74" s="77" t="s">
        <v>1103</v>
      </c>
      <c r="O74" s="77"/>
      <c r="P74" s="77"/>
      <c r="Q74" s="98" t="n">
        <f aca="false">IF(Q49-(Q73)&lt;=0,0,IF(Q49-(Q73)&gt;=Q73-6,Q73-6,(Q49-(Q73))))</f>
        <v>14</v>
      </c>
      <c r="S74" s="77" t="s">
        <v>1103</v>
      </c>
      <c r="T74" s="77"/>
      <c r="U74" s="77"/>
      <c r="V74" s="98" t="n">
        <f aca="false">IF(V49-(V73)&lt;=0,0,IF(V49-(V73)&gt;=V73-6,V73-6,(V49-(V73))))</f>
        <v>-3</v>
      </c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228"/>
      <c r="AU74" s="53"/>
      <c r="AV74" s="53"/>
      <c r="AW74" s="68"/>
    </row>
    <row r="75" customFormat="false" ht="14.4" hidden="false" customHeight="false" outlineLevel="0" collapsed="false">
      <c r="N75" s="77" t="s">
        <v>1104</v>
      </c>
      <c r="O75" s="77"/>
      <c r="P75" s="77"/>
      <c r="Q75" s="98" t="n">
        <f aca="false">IF(Q49-(Q74+Q73)&lt;=0,0,IF(Q49-(Q74+Q73)&gt;=Q74-6,Q74-6,(Q49-(Q73+Q74))))</f>
        <v>8</v>
      </c>
      <c r="S75" s="77" t="s">
        <v>1104</v>
      </c>
      <c r="T75" s="77"/>
      <c r="U75" s="77"/>
      <c r="V75" s="98" t="n">
        <f aca="false">IF(V49-(V74+V73)&lt;=0,0,IF(V49-(V74+V73)&gt;=V74-6,V74-6,(V49-(V73+V74))))</f>
        <v>-9</v>
      </c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228"/>
      <c r="AU75" s="53"/>
      <c r="AV75" s="53"/>
      <c r="AW75" s="68"/>
    </row>
    <row r="76" customFormat="false" ht="14.4" hidden="false" customHeight="false" outlineLevel="0" collapsed="false">
      <c r="N76" s="77" t="s">
        <v>1105</v>
      </c>
      <c r="O76" s="77"/>
      <c r="P76" s="77"/>
      <c r="Q76" s="98" t="n">
        <f aca="false">IF(Q49-(Q75+Q74+Q73)&lt;=0,0,IF(Q49-(Q75+Q74+Q73)&gt;=Q75-6,Q75-6,(Q49-(Q74+Q75+Q73))))</f>
        <v>0</v>
      </c>
      <c r="S76" s="77" t="s">
        <v>1105</v>
      </c>
      <c r="T76" s="77"/>
      <c r="U76" s="77"/>
      <c r="V76" s="98" t="n">
        <f aca="false">IF(V49-(V75+V74+V73)&lt;=0,0,IF(V49-(V75+V74+V73)&gt;=V75-6,V75-6,(V49-(V74+V75+V73))))</f>
        <v>-15</v>
      </c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228"/>
      <c r="AU76" s="53"/>
      <c r="AV76" s="53"/>
      <c r="AW76" s="68"/>
    </row>
    <row r="77" customFormat="false" ht="14.4" hidden="false" customHeight="false" outlineLevel="0" collapsed="false">
      <c r="N77" s="77" t="s">
        <v>1106</v>
      </c>
      <c r="O77" s="77"/>
      <c r="P77" s="77"/>
      <c r="Q77" s="191" t="n">
        <f aca="false">Q69+(8*Q71/2)</f>
        <v>45.196313490303</v>
      </c>
      <c r="S77" s="77" t="s">
        <v>1106</v>
      </c>
      <c r="T77" s="77"/>
      <c r="U77" s="77"/>
      <c r="V77" s="98" t="n">
        <f aca="false">V69+(8*V71/2)</f>
        <v>56.0657679755252</v>
      </c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228"/>
      <c r="AU77" s="53"/>
      <c r="AV77" s="53"/>
      <c r="AW77" s="68"/>
    </row>
    <row r="78" customFormat="false" ht="14.4" hidden="false" customHeight="false" outlineLevel="0" collapsed="false">
      <c r="N78" s="77" t="s">
        <v>1107</v>
      </c>
      <c r="O78" s="77"/>
      <c r="P78" s="77"/>
      <c r="Q78" s="191" t="n">
        <f aca="false">Q69+8*((Q71/2)+(SQRT(3)*(Q71/2)))</f>
        <v>58.3708349138044</v>
      </c>
      <c r="S78" s="77" t="s">
        <v>1107</v>
      </c>
      <c r="T78" s="77"/>
      <c r="U78" s="77"/>
      <c r="V78" s="98" t="n">
        <f aca="false">V69+8*((V71/2)+(SQRT(3)*(V71/2)))</f>
        <v>101.178361431285</v>
      </c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228"/>
      <c r="AU78" s="53"/>
      <c r="AV78" s="53"/>
      <c r="AW78" s="68"/>
    </row>
    <row r="79" customFormat="false" ht="14.4" hidden="false" customHeight="false" outlineLevel="0" collapsed="false">
      <c r="N79" s="77" t="s">
        <v>1108</v>
      </c>
      <c r="O79" s="77"/>
      <c r="P79" s="77"/>
      <c r="Q79" s="191" t="n">
        <f aca="false">Q69+(8*(Q71/2)+(16*(SQRT(3)*(Q71/2))))</f>
        <v>71.5453563373058</v>
      </c>
      <c r="S79" s="77" t="s">
        <v>1108</v>
      </c>
      <c r="T79" s="77"/>
      <c r="U79" s="77"/>
      <c r="V79" s="98" t="n">
        <f aca="false">V69+(8*(V71/2)+(16*(SQRT(3)*(V71/2))))</f>
        <v>146.290954887045</v>
      </c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228"/>
      <c r="AU79" s="53"/>
      <c r="AV79" s="53"/>
      <c r="AW79" s="68"/>
    </row>
    <row r="80" customFormat="false" ht="14.4" hidden="false" customHeight="false" outlineLevel="0" collapsed="false">
      <c r="N80" s="77" t="s">
        <v>1109</v>
      </c>
      <c r="O80" s="77"/>
      <c r="P80" s="77"/>
      <c r="Q80" s="191" t="n">
        <f aca="false">Q69+(8*(Q71/2)+(24*(SQRT(3)*(Q71/2))))</f>
        <v>84.7198777608072</v>
      </c>
      <c r="S80" s="77" t="s">
        <v>1109</v>
      </c>
      <c r="T80" s="77"/>
      <c r="U80" s="77"/>
      <c r="V80" s="98" t="n">
        <f aca="false">V69+(8*(V71/2)+(24*(SQRT(3)*(V71/2))))</f>
        <v>191.403548342805</v>
      </c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228"/>
      <c r="AU80" s="53"/>
      <c r="AV80" s="53"/>
      <c r="AW80" s="68"/>
    </row>
    <row r="81" customFormat="false" ht="14.4" hidden="false" customHeight="false" outlineLevel="0" collapsed="false">
      <c r="N81" s="77" t="s">
        <v>1110</v>
      </c>
      <c r="O81" s="77"/>
      <c r="P81" s="77"/>
      <c r="Q81" s="191" t="n">
        <f aca="false">(Q73*Q77)+(Q74*Q78)+(Q75*Q79)+(Q76*Q80)</f>
        <v>2293.48080929777</v>
      </c>
      <c r="S81" s="77" t="s">
        <v>1110</v>
      </c>
      <c r="T81" s="77"/>
      <c r="U81" s="77"/>
      <c r="V81" s="98" t="n">
        <f aca="false">(V73*V77)+(V74*V78)+(V75*V79)+(V76*V80)</f>
        <v>-4323.00959949277</v>
      </c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228"/>
      <c r="AU81" s="53"/>
      <c r="AV81" s="53"/>
      <c r="AW81" s="68"/>
    </row>
    <row r="82" customFormat="false" ht="14.4" hidden="false" customHeight="false" outlineLevel="0" collapsed="false">
      <c r="N82" s="77" t="s">
        <v>1065</v>
      </c>
      <c r="O82" s="77"/>
      <c r="P82" s="77"/>
      <c r="Q82" s="191" t="n">
        <f aca="false">Q81/Q49</f>
        <v>54.6066859356612</v>
      </c>
      <c r="S82" s="77" t="s">
        <v>1065</v>
      </c>
      <c r="T82" s="77"/>
      <c r="U82" s="77"/>
      <c r="V82" s="98" t="n">
        <f aca="false">V81/V49</f>
        <v>-131.00029089372</v>
      </c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228"/>
      <c r="AU82" s="53"/>
      <c r="AV82" s="53"/>
      <c r="AW82" s="68"/>
    </row>
    <row r="83" customFormat="false" ht="14.4" hidden="false" customHeight="false" outlineLevel="0" collapsed="false">
      <c r="N83" s="77" t="s">
        <v>1111</v>
      </c>
      <c r="O83" s="77"/>
      <c r="P83" s="77"/>
      <c r="Q83" s="98" t="n">
        <f aca="false">VLOOKUP(Q28, 'Wire Table'!$A$4:$K$47,11,0)</f>
        <v>62.9</v>
      </c>
      <c r="S83" s="77" t="s">
        <v>1111</v>
      </c>
      <c r="T83" s="77"/>
      <c r="U83" s="77"/>
      <c r="V83" s="98" t="n">
        <f aca="false">VLOOKUP(V28, 'Wire Table'!$A$4:$K$47,11,0)</f>
        <v>15.75</v>
      </c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228"/>
      <c r="AU83" s="53"/>
      <c r="AV83" s="53"/>
      <c r="AW83" s="68"/>
    </row>
    <row r="84" customFormat="false" ht="14.4" hidden="false" customHeight="false" outlineLevel="0" collapsed="false">
      <c r="N84" s="77" t="s">
        <v>1112</v>
      </c>
      <c r="O84" s="77"/>
      <c r="P84" s="77"/>
      <c r="Q84" s="191" t="n">
        <f aca="false">(Q24/304.8)/Q83</f>
        <v>0.119627080088889</v>
      </c>
      <c r="S84" s="77" t="s">
        <v>1112</v>
      </c>
      <c r="T84" s="77"/>
      <c r="U84" s="77"/>
      <c r="V84" s="191" t="n">
        <f aca="false">(V24/304.8)/V83</f>
        <v>-2.70154330676963</v>
      </c>
      <c r="X84" s="53"/>
      <c r="Y84" s="53"/>
      <c r="Z84" s="53"/>
      <c r="AA84" s="53"/>
      <c r="AB84" s="53"/>
      <c r="AC84" s="53"/>
      <c r="AD84" s="53"/>
      <c r="AE84" s="58"/>
      <c r="AF84" s="58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228"/>
      <c r="AU84" s="53"/>
      <c r="AV84" s="53"/>
      <c r="AW84" s="68"/>
    </row>
    <row r="85" customFormat="false" ht="14.4" hidden="false" customHeight="false" outlineLevel="0" collapsed="false">
      <c r="N85" s="214"/>
      <c r="O85" s="214"/>
      <c r="P85" s="214"/>
      <c r="X85" s="53"/>
      <c r="Y85" s="53"/>
      <c r="Z85" s="53"/>
      <c r="AA85" s="53"/>
      <c r="AB85" s="53"/>
      <c r="AG85" s="58"/>
      <c r="AH85" s="58"/>
      <c r="AI85" s="58"/>
      <c r="AJ85" s="58"/>
      <c r="AK85" s="58"/>
      <c r="AL85" s="53"/>
      <c r="AM85" s="53"/>
      <c r="AN85" s="53"/>
      <c r="AO85" s="53"/>
      <c r="AP85" s="53"/>
      <c r="AQ85" s="53"/>
      <c r="AR85" s="53"/>
      <c r="AS85" s="53"/>
      <c r="AT85" s="228"/>
      <c r="AU85" s="53"/>
      <c r="AV85" s="53"/>
      <c r="AW85" s="68"/>
    </row>
    <row r="86" customFormat="false" ht="14.4" hidden="false" customHeight="false" outlineLevel="0" collapsed="false">
      <c r="N86" s="67" t="s">
        <v>1113</v>
      </c>
      <c r="O86" s="67"/>
      <c r="P86" s="67"/>
      <c r="S86" s="67" t="s">
        <v>1113</v>
      </c>
      <c r="T86" s="67"/>
      <c r="U86" s="67"/>
      <c r="X86" s="53"/>
      <c r="Y86" s="53"/>
      <c r="Z86" s="53"/>
      <c r="AA86" s="53"/>
      <c r="AB86" s="53"/>
      <c r="AL86" s="53"/>
      <c r="AM86" s="53"/>
      <c r="AN86" s="53"/>
      <c r="AO86" s="53"/>
      <c r="AP86" s="53"/>
      <c r="AQ86" s="53"/>
      <c r="AR86" s="53"/>
      <c r="AS86" s="53"/>
      <c r="AT86" s="228"/>
      <c r="AU86" s="53"/>
      <c r="AV86" s="53"/>
      <c r="AW86" s="68"/>
    </row>
    <row r="87" customFormat="false" ht="14.4" hidden="false" customHeight="false" outlineLevel="0" collapsed="false">
      <c r="N87" s="77" t="s">
        <v>13</v>
      </c>
      <c r="O87" s="77"/>
      <c r="P87" s="77"/>
      <c r="Q87" s="98" t="n">
        <f aca="false">VLOOKUP(Q3,'Powder Core Detail'!$A$2:$T$985,3,0)</f>
        <v>930</v>
      </c>
      <c r="S87" s="77" t="s">
        <v>13</v>
      </c>
      <c r="T87" s="77"/>
      <c r="U87" s="77"/>
      <c r="V87" s="98" t="n">
        <f aca="false">VLOOKUP(V3,'Powder Core Detail'!$A$2:$T$985,3,0)</f>
        <v>350</v>
      </c>
      <c r="X87" s="53"/>
      <c r="Y87" s="53"/>
      <c r="Z87" s="53"/>
      <c r="AA87" s="53"/>
      <c r="AB87" s="53"/>
      <c r="AL87" s="53"/>
      <c r="AM87" s="53"/>
      <c r="AN87" s="53"/>
      <c r="AO87" s="58"/>
      <c r="AP87" s="53"/>
      <c r="AQ87" s="53"/>
      <c r="AR87" s="53"/>
      <c r="AS87" s="53"/>
      <c r="AT87" s="228"/>
      <c r="AU87" s="58"/>
      <c r="AV87" s="58"/>
      <c r="AW87" s="241"/>
    </row>
    <row r="88" customFormat="false" ht="14.4" hidden="false" customHeight="false" outlineLevel="0" collapsed="false">
      <c r="N88" s="77" t="s">
        <v>1114</v>
      </c>
      <c r="O88" s="77"/>
      <c r="P88" s="77"/>
      <c r="Q88" s="98" t="n">
        <f aca="false">VLOOKUP(--Q87,'Surface Area'!$A$2:$F$37,6,0)</f>
        <v>4209.5</v>
      </c>
      <c r="S88" s="77" t="s">
        <v>1114</v>
      </c>
      <c r="T88" s="77"/>
      <c r="U88" s="77"/>
      <c r="V88" s="98" t="n">
        <f aca="false">VLOOKUP(--V87,'Surface Area'!$A$2:$G$37,7,0)</f>
        <v>17277.8523489933</v>
      </c>
      <c r="AL88" s="53"/>
      <c r="AM88" s="53"/>
      <c r="AN88" s="53"/>
      <c r="AP88" s="53"/>
      <c r="AQ88" s="53"/>
      <c r="AR88" s="53"/>
      <c r="AS88" s="53"/>
      <c r="AT88" s="228"/>
    </row>
    <row r="89" customFormat="false" ht="14.4" hidden="false" customHeight="false" outlineLevel="0" collapsed="false">
      <c r="N89" s="77" t="s">
        <v>1115</v>
      </c>
      <c r="O89" s="77"/>
      <c r="P89" s="77"/>
      <c r="Q89" s="191" t="n">
        <f aca="false">(Q90*PI()*(Q65+Q66))</f>
        <v>1575.44588392221</v>
      </c>
      <c r="S89" s="77" t="s">
        <v>1115</v>
      </c>
      <c r="T89" s="77"/>
      <c r="U89" s="77"/>
      <c r="V89" s="191" t="n">
        <f aca="false">(V90*PI()*(V65+V66))</f>
        <v>1156.25060978311</v>
      </c>
      <c r="AL89" s="53"/>
      <c r="AM89" s="53"/>
      <c r="AN89" s="53"/>
      <c r="AP89" s="53"/>
      <c r="AQ89" s="53"/>
      <c r="AR89" s="53"/>
      <c r="AS89" s="53"/>
      <c r="AT89" s="228"/>
    </row>
    <row r="90" customFormat="false" ht="14.4" hidden="false" customHeight="false" outlineLevel="0" collapsed="false">
      <c r="N90" s="77" t="s">
        <v>1116</v>
      </c>
      <c r="O90" s="77"/>
      <c r="P90" s="77"/>
      <c r="Q90" s="98" t="n">
        <f aca="false">(VLOOKUP(Q3,'Powder Core Detail'!$A$2:$T$985,15,0))</f>
        <v>12</v>
      </c>
      <c r="S90" s="77" t="s">
        <v>1116</v>
      </c>
      <c r="T90" s="77"/>
      <c r="U90" s="77"/>
      <c r="V90" s="98" t="n">
        <f aca="false">(VLOOKUP(V3,'Powder Core Detail'!$A$2:$T$985,15,0))</f>
        <v>9.66</v>
      </c>
      <c r="AL90" s="53"/>
      <c r="AM90" s="53"/>
      <c r="AN90" s="53"/>
      <c r="AP90" s="53"/>
      <c r="AQ90" s="53"/>
      <c r="AR90" s="53"/>
      <c r="AS90" s="53"/>
      <c r="AT90" s="228"/>
    </row>
    <row r="91" customFormat="false" ht="14.4" hidden="false" customHeight="false" outlineLevel="0" collapsed="false">
      <c r="N91" s="77" t="s">
        <v>1117</v>
      </c>
      <c r="O91" s="77"/>
      <c r="P91" s="77"/>
      <c r="Q91" s="191" t="n">
        <f aca="false">Q88+(Q4-1)*(Q89)</f>
        <v>4209.5</v>
      </c>
      <c r="S91" s="77" t="s">
        <v>1117</v>
      </c>
      <c r="T91" s="77"/>
      <c r="U91" s="77"/>
      <c r="V91" s="191" t="n">
        <f aca="false">V88+(V4-1)*(V89)</f>
        <v>17277.8523489933</v>
      </c>
      <c r="AL91" s="53"/>
      <c r="AM91" s="53"/>
      <c r="AN91" s="53"/>
      <c r="AP91" s="58"/>
      <c r="AQ91" s="58"/>
      <c r="AR91" s="58"/>
      <c r="AS91" s="58"/>
      <c r="AT91" s="59"/>
    </row>
    <row r="92" customFormat="false" ht="14.4" hidden="false" customHeight="false" outlineLevel="0" collapsed="false">
      <c r="AL92" s="53"/>
      <c r="AM92" s="53"/>
      <c r="AN92" s="53"/>
    </row>
    <row r="93" customFormat="false" ht="14.4" hidden="false" customHeight="false" outlineLevel="0" collapsed="false">
      <c r="N93" s="77" t="s">
        <v>967</v>
      </c>
      <c r="O93" s="77"/>
      <c r="P93" s="77"/>
      <c r="Q93" s="191" t="str">
        <f aca="false">VLOOKUP(Q3,'Powder Core Detail'!$A$2:$T$985,2,0)</f>
        <v>C055930A2</v>
      </c>
      <c r="S93" s="77" t="s">
        <v>967</v>
      </c>
      <c r="T93" s="77"/>
      <c r="U93" s="77"/>
      <c r="V93" s="191" t="str">
        <f aca="false">VLOOKUP(V3,'Powder Core Detail'!$A$2:$T$985,2,0)</f>
        <v>0077351A7</v>
      </c>
      <c r="AL93" s="58"/>
      <c r="AM93" s="58"/>
      <c r="AN93" s="58"/>
    </row>
    <row r="94" customFormat="false" ht="14.4" hidden="false" customHeight="false" outlineLevel="0" collapsed="false">
      <c r="N94" s="77" t="s">
        <v>1118</v>
      </c>
      <c r="O94" s="77"/>
      <c r="P94" s="77"/>
      <c r="Q94" s="98" t="n">
        <f aca="false">VLOOKUP(Q3,'Powder Core Detail'!$A$2:$T$985,16,0)*Q4</f>
        <v>0.654</v>
      </c>
      <c r="S94" s="77" t="s">
        <v>1118</v>
      </c>
      <c r="T94" s="77"/>
      <c r="U94" s="77"/>
      <c r="V94" s="98" t="n">
        <f aca="false">VLOOKUP(V3,'Powder Core Detail'!$A$2:$T$985,16,0)*V4</f>
        <v>0.388</v>
      </c>
    </row>
    <row r="96" customFormat="false" ht="14.4" hidden="false" customHeight="false" outlineLevel="0" collapsed="false">
      <c r="N96" s="77" t="s">
        <v>1119</v>
      </c>
      <c r="O96" s="77"/>
      <c r="P96" s="77"/>
      <c r="Q96" s="191"/>
      <c r="S96" s="77" t="s">
        <v>1119</v>
      </c>
      <c r="T96" s="77"/>
      <c r="U96" s="77"/>
      <c r="V96" s="191"/>
    </row>
    <row r="97" customFormat="false" ht="14.4" hidden="false" customHeight="false" outlineLevel="0" collapsed="false">
      <c r="N97" s="77" t="s">
        <v>1120</v>
      </c>
      <c r="O97" s="77"/>
      <c r="P97" s="77"/>
      <c r="Q97" s="240" t="n">
        <f aca="false">IF($Q$5="Kool Mu",VLOOKUP($Q$6,'Kool Mu CF Constants'!$A$3:$F$9,2,0),IF($Q$5="MPP",VLOOKUP($Q$6,'MPP CF'!$A$3:$F$12,2,0),IF($Q$5="High Flux",VLOOKUP($Q$6,'HF CF'!$A$3:$F$8,2,0),IF($Q$5="XFlux",VLOOKUP($Q$6,'XF CF'!$A$3:$F$6,2,0),IF($Q$5="75", VLOOKUP($Q$6,'75 CF'!A2:D6,2,0))))))</f>
        <v>0.01</v>
      </c>
      <c r="S97" s="77" t="s">
        <v>1120</v>
      </c>
      <c r="T97" s="77"/>
      <c r="U97" s="77"/>
      <c r="V97" s="239" t="n">
        <f aca="false">IF($V$5="Kool Mu",VLOOKUP($V$6,'Kool Mu CF Constants'!$A$3:$F$9,2,0),IF($V$5="MPP",VLOOKUP($V$6,'MPP CF'!$A$3:$F$12,2,0),IF($V$5="High Flux",VLOOKUP($V$6,'HF CF'!$A$3:$F$8,2,0),IF($V$5="XFlux",VLOOKUP($V$6,'XF CF'!$A$3:$F$5,2,0)))))</f>
        <v>0.01</v>
      </c>
    </row>
    <row r="98" customFormat="false" ht="14.4" hidden="false" customHeight="false" outlineLevel="0" collapsed="false">
      <c r="N98" s="77" t="s">
        <v>1121</v>
      </c>
      <c r="O98" s="77"/>
      <c r="P98" s="77"/>
      <c r="Q98" s="240" t="n">
        <f aca="false">IF($Q$5="Kool Mu",VLOOKUP($Q$6,'Kool Mu CF Constants'!$A$3:$F$9,3,0),IF($Q$5="MPP",VLOOKUP($Q$6,'MPP CF'!$A$3:$F$12,3,0),IF($Q$5="High Flux",VLOOKUP($Q$6,'HF CF'!$A$3:$F$8,3,0),IF($Q$5="XFlux",VLOOKUP($Q$6,'XF CF'!$A$3:$F$6,3,0),IF($Q$5="75",VLOOKUP($Q$6,'75 CF'!A2:D6,3,0))))))</f>
        <v>1.96711260614526E-006</v>
      </c>
      <c r="S98" s="77" t="s">
        <v>1121</v>
      </c>
      <c r="T98" s="77"/>
      <c r="U98" s="77"/>
      <c r="V98" s="239" t="n">
        <f aca="false">IF($V$5="Kool Mu",VLOOKUP($V$6,'Kool Mu CF Constants'!$A$3:$F$9,3,0),IF($V$5="MPP",VLOOKUP($V$6,'MPP CF'!$A$3:$F$12,3,0),IF($V$5="High Flux",VLOOKUP($V$6,'HF CF'!$A$3:$F$8,3,0),IF($V$5="XFlux",VLOOKUP($V$6,'XF CF'!$A$3:$F$5,3,0)))))</f>
        <v>5.19337743558991E-006</v>
      </c>
    </row>
    <row r="99" customFormat="false" ht="14.4" hidden="false" customHeight="false" outlineLevel="0" collapsed="false">
      <c r="N99" s="77" t="s">
        <v>1122</v>
      </c>
      <c r="O99" s="77"/>
      <c r="P99" s="77"/>
      <c r="Q99" s="240" t="n">
        <f aca="false">IF($Q$5="Kool Mu",VLOOKUP($Q$6,'Kool Mu CF Constants'!$A$3:$F$9,4,0),IF($Q$5="MPP",VLOOKUP($Q$6,'MPP CF'!$A$3:$F$12,4,0),IF($Q$5="High Flux",VLOOKUP($Q$6,'HF CF'!$A$3:$F$8,4,0),IF($Q$5="XFlux",VLOOKUP($Q$6,'XF CF'!$A$3:$F$6,4,0),IF($Q$5="75", VLOOKUP($Q$6,'75 CF'!A2:D6,4,0))))))</f>
        <v>2.25345696165796</v>
      </c>
      <c r="S99" s="77" t="s">
        <v>1122</v>
      </c>
      <c r="T99" s="77"/>
      <c r="U99" s="77"/>
      <c r="V99" s="239" t="n">
        <f aca="false">IF($V$5="Kool Mu",VLOOKUP($V$6,'Kool Mu CF Constants'!$A$3:$F$9,4,0),IF($V$5="MPP",VLOOKUP($V$6,'MPP CF'!$A$3:$F$12,4,0),IF($V$5="High Flux",VLOOKUP($V$6,'HF CF'!$A$3:$F$8,4,0),IF($V$5="XFlux",VLOOKUP($V$6,'XF CF'!$A$3:$F$5,4,0)))))</f>
        <v>1.74887722619815</v>
      </c>
    </row>
    <row r="100" customFormat="false" ht="14.4" hidden="false" customHeight="false" outlineLevel="0" collapsed="false">
      <c r="N100" s="77" t="s">
        <v>1123</v>
      </c>
      <c r="O100" s="77"/>
      <c r="P100" s="77"/>
      <c r="Q100" s="239"/>
      <c r="S100" s="77" t="s">
        <v>1123</v>
      </c>
      <c r="T100" s="77"/>
      <c r="U100" s="77"/>
      <c r="V100" s="239" t="n">
        <f aca="false">IF($V$5="Kool Mu",VLOOKUP($V$6,'Kool Mu CF Constants'!$A$3:$F$9,5,0),IF($V$5="MPP",VLOOKUP($V$6,'MPP CF'!$A$3:$F$12,5,0),IF($V$5="High Flux",VLOOKUP($V$6,'HF CF'!$A$3:$F$8,5,0),IF($V$5="XFlux",VLOOKUP($V$6,'XF CF'!$A$3:$F$5,5,0)))))</f>
        <v>0</v>
      </c>
    </row>
    <row r="101" customFormat="false" ht="14.4" hidden="false" customHeight="false" outlineLevel="0" collapsed="false">
      <c r="N101" s="77" t="s">
        <v>1124</v>
      </c>
      <c r="O101" s="77"/>
      <c r="P101" s="77"/>
      <c r="Q101" s="239"/>
      <c r="S101" s="77" t="s">
        <v>1124</v>
      </c>
      <c r="T101" s="77"/>
      <c r="U101" s="77"/>
      <c r="V101" s="239" t="n">
        <f aca="false">IF($V$5="Kool Mu",VLOOKUP($V$6,'Kool Mu CF Constants'!$A$3:$F$9,6,0),IF($V$5="MPP",VLOOKUP($V$6,'MPP CF'!$A$3:$F$12,6,0),IF($V$5="High Flux",VLOOKUP($V$6,'HF CF'!$A$3:$F$8,6,0),IF($V$5="XFlux",VLOOKUP($V$6,'XF CF'!$A$3:$F$5,6,0)))))</f>
        <v>0</v>
      </c>
    </row>
    <row r="102" customFormat="false" ht="14.4" hidden="false" customHeight="false" outlineLevel="0" collapsed="false">
      <c r="N102" s="77" t="s">
        <v>1125</v>
      </c>
      <c r="O102" s="77"/>
      <c r="P102" s="77"/>
      <c r="Q102" s="240" t="n">
        <f aca="false">IF($Q$5="Kool Mu",VLOOKUP($Q$6,'Kool Mu CF Constants'!$A$11:$G$17,2,0),IF($Q$5="MPP",VLOOKUP($Q$6,'MPP CF'!$A$14:$G$23,2,0),IF($Q$5="High Flux",VLOOKUP($Q$6,'HF CF'!$A$10:$G$15,2,0),IF($Q$5="XFlux",VLOOKUP($Q$6,'XF CF'!$A$11:$G$12,2,0),IF($Q$5="75",VLOOKUP($Q$6,'75 CF'!A10:G14,2,0))))))</f>
        <v>0.000642</v>
      </c>
      <c r="S102" s="77" t="s">
        <v>1125</v>
      </c>
      <c r="T102" s="77"/>
      <c r="U102" s="77"/>
      <c r="V102" s="239" t="n">
        <f aca="false">IF($V$5="Kool Mu",VLOOKUP($V$6,'Kool Mu CF Constants'!$A$11:$G$17,2,0),IF($V$5="MPP",VLOOKUP($V$6,'MPP CF'!$A$14:$G$23,2,0),IF($V$5="High Flux",VLOOKUP($V$6,'HF CF'!$A$10:$G$15,2,0),IF($V$5="XFlux",VLOOKUP($V$6,'XF CF'!$A$9:$G$10,2,0)))))</f>
        <v>0.0001658</v>
      </c>
    </row>
    <row r="103" customFormat="false" ht="14.4" hidden="false" customHeight="false" outlineLevel="0" collapsed="false">
      <c r="N103" s="77" t="s">
        <v>1126</v>
      </c>
      <c r="O103" s="77"/>
      <c r="P103" s="77"/>
      <c r="Q103" s="240" t="n">
        <f aca="false">IF($Q$5="Kool Mu",VLOOKUP($Q$6,'Kool Mu CF Constants'!$A$11:$G$17,3,0),IF($Q$5="MPP",VLOOKUP($Q$6,'MPP CF'!$A$14:$G$23,3,0),IF($Q$5="High Flux",VLOOKUP($Q$6,'HF CF'!$A$10:$G$15,3,0),IF($Q$5="XFlux",VLOOKUP($Q$6,'XF CF'!$A$11:$G$12,3,0),IF($Q$5="75",VLOOKUP($Q$6,'75 CF'!A10:G14,3,0))))))</f>
        <v>-0.0006271</v>
      </c>
      <c r="S103" s="77" t="s">
        <v>1126</v>
      </c>
      <c r="T103" s="77"/>
      <c r="U103" s="77"/>
      <c r="V103" s="239" t="n">
        <f aca="false">IF($V$5="Kool Mu",VLOOKUP($V$6,'Kool Mu CF Constants'!$A$11:$G$17,3,0),IF($V$5="MPP",VLOOKUP($V$6,'MPP CF'!$A$14:$G$23,3,0),IF($V$5="High Flux",VLOOKUP($V$6,'HF CF'!$A$10:$G$15,3,0),IF($V$5="XFlux",VLOOKUP($V$6,'XF CF'!$A$9:$G$10,3,0)))))</f>
        <v>2.301E-005</v>
      </c>
    </row>
    <row r="104" customFormat="false" ht="14.4" hidden="false" customHeight="false" outlineLevel="0" collapsed="false">
      <c r="N104" s="77" t="s">
        <v>1127</v>
      </c>
      <c r="O104" s="77"/>
      <c r="P104" s="77"/>
      <c r="Q104" s="240" t="n">
        <f aca="false">IF($Q$5="Kool Mu",VLOOKUP($Q$6,'Kool Mu CF Constants'!$A$11:$G$17,4,0),IF($Q$5="MPP",VLOOKUP($Q$6,'MPP CF'!$A$14:$G$23,4,0),IF($Q$5="High Flux",VLOOKUP($Q$6,'HF CF'!$A$10:$G$15,4,0),IF($Q$5="XFlux",VLOOKUP($Q$6,'XF CF'!$A$11:$G$12,4,0),IF($Q$5="75",VLOOKUP($Q$6,'75 CF'!A10:G14,4,0))))))</f>
        <v>0.0003253</v>
      </c>
      <c r="S104" s="77" t="s">
        <v>1127</v>
      </c>
      <c r="T104" s="77"/>
      <c r="U104" s="77"/>
      <c r="V104" s="239" t="n">
        <f aca="false">IF($V$5="Kool Mu",VLOOKUP($V$6,'Kool Mu CF Constants'!$A$11:$G$17,4,0),IF($V$5="MPP",VLOOKUP($V$6,'MPP CF'!$A$14:$G$23,4,0),IF($V$5="High Flux",VLOOKUP($V$6,'HF CF'!$A$10:$G$15,4,0),IF($V$5="XFlux",VLOOKUP($V$6,'XF CF'!$A$9:$G$10,4,0)))))</f>
        <v>7.297E-005</v>
      </c>
    </row>
    <row r="105" customFormat="false" ht="14.4" hidden="false" customHeight="false" outlineLevel="0" collapsed="false">
      <c r="N105" s="77" t="s">
        <v>1128</v>
      </c>
      <c r="O105" s="77"/>
      <c r="P105" s="77"/>
      <c r="Q105" s="240" t="n">
        <f aca="false">IF($Q$5="Kool Mu",VLOOKUP($Q$6,'Kool Mu CF Constants'!$A$11:$G$17,5,0),IF($Q$5="MPP",VLOOKUP($Q$6,'MPP CF'!$A$14:$G$23,5,0),IF($Q$5="High Flux",VLOOKUP($Q$6,'HF CF'!$A$10:$G$15,5,0),IF($Q$5="XFlux",VLOOKUP($Q$6,'XF CF'!$A$11:$G$12,5,0),IF($Q$5="75",VLOOKUP($Q$6,'75 CF'!A10:G14,5,0))))))</f>
        <v>0.009901</v>
      </c>
      <c r="S105" s="77" t="s">
        <v>1128</v>
      </c>
      <c r="T105" s="77"/>
      <c r="U105" s="77"/>
      <c r="V105" s="239" t="n">
        <f aca="false">IF($V$5="Kool Mu",VLOOKUP($V$6,'Kool Mu CF Constants'!$A$11:$G$17,5,0),IF($V$5="MPP",VLOOKUP($V$6,'MPP CF'!$A$14:$G$23,5,0),IF($V$5="High Flux",VLOOKUP($V$6,'HF CF'!$A$10:$G$15,5,0),IF($V$5="XFlux",VLOOKUP($V$6,'XF CF'!$A$9:$G$10,5,0)))))</f>
        <v>0.005906</v>
      </c>
    </row>
    <row r="106" customFormat="false" ht="14.4" hidden="false" customHeight="false" outlineLevel="0" collapsed="false">
      <c r="N106" s="77" t="s">
        <v>1129</v>
      </c>
      <c r="O106" s="77"/>
      <c r="P106" s="77"/>
      <c r="Q106" s="240" t="n">
        <f aca="false">IF($Q$5="Kool Mu",VLOOKUP($Q$6,'Kool Mu CF Constants'!$A$11:$G$17,6,0),IF($Q$5="MPP",VLOOKUP($Q$6,'MPP CF'!$A$14:$G$23,6,0),IF($Q$5="High Flux",VLOOKUP($Q$6,'HF CF'!$A$10:$G$15,6,0),IF($Q$5="XFlux",VLOOKUP($Q$6,'XF CF'!$A$11:$G$12,6,0),IF($Q$5="75",VLOOKUP($Q$6,'75 CF'!A10:G14,6,0))))))</f>
        <v>0.0005366</v>
      </c>
      <c r="S106" s="77" t="s">
        <v>1129</v>
      </c>
      <c r="T106" s="77"/>
      <c r="U106" s="77"/>
      <c r="V106" s="239" t="n">
        <f aca="false">IF($V$5="Kool Mu",VLOOKUP($V$6,'Kool Mu CF Constants'!$A$11:$G$17,6,0),IF($V$5="MPP",VLOOKUP($V$6,'MPP CF'!$A$14:$G$23,6,0),IF($V$5="High Flux",VLOOKUP($V$6,'HF CF'!$A$10:$G$15,6,0),IF($V$5="XFlux",VLOOKUP($V$6,'XF CF'!$A$9:$G$10,6,0)))))</f>
        <v>6.053E-005</v>
      </c>
    </row>
    <row r="107" customFormat="false" ht="14.4" hidden="false" customHeight="false" outlineLevel="0" collapsed="false">
      <c r="N107" s="77" t="s">
        <v>1130</v>
      </c>
      <c r="O107" s="77"/>
      <c r="P107" s="77"/>
      <c r="Q107" s="240" t="n">
        <f aca="false">IF($Q$5="Kool Mu",VLOOKUP($Q$6,'Kool Mu CF Constants'!$A$11:$G$17,7,0),IF($Q$5="MPP",VLOOKUP($Q$6,'MPP CF'!$A$14:$G$23,7,0),IF($Q$5="High Flux",VLOOKUP($Q$6,'HF CF'!$A$10:$G$15,7,0),IF($Q$5="XFlux",VLOOKUP($Q$6,'XF CF'!$A$11:$G$12,7,0),IF($Q$5="75",VLOOKUP($Q$6,'75 CF'!A11:G15,7,0))))))</f>
        <v>0.5</v>
      </c>
      <c r="S107" s="77" t="s">
        <v>1130</v>
      </c>
      <c r="T107" s="77"/>
      <c r="U107" s="77"/>
      <c r="V107" s="239" t="n">
        <f aca="false">IF($V$5="Kool Mu",VLOOKUP($V$6,'Kool Mu CF Constants'!$A$11:$G$17,7,0),IF($V$5="MPP",VLOOKUP($V$6,'MPP CF'!$A$14:$G$23,7,0),IF($V$5="High Flux",VLOOKUP($V$6,'HF CF'!$A$10:$G$15,7,0),IF($V$5="XFlux",VLOOKUP($V$6,'XF CF'!$A$9:$G$10,7,0)))))</f>
        <v>0.5</v>
      </c>
    </row>
    <row r="108" customFormat="false" ht="14.4" hidden="false" customHeight="false" outlineLevel="0" collapsed="false">
      <c r="N108" s="77" t="s">
        <v>1131</v>
      </c>
      <c r="O108" s="77"/>
      <c r="P108" s="77"/>
      <c r="Q108" s="240" t="n">
        <f aca="false">IF($Q$5="Kool Mu",VLOOKUP($Q$6,'Kool Mu CF Constants'!$A$19:$D$25,2,0),IF($Q$5="MPP",VLOOKUP($Q$6,'MPP CF'!$A$25:$D$34,2,0),IF($Q$5="High Flux",VLOOKUP($Q$6,'HF CF'!$A$17:$D$22,2,0),IF($Q$5="XFlux",IF($E$7&lt;10,VLOOKUP($Q$6,'XF CF'!B15:E17,2,0),IF($E$7&lt;20,VLOOKUP($Q$6,'XF CF'!B18:E20,2,0),IF($E$7&gt;=20,VLOOKUP($Q$6,'XF CF'!B21:E23,2,0))))))))</f>
        <v>53.05</v>
      </c>
      <c r="R108" s="242" t="n">
        <f aca="false">IF($Q$5="75",VLOOKUP($Q$6,'75 CF'!A18:D22,2,0))</f>
        <v>0</v>
      </c>
      <c r="S108" s="77" t="s">
        <v>1131</v>
      </c>
      <c r="T108" s="77"/>
      <c r="U108" s="77"/>
      <c r="V108" s="239" t="n">
        <f aca="false">IF($V$5="Kool Mu",VLOOKUP($V$6,'Kool Mu CF Constants'!$A$19:$D$25,2,0),IF($V$5="MPP",VLOOKUP($V$6,'MPP CF'!$A$25:$D$34,2,0),IF($V$5="High Flux",VLOOKUP($V$6,'HF CF'!$A$17:$D$22,2,0),IF($V$5="XFlux",VLOOKUP($V$6,'XF CF'!$A$14:$D$15,2,0)))))</f>
        <v>193</v>
      </c>
    </row>
    <row r="109" customFormat="false" ht="14.4" hidden="false" customHeight="false" outlineLevel="0" collapsed="false">
      <c r="N109" s="77" t="s">
        <v>1132</v>
      </c>
      <c r="O109" s="77"/>
      <c r="P109" s="77"/>
      <c r="Q109" s="240" t="n">
        <f aca="false">IF($Q$5="Kool Mu",VLOOKUP($Q$6,'Kool Mu CF Constants'!$A$19:$D$25,3,0),IF($Q$5="MPP",VLOOKUP($Q$6,'MPP CF'!$A$25:$D$34,3,0),IF($Q$5="High Flux",VLOOKUP($Q$6,'HF CF'!$A$17:$D$22,3,0),IF($Q$5="XFlux",IF($E$7&lt;10,VLOOKUP($Q$6,'XF CF'!B15:E17,3,0),IF($E$7&lt;20,VLOOKUP($Q$6,'XF CF'!B18:E20,3,0),IF($E$7&gt;=20,VLOOKUP($Q$6,'XF CF'!B21:E23,3,0))))))))</f>
        <v>2.06</v>
      </c>
      <c r="R109" s="242" t="n">
        <f aca="false">IF($Q$5="75",VLOOKUP($Q$6,'75 CF'!A18:D22,3,0))</f>
        <v>0</v>
      </c>
      <c r="S109" s="77" t="s">
        <v>1132</v>
      </c>
      <c r="T109" s="77"/>
      <c r="U109" s="77"/>
      <c r="V109" s="239" t="n">
        <f aca="false">IF($V$5="Kool Mu",VLOOKUP($V$6,'Kool Mu CF Constants'!$A$19:$D$25,3,0),IF($V$5="MPP",VLOOKUP($V$6,'MPP CF'!$A$25:$D$34,3,0),IF($V$5="High Flux",VLOOKUP($V$6,'HF CF'!$A$17:$D$22,3,0),IF($V$5="XFlux",VLOOKUP($V$6,'XF CF'!$A$14:$D$15,3,0)))))</f>
        <v>2.01</v>
      </c>
    </row>
    <row r="110" customFormat="false" ht="10.5" hidden="false" customHeight="true" outlineLevel="0" collapsed="false">
      <c r="N110" s="77" t="s">
        <v>1133</v>
      </c>
      <c r="O110" s="77"/>
      <c r="P110" s="77"/>
      <c r="Q110" s="240" t="n">
        <f aca="false">IF($Q$5="Kool Mu",VLOOKUP($Q$6,'Kool Mu CF Constants'!$A$19:$D$25,4,0),IF($Q$5="MPP",VLOOKUP($Q$6,'MPP CF'!$A$25:$D$34,4,0),IF($Q$5="High Flux",VLOOKUP($Q$6,'HF CF'!$A$17:$D$22,4,0),IF($Q$5="XFlux",IF($E$7&lt;10,VLOOKUP($Q$6,'XF CF'!B15:E17,4,0),IF($E$7&lt;20,VLOOKUP($Q$6,'XF CF'!B18:E20,4,0),IF($E$7&gt;=20,VLOOKUP($Q$6,'XF CF'!B21:E23,4,0))))))))</f>
        <v>1.56</v>
      </c>
      <c r="R110" s="242" t="n">
        <f aca="false">IF($Q$5="75",VLOOKUP($Q$6,'75 CF'!A18:D22,4,0))</f>
        <v>0</v>
      </c>
      <c r="S110" s="77" t="s">
        <v>1133</v>
      </c>
      <c r="T110" s="77"/>
      <c r="U110" s="77"/>
      <c r="V110" s="239" t="n">
        <f aca="false">IF($V$5="Kool Mu",VLOOKUP($V$6,'Kool Mu CF Constants'!$A$19:$D$25,4,0),IF($V$5="MPP",VLOOKUP($V$6,'MPP CF'!$A$25:$D$34,4,0),IF($V$5="High Flux",VLOOKUP($V$6,'HF CF'!$A$17:$D$22,4,0),IF($V$5="XFlux",VLOOKUP($V$6,'XF CF'!$A$14:$D$15,4,0)))))</f>
        <v>1.29</v>
      </c>
    </row>
    <row r="111" customFormat="false" ht="9.75" hidden="false" customHeight="true" outlineLevel="0" collapsed="false">
      <c r="N111" s="153" t="s">
        <v>1134</v>
      </c>
      <c r="O111" s="153"/>
      <c r="P111" s="153"/>
      <c r="Q111" s="191" t="n">
        <f aca="false">$E$16*Q49/Q45</f>
        <v>57.8508661417323</v>
      </c>
      <c r="S111" s="153" t="s">
        <v>1134</v>
      </c>
      <c r="T111" s="153"/>
      <c r="U111" s="153"/>
      <c r="V111" s="191" t="n">
        <f aca="false">$E$16*V49/V45</f>
        <v>49.0875</v>
      </c>
    </row>
    <row r="112" customFormat="false" ht="15" hidden="false" customHeight="true" outlineLevel="0" collapsed="false">
      <c r="N112" s="77" t="s">
        <v>1135</v>
      </c>
      <c r="O112" s="77"/>
      <c r="P112" s="77"/>
      <c r="Q112" s="191" t="n">
        <f aca="false">$E$17*Q49/Q45</f>
        <v>52.3412598425197</v>
      </c>
      <c r="S112" s="77" t="s">
        <v>1135</v>
      </c>
      <c r="T112" s="77"/>
      <c r="U112" s="77"/>
      <c r="V112" s="191" t="n">
        <f aca="false">$E$17*V49/V45</f>
        <v>44.4125</v>
      </c>
    </row>
    <row r="113" customFormat="false" ht="14.4" hidden="false" customHeight="false" outlineLevel="0" collapsed="false">
      <c r="N113" s="77" t="s">
        <v>1136</v>
      </c>
      <c r="O113" s="77"/>
      <c r="P113" s="77"/>
      <c r="Q113" s="191" t="n">
        <f aca="false">IF($E$18=0,$E19*Q47/Q45,$E$18*Q47/Q45)</f>
        <v>55.096062992126</v>
      </c>
      <c r="S113" s="77" t="s">
        <v>1136</v>
      </c>
      <c r="T113" s="77"/>
      <c r="U113" s="77"/>
      <c r="V113" s="191" t="n">
        <f aca="false">$E$18*V47/V45</f>
        <v>46.75</v>
      </c>
    </row>
    <row r="114" customFormat="false" ht="14.4" hidden="false" customHeight="false" outlineLevel="0" collapsed="false">
      <c r="N114" s="77" t="s">
        <v>1137</v>
      </c>
      <c r="O114" s="77"/>
      <c r="P114" s="77"/>
      <c r="Q114" s="191" t="n">
        <f aca="false">$E$19*Q49/Q45</f>
        <v>80.6724026664332</v>
      </c>
      <c r="S114" s="77" t="s">
        <v>1137</v>
      </c>
      <c r="T114" s="77"/>
      <c r="U114" s="77"/>
      <c r="V114" s="191" t="n">
        <f aca="false">$E$19*V49/V45</f>
        <v>68.4519840409422</v>
      </c>
    </row>
    <row r="115" customFormat="false" ht="14.4" hidden="false" customHeight="false" outlineLevel="0" collapsed="false">
      <c r="N115" s="77" t="s">
        <v>1138</v>
      </c>
      <c r="O115" s="77"/>
      <c r="P115" s="77"/>
      <c r="Q115" s="191" t="n">
        <f aca="false">IF($E$18=0,$E$19*Q49/Q45,$E$18*Q49/Q45)</f>
        <v>55.096062992126</v>
      </c>
      <c r="S115" s="77" t="s">
        <v>1138</v>
      </c>
      <c r="T115" s="77"/>
      <c r="U115" s="77"/>
      <c r="V115" s="191" t="n">
        <f aca="false">$E$18*V49/V45</f>
        <v>46.75</v>
      </c>
    </row>
    <row r="116" customFormat="false" ht="14.4" hidden="false" customHeight="false" outlineLevel="0" collapsed="false">
      <c r="N116" s="77" t="s">
        <v>1139</v>
      </c>
      <c r="O116" s="77"/>
      <c r="P116" s="77"/>
      <c r="Q116" s="98" t="n">
        <f aca="false">$E$20*Q49/Q45</f>
        <v>55.096062992126</v>
      </c>
      <c r="S116" s="77" t="s">
        <v>1139</v>
      </c>
      <c r="T116" s="77"/>
      <c r="U116" s="77"/>
      <c r="V116" s="98" t="n">
        <f aca="false">$E$20*V49/V45</f>
        <v>46.75</v>
      </c>
    </row>
    <row r="120" customFormat="false" ht="14.4" hidden="false" customHeight="false" outlineLevel="0" collapsed="false">
      <c r="N120" s="52" t="s">
        <v>1140</v>
      </c>
      <c r="O120" s="52"/>
      <c r="P120" s="52"/>
      <c r="Q120" s="48" t="n">
        <f aca="false">Q65+Q71*2*Q23*1.1</f>
        <v>40.240417259</v>
      </c>
    </row>
    <row r="121" customFormat="false" ht="14.4" hidden="false" customHeight="false" outlineLevel="0" collapsed="false">
      <c r="N121" s="52" t="s">
        <v>1141</v>
      </c>
      <c r="O121" s="52"/>
      <c r="P121" s="52"/>
      <c r="Q121" s="48" t="n">
        <f aca="false">Q67+Q71*2*Q23*1.1</f>
        <v>24.550417259</v>
      </c>
    </row>
  </sheetData>
  <mergeCells count="284">
    <mergeCell ref="G1:I1"/>
    <mergeCell ref="J1:L1"/>
    <mergeCell ref="N1:P1"/>
    <mergeCell ref="S1:U1"/>
    <mergeCell ref="AL1:AN1"/>
    <mergeCell ref="AP1:AS1"/>
    <mergeCell ref="B2:D2"/>
    <mergeCell ref="N2:P2"/>
    <mergeCell ref="S2:U2"/>
    <mergeCell ref="AD2:AE2"/>
    <mergeCell ref="AH2:AJ2"/>
    <mergeCell ref="AL2:AN2"/>
    <mergeCell ref="AP2:AT2"/>
    <mergeCell ref="B3:D3"/>
    <mergeCell ref="N3:P3"/>
    <mergeCell ref="S3:U3"/>
    <mergeCell ref="AD3:AE3"/>
    <mergeCell ref="AH3:AJ3"/>
    <mergeCell ref="AL3:AN3"/>
    <mergeCell ref="AQ3:AS3"/>
    <mergeCell ref="B4:D4"/>
    <mergeCell ref="N4:P4"/>
    <mergeCell ref="S4:U4"/>
    <mergeCell ref="AH4:AJ4"/>
    <mergeCell ref="AP4:AQ5"/>
    <mergeCell ref="AS4:AS5"/>
    <mergeCell ref="AT4:AT5"/>
    <mergeCell ref="B5:D5"/>
    <mergeCell ref="N5:P5"/>
    <mergeCell ref="S5:U5"/>
    <mergeCell ref="B6:D6"/>
    <mergeCell ref="N6:P6"/>
    <mergeCell ref="S6:U6"/>
    <mergeCell ref="AH6:AJ7"/>
    <mergeCell ref="AL6:AN6"/>
    <mergeCell ref="B7:D7"/>
    <mergeCell ref="N7:P7"/>
    <mergeCell ref="S7:U7"/>
    <mergeCell ref="AE7:AE8"/>
    <mergeCell ref="AF7:AF8"/>
    <mergeCell ref="AP7:AQ8"/>
    <mergeCell ref="AS7:AS8"/>
    <mergeCell ref="AT7:AT8"/>
    <mergeCell ref="B8:D8"/>
    <mergeCell ref="N8:P8"/>
    <mergeCell ref="S8:U8"/>
    <mergeCell ref="B9:D9"/>
    <mergeCell ref="N9:P9"/>
    <mergeCell ref="S9:U9"/>
    <mergeCell ref="B10:D10"/>
    <mergeCell ref="N10:P10"/>
    <mergeCell ref="S10:U10"/>
    <mergeCell ref="AP10:AQ11"/>
    <mergeCell ref="AS10:AS11"/>
    <mergeCell ref="AT10:AT11"/>
    <mergeCell ref="B11:D11"/>
    <mergeCell ref="N11:P11"/>
    <mergeCell ref="S11:U11"/>
    <mergeCell ref="N12:P12"/>
    <mergeCell ref="S12:U12"/>
    <mergeCell ref="AL12:AN12"/>
    <mergeCell ref="N13:P13"/>
    <mergeCell ref="S13:U13"/>
    <mergeCell ref="AL13:AN13"/>
    <mergeCell ref="AP13:AQ13"/>
    <mergeCell ref="G14:I14"/>
    <mergeCell ref="J14:L14"/>
    <mergeCell ref="N14:P14"/>
    <mergeCell ref="S14:U14"/>
    <mergeCell ref="AL14:AN14"/>
    <mergeCell ref="B15:D15"/>
    <mergeCell ref="N15:P15"/>
    <mergeCell ref="S15:U15"/>
    <mergeCell ref="AL15:AN15"/>
    <mergeCell ref="AP15:AQ15"/>
    <mergeCell ref="B16:D16"/>
    <mergeCell ref="N16:P16"/>
    <mergeCell ref="S16:U16"/>
    <mergeCell ref="AL16:AN16"/>
    <mergeCell ref="B17:D17"/>
    <mergeCell ref="N17:P17"/>
    <mergeCell ref="S17:U17"/>
    <mergeCell ref="AL17:AN17"/>
    <mergeCell ref="B18:D18"/>
    <mergeCell ref="N18:P18"/>
    <mergeCell ref="S18:U18"/>
    <mergeCell ref="AL18:AN18"/>
    <mergeCell ref="B19:D19"/>
    <mergeCell ref="N19:P19"/>
    <mergeCell ref="S19:U19"/>
    <mergeCell ref="AL19:AN19"/>
    <mergeCell ref="B20:D20"/>
    <mergeCell ref="N20:P20"/>
    <mergeCell ref="S20:U20"/>
    <mergeCell ref="AL20:AN20"/>
    <mergeCell ref="B21:D21"/>
    <mergeCell ref="N21:P21"/>
    <mergeCell ref="S21:U21"/>
    <mergeCell ref="AL21:AN21"/>
    <mergeCell ref="N22:P22"/>
    <mergeCell ref="S22:U22"/>
    <mergeCell ref="AL22:AN22"/>
    <mergeCell ref="N23:P23"/>
    <mergeCell ref="S23:U23"/>
    <mergeCell ref="AL23:AN23"/>
    <mergeCell ref="N24:P24"/>
    <mergeCell ref="S24:U24"/>
    <mergeCell ref="AP26:AQ27"/>
    <mergeCell ref="AS26:AS27"/>
    <mergeCell ref="AT26:AT27"/>
    <mergeCell ref="N27:P27"/>
    <mergeCell ref="S27:U27"/>
    <mergeCell ref="N28:P28"/>
    <mergeCell ref="S28:U28"/>
    <mergeCell ref="N29:P29"/>
    <mergeCell ref="S29:U29"/>
    <mergeCell ref="AP29:AQ30"/>
    <mergeCell ref="AS29:AS30"/>
    <mergeCell ref="N30:P30"/>
    <mergeCell ref="S30:U30"/>
    <mergeCell ref="N31:P31"/>
    <mergeCell ref="S31:U31"/>
    <mergeCell ref="N32:P32"/>
    <mergeCell ref="S32:U32"/>
    <mergeCell ref="N33:P33"/>
    <mergeCell ref="S33:U33"/>
    <mergeCell ref="N34:P34"/>
    <mergeCell ref="S34:U34"/>
    <mergeCell ref="N35:P35"/>
    <mergeCell ref="S35:U35"/>
    <mergeCell ref="N36:P36"/>
    <mergeCell ref="S36:U36"/>
    <mergeCell ref="N37:P37"/>
    <mergeCell ref="S37:U37"/>
    <mergeCell ref="N38:P38"/>
    <mergeCell ref="S38:U38"/>
    <mergeCell ref="N39:P39"/>
    <mergeCell ref="N40:P40"/>
    <mergeCell ref="S40:U40"/>
    <mergeCell ref="N41:P41"/>
    <mergeCell ref="S41:U41"/>
    <mergeCell ref="N43:P43"/>
    <mergeCell ref="S43:U43"/>
    <mergeCell ref="N44:P44"/>
    <mergeCell ref="S44:U44"/>
    <mergeCell ref="N45:P45"/>
    <mergeCell ref="S45:U45"/>
    <mergeCell ref="N46:P46"/>
    <mergeCell ref="S46:U46"/>
    <mergeCell ref="N47:P47"/>
    <mergeCell ref="S47:U47"/>
    <mergeCell ref="N48:P48"/>
    <mergeCell ref="S48:U48"/>
    <mergeCell ref="N49:P49"/>
    <mergeCell ref="S49:U49"/>
    <mergeCell ref="N50:P50"/>
    <mergeCell ref="S50:U50"/>
    <mergeCell ref="N51:P51"/>
    <mergeCell ref="S51:U51"/>
    <mergeCell ref="N52:P52"/>
    <mergeCell ref="S52:U52"/>
    <mergeCell ref="N53:P53"/>
    <mergeCell ref="S53:U53"/>
    <mergeCell ref="N54:P54"/>
    <mergeCell ref="S54:U54"/>
    <mergeCell ref="N55:P55"/>
    <mergeCell ref="S55:U55"/>
    <mergeCell ref="N56:P56"/>
    <mergeCell ref="S56:U56"/>
    <mergeCell ref="N57:P57"/>
    <mergeCell ref="S57:U57"/>
    <mergeCell ref="N58:P58"/>
    <mergeCell ref="S58:U58"/>
    <mergeCell ref="N59:P59"/>
    <mergeCell ref="S59:U59"/>
    <mergeCell ref="N60:P60"/>
    <mergeCell ref="S60:U60"/>
    <mergeCell ref="N61:P61"/>
    <mergeCell ref="S61:U61"/>
    <mergeCell ref="N62:P62"/>
    <mergeCell ref="S62:U62"/>
    <mergeCell ref="N63:P63"/>
    <mergeCell ref="N64:P64"/>
    <mergeCell ref="S64:U64"/>
    <mergeCell ref="N65:P65"/>
    <mergeCell ref="S65:U65"/>
    <mergeCell ref="N66:P66"/>
    <mergeCell ref="S66:U66"/>
    <mergeCell ref="N67:P67"/>
    <mergeCell ref="S67:U67"/>
    <mergeCell ref="N68:P68"/>
    <mergeCell ref="S68:U68"/>
    <mergeCell ref="N69:P69"/>
    <mergeCell ref="S69:U69"/>
    <mergeCell ref="N70:P70"/>
    <mergeCell ref="S70:U70"/>
    <mergeCell ref="N71:P71"/>
    <mergeCell ref="S71:U71"/>
    <mergeCell ref="N72:P72"/>
    <mergeCell ref="S72:U72"/>
    <mergeCell ref="N73:P73"/>
    <mergeCell ref="S73:U73"/>
    <mergeCell ref="N74:P74"/>
    <mergeCell ref="S74:U74"/>
    <mergeCell ref="N75:P75"/>
    <mergeCell ref="S75:U75"/>
    <mergeCell ref="N76:P76"/>
    <mergeCell ref="S76:U76"/>
    <mergeCell ref="N77:P77"/>
    <mergeCell ref="S77:U77"/>
    <mergeCell ref="N78:P78"/>
    <mergeCell ref="S78:U78"/>
    <mergeCell ref="N79:P79"/>
    <mergeCell ref="S79:U79"/>
    <mergeCell ref="N80:P80"/>
    <mergeCell ref="S80:U80"/>
    <mergeCell ref="N81:P81"/>
    <mergeCell ref="S81:U81"/>
    <mergeCell ref="N82:P82"/>
    <mergeCell ref="S82:U82"/>
    <mergeCell ref="N83:P83"/>
    <mergeCell ref="S83:U83"/>
    <mergeCell ref="N84:P84"/>
    <mergeCell ref="S84:U84"/>
    <mergeCell ref="N86:P86"/>
    <mergeCell ref="S86:U86"/>
    <mergeCell ref="N87:P87"/>
    <mergeCell ref="S87:U87"/>
    <mergeCell ref="N88:P88"/>
    <mergeCell ref="S88:U88"/>
    <mergeCell ref="N89:P89"/>
    <mergeCell ref="S89:U89"/>
    <mergeCell ref="N90:P90"/>
    <mergeCell ref="S90:U90"/>
    <mergeCell ref="N91:P91"/>
    <mergeCell ref="S91:U91"/>
    <mergeCell ref="N93:P93"/>
    <mergeCell ref="S93:U93"/>
    <mergeCell ref="N94:P94"/>
    <mergeCell ref="S94:U94"/>
    <mergeCell ref="N96:P96"/>
    <mergeCell ref="S96:U96"/>
    <mergeCell ref="N97:P97"/>
    <mergeCell ref="S97:U97"/>
    <mergeCell ref="N98:P98"/>
    <mergeCell ref="S98:U98"/>
    <mergeCell ref="N99:P99"/>
    <mergeCell ref="S99:U99"/>
    <mergeCell ref="N100:P100"/>
    <mergeCell ref="S100:U100"/>
    <mergeCell ref="N101:P101"/>
    <mergeCell ref="S101:U101"/>
    <mergeCell ref="N102:P102"/>
    <mergeCell ref="S102:U102"/>
    <mergeCell ref="N103:P103"/>
    <mergeCell ref="S103:U103"/>
    <mergeCell ref="N104:P104"/>
    <mergeCell ref="S104:U104"/>
    <mergeCell ref="N105:P105"/>
    <mergeCell ref="S105:U105"/>
    <mergeCell ref="N106:P106"/>
    <mergeCell ref="S106:U106"/>
    <mergeCell ref="N107:P107"/>
    <mergeCell ref="S107:U107"/>
    <mergeCell ref="N108:P108"/>
    <mergeCell ref="S108:U108"/>
    <mergeCell ref="N109:P109"/>
    <mergeCell ref="S109:U109"/>
    <mergeCell ref="N110:P110"/>
    <mergeCell ref="S110:U110"/>
    <mergeCell ref="N111:P111"/>
    <mergeCell ref="S111:U111"/>
    <mergeCell ref="N112:P112"/>
    <mergeCell ref="S112:U112"/>
    <mergeCell ref="N113:P113"/>
    <mergeCell ref="S113:U113"/>
    <mergeCell ref="N114:P114"/>
    <mergeCell ref="S114:U114"/>
    <mergeCell ref="N115:P115"/>
    <mergeCell ref="S115:U115"/>
    <mergeCell ref="N116:P116"/>
    <mergeCell ref="S116:U116"/>
    <mergeCell ref="N120:P120"/>
    <mergeCell ref="N121:P121"/>
  </mergeCells>
  <conditionalFormatting sqref="AS19">
    <cfRule type="cellIs" priority="2" operator="greaterThan" aboveAverage="0" equalAverage="0" bottom="0" percent="0" rank="0" text="" dxfId="0">
      <formula>$AE$20</formula>
    </cfRule>
    <cfRule type="cellIs" priority="3" operator="greaterThan" aboveAverage="0" equalAverage="0" bottom="0" percent="0" rank="0" text="" dxfId="1">
      <formula>$AS$19&gt;$AE$20</formula>
    </cfRule>
    <cfRule type="cellIs" priority="4" operator="greaterThan" aboveAverage="0" equalAverage="0" bottom="0" percent="0" rank="0" text="" dxfId="2">
      <formula>$AS$19&gt;$AE$20</formula>
    </cfRule>
    <cfRule type="cellIs" priority="5" operator="greaterThan" aboveAverage="0" equalAverage="0" bottom="0" percent="0" rank="0" text="" dxfId="3">
      <formula>$AS$19&gt;$AE$20</formula>
    </cfRule>
    <cfRule type="cellIs" priority="6" operator="greaterThan" aboveAverage="0" equalAverage="0" bottom="0" percent="0" rank="0" text="" dxfId="4">
      <formula>$AS$19&gt;$AE$20</formula>
    </cfRule>
  </conditionalFormatting>
  <dataValidations count="2">
    <dataValidation allowBlank="true" operator="between" showDropDown="false" showErrorMessage="true" showInputMessage="true" sqref="AE16" type="list">
      <formula1>"1,2,3,4,5,6,7,8,9,10"</formula1>
      <formula2>0</formula2>
    </dataValidation>
    <dataValidation allowBlank="true" operator="between" showDropDown="false" showErrorMessage="true" showInputMessage="true" sqref="AM8" type="list">
      <formula1>"6,7,8,9,10,11,12,13,14,15,16,17,18,19,20,21,22,23,24,25,26,27,28,29,30,31,32,33,34,35,36,37,38,39,40,41,42,43,44,45,46,47,48,49"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T175" activeCellId="0" sqref="T175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31"/>
  <sheetViews>
    <sheetView showFormulas="false" showGridLines="true" showRowColHeaders="true" showZeros="true" rightToLeft="false" tabSelected="true" showOutlineSymbols="true" defaultGridColor="true" view="normal" topLeftCell="AA1" colorId="64" zoomScale="80" zoomScaleNormal="80" zoomScalePageLayoutView="100" workbookViewId="0">
      <selection pane="topLeft" activeCell="AJ20" activeCellId="0" sqref="AJ20"/>
    </sheetView>
  </sheetViews>
  <sheetFormatPr defaultRowHeight="14.4" zeroHeight="false" outlineLevelRow="0" outlineLevelCol="0"/>
  <cols>
    <col collapsed="false" customWidth="true" hidden="true" outlineLevel="0" max="3" min="1" style="48" width="9.11"/>
    <col collapsed="false" customWidth="true" hidden="true" outlineLevel="0" max="4" min="4" style="48" width="11.33"/>
    <col collapsed="false" customWidth="true" hidden="true" outlineLevel="0" max="5" min="5" style="48" width="13.55"/>
    <col collapsed="false" customWidth="true" hidden="true" outlineLevel="0" max="6" min="6" style="48" width="9.11"/>
    <col collapsed="false" customWidth="true" hidden="true" outlineLevel="0" max="8" min="7" style="48" width="13"/>
    <col collapsed="false" customWidth="true" hidden="true" outlineLevel="0" max="9" min="9" style="48" width="12.11"/>
    <col collapsed="false" customWidth="true" hidden="true" outlineLevel="0" max="12" min="10" style="48" width="13"/>
    <col collapsed="false" customWidth="true" hidden="true" outlineLevel="0" max="15" min="13" style="48" width="9.11"/>
    <col collapsed="false" customWidth="true" hidden="true" outlineLevel="0" max="16" min="16" style="48" width="15.55"/>
    <col collapsed="false" customWidth="true" hidden="true" outlineLevel="0" max="17" min="17" style="48" width="12.11"/>
    <col collapsed="false" customWidth="true" hidden="true" outlineLevel="0" max="26" min="18" style="48" width="9.11"/>
    <col collapsed="false" customWidth="true" hidden="false" outlineLevel="0" max="28" min="27" style="48" width="9.11"/>
    <col collapsed="false" customWidth="true" hidden="false" outlineLevel="0" max="29" min="29" style="48" width="11.89"/>
    <col collapsed="false" customWidth="true" hidden="false" outlineLevel="0" max="30" min="30" style="48" width="9.11"/>
    <col collapsed="false" customWidth="true" hidden="false" outlineLevel="0" max="31" min="31" style="48" width="10.55"/>
    <col collapsed="false" customWidth="true" hidden="false" outlineLevel="0" max="32" min="32" style="48" width="15.44"/>
    <col collapsed="false" customWidth="true" hidden="false" outlineLevel="0" max="33" min="33" style="48" width="9.11"/>
    <col collapsed="false" customWidth="true" hidden="false" outlineLevel="0" max="34" min="34" style="48" width="15.89"/>
    <col collapsed="false" customWidth="true" hidden="false" outlineLevel="0" max="35" min="35" style="48" width="15.11"/>
    <col collapsed="false" customWidth="true" hidden="false" outlineLevel="0" max="36" min="36" style="48" width="15.44"/>
    <col collapsed="false" customWidth="true" hidden="false" outlineLevel="0" max="37" min="37" style="48" width="9.11"/>
    <col collapsed="false" customWidth="true" hidden="false" outlineLevel="0" max="38" min="38" style="48" width="4.66"/>
    <col collapsed="false" customWidth="true" hidden="false" outlineLevel="0" max="39" min="39" style="48" width="17.89"/>
    <col collapsed="false" customWidth="true" hidden="false" outlineLevel="0" max="40" min="40" style="48" width="4"/>
    <col collapsed="false" customWidth="true" hidden="false" outlineLevel="0" max="41" min="41" style="48" width="9.11"/>
    <col collapsed="false" customWidth="true" hidden="false" outlineLevel="0" max="42" min="42" style="48" width="12"/>
    <col collapsed="false" customWidth="true" hidden="false" outlineLevel="0" max="43" min="43" style="48" width="15.55"/>
    <col collapsed="false" customWidth="true" hidden="false" outlineLevel="0" max="1025" min="44" style="48" width="9.11"/>
  </cols>
  <sheetData>
    <row r="1" customFormat="false" ht="15" hidden="false" customHeight="false" outlineLevel="0" collapsed="false">
      <c r="B1" s="75" t="s">
        <v>1142</v>
      </c>
      <c r="C1" s="75"/>
      <c r="D1" s="75"/>
      <c r="E1" s="243" t="s">
        <v>1143</v>
      </c>
      <c r="G1" s="50" t="s">
        <v>1144</v>
      </c>
      <c r="H1" s="50"/>
      <c r="I1" s="50"/>
      <c r="J1" s="51" t="s">
        <v>1145</v>
      </c>
      <c r="K1" s="51"/>
      <c r="L1" s="51"/>
      <c r="N1" s="52" t="s">
        <v>958</v>
      </c>
      <c r="O1" s="52"/>
      <c r="P1" s="52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</row>
    <row r="2" customFormat="false" ht="23.25" hidden="false" customHeight="true" outlineLevel="0" collapsed="false">
      <c r="B2" s="60" t="s">
        <v>960</v>
      </c>
      <c r="C2" s="60"/>
      <c r="D2" s="60"/>
      <c r="G2" s="61"/>
      <c r="H2" s="62"/>
      <c r="I2" s="63"/>
      <c r="J2" s="64"/>
      <c r="K2" s="65"/>
      <c r="L2" s="66"/>
      <c r="N2" s="67" t="s">
        <v>961</v>
      </c>
      <c r="O2" s="67"/>
      <c r="P2" s="67"/>
      <c r="Y2" s="53"/>
      <c r="Z2" s="53"/>
      <c r="AA2" s="53"/>
      <c r="AB2" s="68"/>
      <c r="AC2" s="69"/>
      <c r="AD2" s="244" t="s">
        <v>962</v>
      </c>
      <c r="AE2" s="244"/>
      <c r="AF2" s="71"/>
      <c r="AG2" s="72"/>
      <c r="AH2" s="73" t="s">
        <v>963</v>
      </c>
      <c r="AI2" s="73"/>
      <c r="AJ2" s="73"/>
      <c r="AK2" s="72"/>
      <c r="AL2" s="73" t="s">
        <v>964</v>
      </c>
      <c r="AM2" s="73"/>
      <c r="AN2" s="73"/>
      <c r="AO2" s="72"/>
      <c r="AP2" s="73" t="s">
        <v>965</v>
      </c>
      <c r="AQ2" s="73"/>
      <c r="AR2" s="73"/>
      <c r="AS2" s="73"/>
      <c r="AT2" s="73"/>
      <c r="AU2" s="53"/>
      <c r="AV2" s="53"/>
      <c r="AW2" s="53"/>
      <c r="AX2" s="53"/>
      <c r="AY2" s="53"/>
    </row>
    <row r="3" customFormat="false" ht="13.8" hidden="false" customHeight="false" outlineLevel="0" collapsed="false">
      <c r="B3" s="75" t="s">
        <v>966</v>
      </c>
      <c r="C3" s="75"/>
      <c r="D3" s="75"/>
      <c r="E3" s="76" t="n">
        <f aca="false">AE14</f>
        <v>0.0357</v>
      </c>
      <c r="G3" s="61"/>
      <c r="H3" s="62"/>
      <c r="I3" s="63"/>
      <c r="J3" s="64"/>
      <c r="K3" s="65"/>
      <c r="L3" s="66"/>
      <c r="N3" s="77" t="s">
        <v>967</v>
      </c>
      <c r="O3" s="77"/>
      <c r="P3" s="77"/>
      <c r="Q3" s="76" t="str">
        <f aca="false">AM4</f>
        <v>00K3007E090</v>
      </c>
      <c r="Y3" s="53"/>
      <c r="Z3" s="53"/>
      <c r="AA3" s="53"/>
      <c r="AB3" s="68"/>
      <c r="AC3" s="78"/>
      <c r="AD3" s="84" t="s">
        <v>968</v>
      </c>
      <c r="AE3" s="84"/>
      <c r="AF3" s="80"/>
      <c r="AG3" s="72"/>
      <c r="AH3" s="81" t="s">
        <v>969</v>
      </c>
      <c r="AI3" s="81"/>
      <c r="AJ3" s="81"/>
      <c r="AK3" s="245"/>
      <c r="AL3" s="82" t="s">
        <v>970</v>
      </c>
      <c r="AM3" s="82"/>
      <c r="AN3" s="82"/>
      <c r="AO3" s="72"/>
      <c r="AP3" s="83"/>
      <c r="AQ3" s="246"/>
      <c r="AR3" s="246"/>
      <c r="AS3" s="56"/>
      <c r="AT3" s="85"/>
      <c r="AU3" s="53"/>
      <c r="AV3" s="53"/>
      <c r="AW3" s="53"/>
      <c r="AX3" s="53"/>
      <c r="AY3" s="53"/>
    </row>
    <row r="4" customFormat="false" ht="22.05" hidden="false" customHeight="true" outlineLevel="0" collapsed="false">
      <c r="B4" s="77" t="str">
        <f aca="false">IF(E1="DC w/ ripple","DC Amps", IF(E1="Low AC w/ ripple","AC RMS Amps", IF(E1="pure AC no ripple", "AC RMS Amps")))</f>
        <v>DC Amps</v>
      </c>
      <c r="C4" s="77"/>
      <c r="D4" s="77"/>
      <c r="E4" s="86" t="n">
        <f aca="false">AE6</f>
        <v>5.1</v>
      </c>
      <c r="G4" s="61"/>
      <c r="H4" s="62"/>
      <c r="I4" s="63"/>
      <c r="J4" s="64"/>
      <c r="K4" s="65"/>
      <c r="L4" s="66"/>
      <c r="N4" s="77" t="s">
        <v>1146</v>
      </c>
      <c r="O4" s="77"/>
      <c r="P4" s="77"/>
      <c r="Q4" s="76" t="n">
        <v>1</v>
      </c>
      <c r="W4" s="53"/>
      <c r="X4" s="53"/>
      <c r="Y4" s="53"/>
      <c r="Z4" s="53"/>
      <c r="AA4" s="53"/>
      <c r="AB4" s="68"/>
      <c r="AC4" s="87"/>
      <c r="AD4" s="53"/>
      <c r="AE4" s="167"/>
      <c r="AF4" s="92"/>
      <c r="AG4" s="72"/>
      <c r="AH4" s="102"/>
      <c r="AI4" s="247"/>
      <c r="AJ4" s="248"/>
      <c r="AK4" s="72"/>
      <c r="AL4" s="90"/>
      <c r="AM4" s="249" t="s">
        <v>164</v>
      </c>
      <c r="AN4" s="92"/>
      <c r="AO4" s="72"/>
      <c r="AP4" s="93" t="s">
        <v>974</v>
      </c>
      <c r="AQ4" s="93"/>
      <c r="AR4" s="94"/>
      <c r="AS4" s="95" t="n">
        <f aca="false">Q9</f>
        <v>0.0583033456367143</v>
      </c>
      <c r="AT4" s="250" t="s">
        <v>975</v>
      </c>
      <c r="AU4" s="53"/>
      <c r="AV4" s="53"/>
      <c r="AW4" s="53"/>
      <c r="AX4" s="53"/>
      <c r="AY4" s="53"/>
    </row>
    <row r="5" customFormat="false" ht="22.05" hidden="false" customHeight="false" outlineLevel="0" collapsed="false">
      <c r="B5" s="97" t="str">
        <f aca="false">IF(E1="Pure AC no ripple", 0,"RMS Ripple Current (Amps)")</f>
        <v>RMS Ripple Current (Amps)</v>
      </c>
      <c r="C5" s="97"/>
      <c r="D5" s="97"/>
      <c r="E5" s="76" t="n">
        <f aca="false">E6/2/1.732</f>
        <v>0.66108545034642</v>
      </c>
      <c r="G5" s="61"/>
      <c r="H5" s="62"/>
      <c r="I5" s="63"/>
      <c r="J5" s="64"/>
      <c r="K5" s="65"/>
      <c r="L5" s="66"/>
      <c r="N5" s="77" t="s">
        <v>15</v>
      </c>
      <c r="O5" s="77"/>
      <c r="P5" s="77"/>
      <c r="Q5" s="98" t="str">
        <f aca="false">VLOOKUP(Q3,'E Core Detail'!$A$2:$D$79,4,0)</f>
        <v>Kool Mu</v>
      </c>
      <c r="W5" s="53"/>
      <c r="X5" s="53"/>
      <c r="Y5" s="53"/>
      <c r="Z5" s="53"/>
      <c r="AA5" s="53"/>
      <c r="AB5" s="68"/>
      <c r="AC5" s="87"/>
      <c r="AD5" s="88"/>
      <c r="AE5" s="108"/>
      <c r="AF5" s="80"/>
      <c r="AG5" s="72"/>
      <c r="AH5" s="102"/>
      <c r="AI5" s="251" t="n">
        <f aca="false">E31</f>
        <v>1.3923008925</v>
      </c>
      <c r="AJ5" s="248"/>
      <c r="AK5" s="72"/>
      <c r="AL5" s="105"/>
      <c r="AM5" s="57"/>
      <c r="AN5" s="106"/>
      <c r="AO5" s="72"/>
      <c r="AP5" s="93"/>
      <c r="AQ5" s="93"/>
      <c r="AR5" s="94"/>
      <c r="AS5" s="95"/>
      <c r="AT5" s="252"/>
      <c r="AU5" s="53"/>
      <c r="AV5" s="53"/>
      <c r="AW5" s="53"/>
      <c r="AX5" s="53"/>
      <c r="AY5" s="53"/>
    </row>
    <row r="6" customFormat="false" ht="15.75" hidden="false" customHeight="true" outlineLevel="0" collapsed="false">
      <c r="B6" s="97" t="str">
        <f aca="false">IF(E1="Pure AC no ripple",0,"Pk-Pk Ripple Current (Amps)")</f>
        <v>Pk-Pk Ripple Current (Amps)</v>
      </c>
      <c r="C6" s="97"/>
      <c r="D6" s="97"/>
      <c r="E6" s="76" t="n">
        <f aca="false">AE8</f>
        <v>2.29</v>
      </c>
      <c r="G6" s="61"/>
      <c r="H6" s="62"/>
      <c r="I6" s="63"/>
      <c r="J6" s="64"/>
      <c r="K6" s="65"/>
      <c r="L6" s="66"/>
      <c r="N6" s="107" t="s">
        <v>980</v>
      </c>
      <c r="O6" s="107"/>
      <c r="P6" s="107"/>
      <c r="Q6" s="98" t="n">
        <f aca="false">VLOOKUP(Q3,'E Core Detail'!$A$2:$C$79,3,0)</f>
        <v>90</v>
      </c>
      <c r="W6" s="53"/>
      <c r="X6" s="53"/>
      <c r="Y6" s="53"/>
      <c r="Z6" s="53"/>
      <c r="AA6" s="53"/>
      <c r="AB6" s="68"/>
      <c r="AC6" s="99" t="s">
        <v>977</v>
      </c>
      <c r="AD6" s="100"/>
      <c r="AE6" s="91" t="n">
        <v>5.1</v>
      </c>
      <c r="AF6" s="101" t="s">
        <v>978</v>
      </c>
      <c r="AG6" s="72"/>
      <c r="AH6" s="102"/>
      <c r="AI6" s="247"/>
      <c r="AJ6" s="248"/>
      <c r="AK6" s="72"/>
      <c r="AL6" s="110" t="s">
        <v>982</v>
      </c>
      <c r="AM6" s="110"/>
      <c r="AN6" s="110"/>
      <c r="AO6" s="72"/>
      <c r="AP6" s="111"/>
      <c r="AQ6" s="112"/>
      <c r="AR6" s="113"/>
      <c r="AS6" s="114"/>
      <c r="AT6" s="85"/>
      <c r="AU6" s="53"/>
      <c r="AV6" s="53"/>
      <c r="AW6" s="53"/>
      <c r="AX6" s="53"/>
      <c r="AY6" s="53"/>
    </row>
    <row r="7" customFormat="false" ht="15" hidden="false" customHeight="true" outlineLevel="0" collapsed="false">
      <c r="B7" s="97" t="s">
        <v>1026</v>
      </c>
      <c r="C7" s="97"/>
      <c r="D7" s="97"/>
      <c r="E7" s="76" t="n">
        <f aca="false">AE19</f>
        <v>8</v>
      </c>
      <c r="G7" s="61"/>
      <c r="H7" s="62"/>
      <c r="I7" s="63"/>
      <c r="J7" s="64"/>
      <c r="K7" s="65"/>
      <c r="L7" s="66"/>
      <c r="N7" s="107" t="s">
        <v>984</v>
      </c>
      <c r="O7" s="107"/>
      <c r="P7" s="107"/>
      <c r="Q7" s="98" t="n">
        <f aca="false">VLOOKUP(Q3,'E Core Detail'!$A$2:$E$79,5,0)*Q4</f>
        <v>92</v>
      </c>
      <c r="W7" s="53"/>
      <c r="X7" s="53"/>
      <c r="Y7" s="53"/>
      <c r="Z7" s="53"/>
      <c r="AA7" s="53"/>
      <c r="AB7" s="68"/>
      <c r="AC7" s="87"/>
      <c r="AD7" s="88"/>
      <c r="AE7" s="108"/>
      <c r="AF7" s="80"/>
      <c r="AG7" s="72"/>
      <c r="AH7" s="109" t="s">
        <v>981</v>
      </c>
      <c r="AI7" s="109"/>
      <c r="AJ7" s="109"/>
      <c r="AK7" s="72"/>
      <c r="AL7" s="105"/>
      <c r="AM7" s="57"/>
      <c r="AN7" s="106"/>
      <c r="AO7" s="72"/>
      <c r="AP7" s="93" t="s">
        <v>987</v>
      </c>
      <c r="AQ7" s="93"/>
      <c r="AR7" s="94"/>
      <c r="AS7" s="119" t="n">
        <f aca="false">Q12</f>
        <v>0.100188</v>
      </c>
      <c r="AT7" s="250" t="s">
        <v>975</v>
      </c>
      <c r="AU7" s="53"/>
      <c r="AV7" s="53"/>
      <c r="AW7" s="53"/>
      <c r="AX7" s="53"/>
      <c r="AY7" s="53"/>
    </row>
    <row r="8" customFormat="false" ht="14.25" hidden="false" customHeight="true" outlineLevel="0" collapsed="false">
      <c r="B8" s="97" t="str">
        <f aca="false">IF(E1="Pure AC no ripple", "AC Frequency (kHz)","PK-Pk Frequency (kHz)")</f>
        <v>PK-Pk Frequency (kHz)</v>
      </c>
      <c r="C8" s="97"/>
      <c r="D8" s="97"/>
      <c r="E8" s="76" t="n">
        <f aca="false">AE11</f>
        <v>40</v>
      </c>
      <c r="G8" s="61"/>
      <c r="H8" s="62"/>
      <c r="I8" s="63"/>
      <c r="J8" s="64"/>
      <c r="K8" s="65"/>
      <c r="L8" s="66"/>
      <c r="N8" s="107" t="s">
        <v>989</v>
      </c>
      <c r="O8" s="107"/>
      <c r="P8" s="107"/>
      <c r="Q8" s="120" t="n">
        <f aca="false">IF($E$7=0,"No Value",(Q47*Q59)*Q54^2/10^6)</f>
        <v>0.0497040725871268</v>
      </c>
      <c r="W8" s="53"/>
      <c r="X8" s="53"/>
      <c r="Y8" s="53"/>
      <c r="Z8" s="53"/>
      <c r="AA8" s="53"/>
      <c r="AB8" s="68"/>
      <c r="AC8" s="253" t="s">
        <v>985</v>
      </c>
      <c r="AD8" s="116"/>
      <c r="AE8" s="117" t="n">
        <v>2.29</v>
      </c>
      <c r="AF8" s="118" t="s">
        <v>986</v>
      </c>
      <c r="AG8" s="72"/>
      <c r="AH8" s="109"/>
      <c r="AI8" s="109"/>
      <c r="AJ8" s="109"/>
      <c r="AK8" s="72"/>
      <c r="AL8" s="105"/>
      <c r="AM8" s="91" t="n">
        <v>25</v>
      </c>
      <c r="AN8" s="106"/>
      <c r="AO8" s="72"/>
      <c r="AP8" s="93"/>
      <c r="AQ8" s="93"/>
      <c r="AR8" s="94"/>
      <c r="AS8" s="119"/>
      <c r="AT8" s="252"/>
      <c r="AU8" s="53"/>
      <c r="AV8" s="53"/>
      <c r="AW8" s="53"/>
      <c r="AX8" s="53"/>
      <c r="AY8" s="53"/>
    </row>
    <row r="9" customFormat="false" ht="15" hidden="false" customHeight="true" outlineLevel="0" collapsed="false">
      <c r="B9" s="77" t="s">
        <v>990</v>
      </c>
      <c r="C9" s="77"/>
      <c r="D9" s="77"/>
      <c r="E9" s="76"/>
      <c r="G9" s="61"/>
      <c r="H9" s="62"/>
      <c r="I9" s="63"/>
      <c r="J9" s="64"/>
      <c r="K9" s="65"/>
      <c r="L9" s="66"/>
      <c r="N9" s="77" t="s">
        <v>991</v>
      </c>
      <c r="O9" s="77"/>
      <c r="P9" s="77"/>
      <c r="Q9" s="120" t="n">
        <f aca="false">(Q47*Q56)*Q54^2/10^6</f>
        <v>0.0583033456367143</v>
      </c>
      <c r="W9" s="53"/>
      <c r="X9" s="53"/>
      <c r="Y9" s="53"/>
      <c r="Z9" s="53"/>
      <c r="AA9" s="53"/>
      <c r="AB9" s="68"/>
      <c r="AC9" s="253"/>
      <c r="AD9" s="116"/>
      <c r="AE9" s="117"/>
      <c r="AF9" s="118"/>
      <c r="AG9" s="72"/>
      <c r="AH9" s="122"/>
      <c r="AI9" s="123"/>
      <c r="AJ9" s="124"/>
      <c r="AK9" s="72"/>
      <c r="AL9" s="105"/>
      <c r="AM9" s="125" t="s">
        <v>992</v>
      </c>
      <c r="AN9" s="106"/>
      <c r="AO9" s="72"/>
      <c r="AP9" s="111"/>
      <c r="AQ9" s="112"/>
      <c r="AR9" s="113"/>
      <c r="AS9" s="114"/>
      <c r="AT9" s="85"/>
      <c r="AU9" s="53"/>
      <c r="AV9" s="53"/>
      <c r="AW9" s="53"/>
      <c r="AX9" s="53"/>
      <c r="AY9" s="53"/>
    </row>
    <row r="10" customFormat="false" ht="15" hidden="false" customHeight="true" outlineLevel="0" collapsed="false">
      <c r="B10" s="77" t="s">
        <v>1147</v>
      </c>
      <c r="C10" s="77"/>
      <c r="D10" s="77"/>
      <c r="E10" s="76" t="n">
        <v>25</v>
      </c>
      <c r="G10" s="126"/>
      <c r="H10" s="127"/>
      <c r="I10" s="128"/>
      <c r="J10" s="129"/>
      <c r="K10" s="130"/>
      <c r="L10" s="131"/>
      <c r="N10" s="77" t="s">
        <v>994</v>
      </c>
      <c r="O10" s="77"/>
      <c r="P10" s="77"/>
      <c r="Q10" s="120" t="n">
        <f aca="false">(Q47*Q55)*Q54^2/10^6</f>
        <v>0.0647408062309567</v>
      </c>
      <c r="W10" s="53"/>
      <c r="X10" s="53"/>
      <c r="Y10" s="53"/>
      <c r="Z10" s="53"/>
      <c r="AA10" s="53"/>
      <c r="AB10" s="68"/>
      <c r="AC10" s="87"/>
      <c r="AD10" s="88"/>
      <c r="AE10" s="108"/>
      <c r="AF10" s="80"/>
      <c r="AG10" s="72"/>
      <c r="AH10" s="122"/>
      <c r="AI10" s="123"/>
      <c r="AJ10" s="124"/>
      <c r="AK10" s="72"/>
      <c r="AL10" s="254" t="s">
        <v>15</v>
      </c>
      <c r="AM10" s="254"/>
      <c r="AN10" s="254"/>
      <c r="AO10" s="72"/>
      <c r="AP10" s="168" t="s">
        <v>997</v>
      </c>
      <c r="AQ10" s="168"/>
      <c r="AR10" s="68"/>
      <c r="AS10" s="119" t="n">
        <f aca="false">Q8</f>
        <v>0.0497040725871268</v>
      </c>
      <c r="AT10" s="250" t="s">
        <v>975</v>
      </c>
      <c r="AU10" s="53"/>
      <c r="AV10" s="53"/>
      <c r="AW10" s="53"/>
      <c r="AX10" s="53"/>
      <c r="AY10" s="53"/>
    </row>
    <row r="11" customFormat="false" ht="14.25" hidden="false" customHeight="true" outlineLevel="0" collapsed="false">
      <c r="B11" s="77" t="s">
        <v>1148</v>
      </c>
      <c r="C11" s="77"/>
      <c r="D11" s="77"/>
      <c r="E11" s="255" t="s">
        <v>1149</v>
      </c>
      <c r="N11" s="77" t="s">
        <v>999</v>
      </c>
      <c r="O11" s="77"/>
      <c r="P11" s="77"/>
      <c r="Q11" s="120" t="n">
        <f aca="false">(Q47*Q57)*Q54^2/10^6</f>
        <v>0.0717222475891</v>
      </c>
      <c r="W11" s="53"/>
      <c r="X11" s="53"/>
      <c r="Y11" s="53"/>
      <c r="Z11" s="53"/>
      <c r="AA11" s="53"/>
      <c r="AB11" s="68"/>
      <c r="AC11" s="99" t="s">
        <v>995</v>
      </c>
      <c r="AD11" s="100"/>
      <c r="AE11" s="91" t="n">
        <v>40</v>
      </c>
      <c r="AF11" s="96" t="s">
        <v>996</v>
      </c>
      <c r="AG11" s="72"/>
      <c r="AH11" s="122"/>
      <c r="AI11" s="123"/>
      <c r="AJ11" s="124"/>
      <c r="AK11" s="72"/>
      <c r="AL11" s="178" t="str">
        <f aca="false">Q5</f>
        <v>Kool Mu</v>
      </c>
      <c r="AM11" s="178"/>
      <c r="AN11" s="178"/>
      <c r="AO11" s="72"/>
      <c r="AP11" s="168"/>
      <c r="AQ11" s="168"/>
      <c r="AR11" s="68"/>
      <c r="AS11" s="119"/>
      <c r="AT11" s="252"/>
      <c r="AU11" s="53"/>
      <c r="AV11" s="53"/>
      <c r="AW11" s="53"/>
      <c r="AX11" s="53"/>
      <c r="AY11" s="53"/>
    </row>
    <row r="12" customFormat="false" ht="16.5" hidden="false" customHeight="true" outlineLevel="0" collapsed="false">
      <c r="B12" s="77" t="s">
        <v>1150</v>
      </c>
      <c r="C12" s="77"/>
      <c r="D12" s="77"/>
      <c r="E12" s="48" t="n">
        <f aca="false">AE17</f>
        <v>1</v>
      </c>
      <c r="N12" s="77" t="s">
        <v>1000</v>
      </c>
      <c r="O12" s="77"/>
      <c r="P12" s="77"/>
      <c r="Q12" s="256" t="n">
        <f aca="false">(Q7)*Q54^2/10^6</f>
        <v>0.100188</v>
      </c>
      <c r="W12" s="53"/>
      <c r="X12" s="53"/>
      <c r="Y12" s="53"/>
      <c r="Z12" s="53"/>
      <c r="AA12" s="53"/>
      <c r="AB12" s="68"/>
      <c r="AC12" s="87"/>
      <c r="AD12" s="88"/>
      <c r="AE12" s="132"/>
      <c r="AF12" s="80"/>
      <c r="AG12" s="72"/>
      <c r="AH12" s="122"/>
      <c r="AI12" s="123"/>
      <c r="AJ12" s="124"/>
      <c r="AK12" s="72"/>
      <c r="AL12" s="133" t="s">
        <v>1151</v>
      </c>
      <c r="AM12" s="133"/>
      <c r="AN12" s="133"/>
      <c r="AO12" s="72"/>
      <c r="AP12" s="257"/>
      <c r="AQ12" s="151"/>
      <c r="AR12" s="258"/>
      <c r="AS12" s="152"/>
      <c r="AT12" s="259"/>
      <c r="AU12" s="74"/>
      <c r="AV12" s="53"/>
      <c r="AW12" s="53"/>
      <c r="AX12" s="53"/>
      <c r="AY12" s="53"/>
    </row>
    <row r="13" customFormat="false" ht="15" hidden="false" customHeight="true" outlineLevel="0" collapsed="false">
      <c r="N13" s="77" t="s">
        <v>1001</v>
      </c>
      <c r="O13" s="77"/>
      <c r="P13" s="77"/>
      <c r="Q13" s="120" t="e">
        <f aca="false">(Q7*Q58)*Q54^2/10^6</f>
        <v>#VALUE!</v>
      </c>
      <c r="W13" s="53"/>
      <c r="X13" s="53"/>
      <c r="Y13" s="53"/>
      <c r="Z13" s="53"/>
      <c r="AA13" s="53"/>
      <c r="AB13" s="68"/>
      <c r="AC13" s="87"/>
      <c r="AD13" s="88"/>
      <c r="AE13" s="54"/>
      <c r="AF13" s="80"/>
      <c r="AG13" s="72"/>
      <c r="AH13" s="138"/>
      <c r="AI13" s="139"/>
      <c r="AJ13" s="140"/>
      <c r="AK13" s="72"/>
      <c r="AL13" s="178" t="n">
        <f aca="false">Q70</f>
        <v>30.1</v>
      </c>
      <c r="AM13" s="178"/>
      <c r="AN13" s="178"/>
      <c r="AO13" s="72"/>
      <c r="AP13" s="142" t="s">
        <v>1003</v>
      </c>
      <c r="AQ13" s="142"/>
      <c r="AR13" s="53"/>
      <c r="AS13" s="119" t="n">
        <f aca="false">Q14</f>
        <v>0.308070734319194</v>
      </c>
      <c r="AT13" s="96" t="s">
        <v>1004</v>
      </c>
      <c r="AU13" s="53"/>
      <c r="AV13" s="53"/>
      <c r="AW13" s="53"/>
      <c r="AX13" s="53"/>
      <c r="AY13" s="53"/>
    </row>
    <row r="14" customFormat="false" ht="15" hidden="false" customHeight="true" outlineLevel="0" collapsed="false">
      <c r="N14" s="77" t="s">
        <v>1003</v>
      </c>
      <c r="O14" s="77"/>
      <c r="P14" s="77"/>
      <c r="Q14" s="146" t="n">
        <f aca="false">(Q66*Q50)/1000</f>
        <v>0.308070734319194</v>
      </c>
      <c r="W14" s="53"/>
      <c r="X14" s="53"/>
      <c r="Y14" s="53"/>
      <c r="Z14" s="53"/>
      <c r="AA14" s="53"/>
      <c r="AB14" s="68"/>
      <c r="AC14" s="99" t="s">
        <v>1002</v>
      </c>
      <c r="AD14" s="100"/>
      <c r="AE14" s="91" t="n">
        <v>0.0357</v>
      </c>
      <c r="AF14" s="96" t="s">
        <v>975</v>
      </c>
      <c r="AG14" s="72"/>
      <c r="AH14" s="260"/>
      <c r="AI14" s="261"/>
      <c r="AJ14" s="262"/>
      <c r="AK14" s="74"/>
      <c r="AL14" s="133" t="s">
        <v>1152</v>
      </c>
      <c r="AM14" s="133"/>
      <c r="AN14" s="133"/>
      <c r="AO14" s="68"/>
      <c r="AP14" s="150"/>
      <c r="AQ14" s="151"/>
      <c r="AR14" s="53"/>
      <c r="AS14" s="152"/>
      <c r="AT14" s="85"/>
      <c r="AU14" s="53"/>
      <c r="AV14" s="53"/>
      <c r="AW14" s="53"/>
      <c r="AX14" s="53"/>
      <c r="AY14" s="53"/>
    </row>
    <row r="15" customFormat="false" ht="16.2" hidden="false" customHeight="true" outlineLevel="0" collapsed="false">
      <c r="N15" s="77" t="s">
        <v>1010</v>
      </c>
      <c r="O15" s="77"/>
      <c r="P15" s="77"/>
      <c r="Q15" s="146" t="n">
        <f aca="false">E4^2*Q42/1000+E5^2*Q43/1000</f>
        <v>0.845391882774112</v>
      </c>
      <c r="W15" s="53"/>
      <c r="X15" s="53"/>
      <c r="Y15" s="53"/>
      <c r="Z15" s="53"/>
      <c r="AA15" s="53"/>
      <c r="AB15" s="68"/>
      <c r="AC15" s="87"/>
      <c r="AD15" s="88"/>
      <c r="AE15" s="132"/>
      <c r="AF15" s="80"/>
      <c r="AG15" s="72"/>
      <c r="AH15" s="263"/>
      <c r="AI15" s="263"/>
      <c r="AJ15" s="263"/>
      <c r="AK15" s="74"/>
      <c r="AL15" s="178" t="n">
        <f aca="false">Q71</f>
        <v>15</v>
      </c>
      <c r="AM15" s="178"/>
      <c r="AN15" s="178"/>
      <c r="AO15" s="68"/>
      <c r="AP15" s="142" t="s">
        <v>1010</v>
      </c>
      <c r="AQ15" s="142"/>
      <c r="AR15" s="68"/>
      <c r="AS15" s="119" t="n">
        <f aca="false">Q15</f>
        <v>0.845391882774112</v>
      </c>
      <c r="AT15" s="96" t="s">
        <v>1004</v>
      </c>
      <c r="AU15" s="53"/>
      <c r="AV15" s="53"/>
      <c r="AW15" s="53"/>
      <c r="AX15" s="53"/>
      <c r="AY15" s="53"/>
    </row>
    <row r="16" customFormat="false" ht="16.2" hidden="false" customHeight="false" outlineLevel="0" collapsed="false">
      <c r="C16" s="264"/>
      <c r="N16" s="77" t="s">
        <v>1015</v>
      </c>
      <c r="O16" s="77"/>
      <c r="P16" s="77"/>
      <c r="Q16" s="146" t="n">
        <f aca="false">Q14+Q15</f>
        <v>1.15346261709331</v>
      </c>
      <c r="W16" s="53"/>
      <c r="X16" s="53"/>
      <c r="Y16" s="53"/>
      <c r="Z16" s="53"/>
      <c r="AA16" s="53"/>
      <c r="AB16" s="68"/>
      <c r="AC16" s="87"/>
      <c r="AD16" s="88"/>
      <c r="AE16" s="54"/>
      <c r="AF16" s="80"/>
      <c r="AG16" s="72"/>
      <c r="AH16" s="78"/>
      <c r="AI16" s="53"/>
      <c r="AJ16" s="265"/>
      <c r="AK16" s="74"/>
      <c r="AL16" s="133" t="s">
        <v>1153</v>
      </c>
      <c r="AM16" s="133"/>
      <c r="AN16" s="133"/>
      <c r="AO16" s="68"/>
      <c r="AP16" s="150"/>
      <c r="AQ16" s="151"/>
      <c r="AR16" s="53"/>
      <c r="AS16" s="152"/>
      <c r="AT16" s="85"/>
      <c r="AU16" s="53"/>
      <c r="AV16" s="53"/>
      <c r="AW16" s="53"/>
      <c r="AX16" s="53"/>
      <c r="AY16" s="53"/>
    </row>
    <row r="17" customFormat="false" ht="15.75" hidden="false" customHeight="true" outlineLevel="0" collapsed="false">
      <c r="N17" s="77" t="s">
        <v>1018</v>
      </c>
      <c r="O17" s="77"/>
      <c r="P17" s="77"/>
      <c r="Q17" s="165" t="n">
        <f aca="false">Q36*Q54/Q48</f>
        <v>0.396158463385354</v>
      </c>
      <c r="W17" s="53"/>
      <c r="X17" s="53"/>
      <c r="Y17" s="53"/>
      <c r="Z17" s="53"/>
      <c r="AA17" s="53"/>
      <c r="AB17" s="68"/>
      <c r="AC17" s="87" t="s">
        <v>1012</v>
      </c>
      <c r="AD17" s="100"/>
      <c r="AE17" s="91" t="n">
        <v>1</v>
      </c>
      <c r="AF17" s="162"/>
      <c r="AG17" s="164"/>
      <c r="AH17" s="266"/>
      <c r="AI17" s="267"/>
      <c r="AJ17" s="268"/>
      <c r="AK17" s="74"/>
      <c r="AL17" s="178" t="n">
        <f aca="false">Q72</f>
        <v>7.06</v>
      </c>
      <c r="AM17" s="178"/>
      <c r="AN17" s="178"/>
      <c r="AO17" s="68"/>
      <c r="AP17" s="269" t="s">
        <v>1016</v>
      </c>
      <c r="AQ17" s="270"/>
      <c r="AR17" s="68"/>
      <c r="AS17" s="119" t="n">
        <f aca="false">Q16</f>
        <v>1.15346261709331</v>
      </c>
      <c r="AT17" s="96" t="s">
        <v>1004</v>
      </c>
      <c r="AU17" s="53"/>
      <c r="AV17" s="53"/>
      <c r="AW17" s="53"/>
      <c r="AX17" s="53"/>
      <c r="AY17" s="53"/>
    </row>
    <row r="18" customFormat="false" ht="16.5" hidden="false" customHeight="true" outlineLevel="0" collapsed="false">
      <c r="N18" s="77" t="s">
        <v>1154</v>
      </c>
      <c r="O18" s="77"/>
      <c r="P18" s="77"/>
      <c r="Q18" s="120" t="n">
        <f aca="false">Q42</f>
        <v>31.1922971519553</v>
      </c>
      <c r="W18" s="53"/>
      <c r="X18" s="53"/>
      <c r="Y18" s="53"/>
      <c r="Z18" s="53"/>
      <c r="AA18" s="53"/>
      <c r="AB18" s="68"/>
      <c r="AC18" s="78"/>
      <c r="AD18" s="74"/>
      <c r="AE18" s="163"/>
      <c r="AF18" s="80"/>
      <c r="AG18" s="74"/>
      <c r="AH18" s="271"/>
      <c r="AI18" s="271"/>
      <c r="AJ18" s="271"/>
      <c r="AK18" s="53"/>
      <c r="AL18" s="133" t="s">
        <v>1028</v>
      </c>
      <c r="AM18" s="133"/>
      <c r="AN18" s="133"/>
      <c r="AO18" s="68"/>
      <c r="AP18" s="150"/>
      <c r="AQ18" s="272"/>
      <c r="AR18" s="53"/>
      <c r="AS18" s="152"/>
      <c r="AT18" s="85"/>
      <c r="AU18" s="53"/>
      <c r="AV18" s="53"/>
      <c r="AW18" s="53"/>
      <c r="AX18" s="53"/>
      <c r="AY18" s="53"/>
    </row>
    <row r="19" customFormat="false" ht="28.2" hidden="false" customHeight="false" outlineLevel="0" collapsed="false">
      <c r="N19" s="77" t="s">
        <v>1027</v>
      </c>
      <c r="O19" s="77"/>
      <c r="P19" s="77"/>
      <c r="Q19" s="170" t="n">
        <f aca="false">(Q16*1000/Q44)^0.833</f>
        <v>23.1449399347493</v>
      </c>
      <c r="W19" s="53"/>
      <c r="X19" s="53"/>
      <c r="Y19" s="53"/>
      <c r="Z19" s="53"/>
      <c r="AA19" s="53"/>
      <c r="AB19" s="68"/>
      <c r="AC19" s="115" t="s">
        <v>1019</v>
      </c>
      <c r="AD19" s="116"/>
      <c r="AE19" s="117" t="n">
        <v>8</v>
      </c>
      <c r="AF19" s="96" t="s">
        <v>978</v>
      </c>
      <c r="AG19" s="74"/>
      <c r="AH19" s="167"/>
      <c r="AI19" s="167"/>
      <c r="AJ19" s="167"/>
      <c r="AK19" s="53"/>
      <c r="AL19" s="178" t="n">
        <f aca="false">Q6</f>
        <v>90</v>
      </c>
      <c r="AM19" s="178"/>
      <c r="AN19" s="178"/>
      <c r="AO19" s="68"/>
      <c r="AP19" s="269" t="s">
        <v>1024</v>
      </c>
      <c r="AQ19" s="270"/>
      <c r="AR19" s="68"/>
      <c r="AS19" s="169" t="n">
        <f aca="false">Q19</f>
        <v>23.1449399347493</v>
      </c>
      <c r="AT19" s="96" t="s">
        <v>1025</v>
      </c>
      <c r="AU19" s="53"/>
      <c r="AV19" s="53"/>
      <c r="AW19" s="53"/>
      <c r="AX19" s="53"/>
      <c r="AY19" s="53"/>
    </row>
    <row r="20" customFormat="false" ht="16.2" hidden="false" customHeight="false" outlineLevel="0" collapsed="false">
      <c r="N20" s="77" t="s">
        <v>1030</v>
      </c>
      <c r="O20" s="77"/>
      <c r="P20" s="77"/>
      <c r="Q20" s="170" t="n">
        <f aca="false">Q19+$E$10</f>
        <v>48.1449399347493</v>
      </c>
      <c r="W20" s="53"/>
      <c r="X20" s="53"/>
      <c r="Y20" s="53"/>
      <c r="Z20" s="53"/>
      <c r="AA20" s="53"/>
      <c r="AB20" s="68"/>
      <c r="AC20" s="78"/>
      <c r="AD20" s="74"/>
      <c r="AE20" s="57"/>
      <c r="AF20" s="80"/>
      <c r="AG20" s="74"/>
      <c r="AH20" s="53"/>
      <c r="AI20" s="53"/>
      <c r="AJ20" s="53"/>
      <c r="AK20" s="53"/>
      <c r="AL20" s="133" t="s">
        <v>1032</v>
      </c>
      <c r="AM20" s="133"/>
      <c r="AN20" s="133"/>
      <c r="AO20" s="68"/>
      <c r="AP20" s="150"/>
      <c r="AQ20" s="272"/>
      <c r="AR20" s="53"/>
      <c r="AS20" s="152"/>
      <c r="AT20" s="85"/>
      <c r="AU20" s="53"/>
      <c r="AV20" s="53"/>
      <c r="AW20" s="53"/>
      <c r="AX20" s="53"/>
      <c r="AY20" s="53"/>
    </row>
    <row r="21" customFormat="false" ht="16.5" hidden="false" customHeight="true" outlineLevel="0" collapsed="false">
      <c r="B21" s="77" t="s">
        <v>1155</v>
      </c>
      <c r="C21" s="77"/>
      <c r="D21" s="77"/>
      <c r="E21" s="191"/>
      <c r="N21" s="77" t="s">
        <v>1031</v>
      </c>
      <c r="O21" s="77"/>
      <c r="P21" s="77"/>
      <c r="Q21" s="273" t="n">
        <f aca="false">Q54</f>
        <v>33</v>
      </c>
      <c r="W21" s="53"/>
      <c r="X21" s="53"/>
      <c r="Y21" s="53"/>
      <c r="Z21" s="53"/>
      <c r="AA21" s="53"/>
      <c r="AB21" s="68"/>
      <c r="AC21" s="274" t="s">
        <v>1024</v>
      </c>
      <c r="AD21" s="194"/>
      <c r="AE21" s="91" t="n">
        <v>40</v>
      </c>
      <c r="AF21" s="96" t="s">
        <v>1025</v>
      </c>
      <c r="AG21" s="74"/>
      <c r="AH21" s="53"/>
      <c r="AI21" s="53"/>
      <c r="AJ21" s="53"/>
      <c r="AK21" s="53"/>
      <c r="AL21" s="189" t="n">
        <f aca="false">Q7/Q4</f>
        <v>92</v>
      </c>
      <c r="AM21" s="189"/>
      <c r="AN21" s="189"/>
      <c r="AO21" s="68"/>
      <c r="AP21" s="269" t="s">
        <v>1031</v>
      </c>
      <c r="AQ21" s="275"/>
      <c r="AR21" s="94"/>
      <c r="AS21" s="179" t="n">
        <f aca="false">Q54</f>
        <v>33</v>
      </c>
      <c r="AT21" s="96"/>
      <c r="AU21" s="53"/>
      <c r="AV21" s="53"/>
      <c r="AW21" s="53"/>
      <c r="AX21" s="53"/>
      <c r="AY21" s="53"/>
    </row>
    <row r="22" customFormat="false" ht="15" hidden="false" customHeight="false" outlineLevel="0" collapsed="false">
      <c r="N22" s="107" t="s">
        <v>1156</v>
      </c>
      <c r="O22" s="107"/>
      <c r="P22" s="107"/>
      <c r="Q22" s="273" t="n">
        <f aca="false">ROUNDDOWN((((2*Q73)-(2*Q78))/Q81), 0)</f>
        <v>15</v>
      </c>
      <c r="W22" s="53"/>
      <c r="X22" s="53"/>
      <c r="Y22" s="53"/>
      <c r="Z22" s="53"/>
      <c r="AA22" s="53"/>
      <c r="AB22" s="68"/>
      <c r="AC22" s="174"/>
      <c r="AD22" s="276"/>
      <c r="AE22" s="175"/>
      <c r="AF22" s="177"/>
      <c r="AG22" s="53"/>
      <c r="AH22" s="53" t="s">
        <v>1157</v>
      </c>
      <c r="AI22" s="53"/>
      <c r="AJ22" s="53"/>
      <c r="AK22" s="53"/>
      <c r="AL22" s="277"/>
      <c r="AM22" s="53"/>
      <c r="AN22" s="277"/>
      <c r="AO22" s="68"/>
      <c r="AP22" s="150"/>
      <c r="AQ22" s="275"/>
      <c r="AR22" s="113"/>
      <c r="AS22" s="182"/>
      <c r="AT22" s="85"/>
      <c r="AU22" s="53"/>
      <c r="AV22" s="53"/>
      <c r="AW22" s="53"/>
      <c r="AX22" s="53"/>
      <c r="AY22" s="53"/>
    </row>
    <row r="23" customFormat="false" ht="15" hidden="false" customHeight="true" outlineLevel="0" collapsed="false">
      <c r="N23" s="107" t="s">
        <v>1158</v>
      </c>
      <c r="O23" s="107"/>
      <c r="P23" s="107"/>
      <c r="Q23" s="273" t="n">
        <f aca="false">COUNTIF(Q83:Q91,"&gt;0")</f>
        <v>3</v>
      </c>
      <c r="W23" s="53"/>
      <c r="X23" s="53"/>
      <c r="Y23" s="53"/>
      <c r="Z23" s="53"/>
      <c r="AA23" s="53"/>
      <c r="AB23" s="53"/>
      <c r="AC23" s="53"/>
      <c r="AD23" s="74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68"/>
      <c r="AP23" s="269" t="s">
        <v>1035</v>
      </c>
      <c r="AQ23" s="269"/>
      <c r="AR23" s="94"/>
      <c r="AS23" s="192" t="n">
        <f aca="false">Q17</f>
        <v>0.396158463385354</v>
      </c>
      <c r="AT23" s="96"/>
      <c r="AU23" s="53"/>
      <c r="AV23" s="53"/>
      <c r="AW23" s="53"/>
      <c r="AX23" s="53"/>
      <c r="AY23" s="53"/>
    </row>
    <row r="24" customFormat="false" ht="16.5" hidden="false" customHeight="true" outlineLevel="0" collapsed="false">
      <c r="A24" s="278"/>
      <c r="B24" s="264"/>
      <c r="N24" s="107" t="s">
        <v>1034</v>
      </c>
      <c r="O24" s="107"/>
      <c r="P24" s="107"/>
      <c r="Q24" s="279" t="n">
        <f aca="false">(2*E9*Q32)+(Q97*Q32)</f>
        <v>7342.65310433576</v>
      </c>
      <c r="W24" s="53"/>
      <c r="X24" s="53"/>
      <c r="Y24" s="53"/>
      <c r="Z24" s="53"/>
      <c r="AA24" s="53"/>
      <c r="AB24" s="53"/>
      <c r="AC24" s="53"/>
      <c r="AD24" s="74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68"/>
      <c r="AP24" s="111"/>
      <c r="AQ24" s="112"/>
      <c r="AR24" s="113"/>
      <c r="AS24" s="182"/>
      <c r="AT24" s="85"/>
      <c r="AU24" s="53"/>
      <c r="AV24" s="53"/>
      <c r="AW24" s="53"/>
      <c r="AX24" s="53"/>
      <c r="AY24" s="53"/>
    </row>
    <row r="25" customFormat="false" ht="15" hidden="false" customHeight="false" outlineLevel="0" collapsed="false">
      <c r="B25" s="280"/>
      <c r="N25" s="77" t="s">
        <v>1159</v>
      </c>
      <c r="O25" s="77"/>
      <c r="P25" s="77"/>
      <c r="Q25" s="281"/>
      <c r="W25" s="53"/>
      <c r="X25" s="53"/>
      <c r="Y25" s="53"/>
      <c r="Z25" s="53"/>
      <c r="AA25" s="53"/>
      <c r="AB25" s="53"/>
      <c r="AC25" s="53"/>
      <c r="AD25" s="74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68"/>
      <c r="AP25" s="269" t="s">
        <v>1038</v>
      </c>
      <c r="AQ25" s="269"/>
      <c r="AR25" s="94"/>
      <c r="AS25" s="119" t="n">
        <f aca="false">Q18</f>
        <v>31.1922971519553</v>
      </c>
      <c r="AT25" s="250" t="s">
        <v>1039</v>
      </c>
      <c r="AU25" s="53"/>
      <c r="AV25" s="53"/>
      <c r="AW25" s="53"/>
      <c r="AX25" s="53"/>
      <c r="AY25" s="53"/>
    </row>
    <row r="26" customFormat="false" ht="15" hidden="false" customHeight="false" outlineLevel="0" collapsed="false">
      <c r="N26" s="77" t="s">
        <v>1160</v>
      </c>
      <c r="O26" s="77"/>
      <c r="P26" s="77"/>
      <c r="Q26" s="282"/>
      <c r="W26" s="53"/>
      <c r="X26" s="53"/>
      <c r="Y26" s="53"/>
      <c r="Z26" s="53"/>
      <c r="AA26" s="53"/>
      <c r="AB26" s="53"/>
      <c r="AC26" s="196" t="s">
        <v>1036</v>
      </c>
      <c r="AD26" s="197"/>
      <c r="AE26" s="197"/>
      <c r="AF26" s="198"/>
      <c r="AG26" s="198"/>
      <c r="AH26" s="198"/>
      <c r="AI26" s="198"/>
      <c r="AJ26" s="198"/>
      <c r="AK26" s="198"/>
      <c r="AL26" s="198"/>
      <c r="AM26" s="198"/>
      <c r="AN26" s="283"/>
      <c r="AO26" s="72"/>
      <c r="AP26" s="134"/>
      <c r="AQ26" s="135"/>
      <c r="AR26" s="94"/>
      <c r="AS26" s="119"/>
      <c r="AT26" s="252"/>
      <c r="AU26" s="53"/>
      <c r="AV26" s="53"/>
      <c r="AW26" s="53"/>
      <c r="AX26" s="53"/>
      <c r="AY26" s="53"/>
    </row>
    <row r="27" customFormat="false" ht="15" hidden="false" customHeight="true" outlineLevel="0" collapsed="false">
      <c r="N27" s="77" t="s">
        <v>1161</v>
      </c>
      <c r="O27" s="77"/>
      <c r="P27" s="77"/>
      <c r="Q27" s="282"/>
      <c r="W27" s="53"/>
      <c r="X27" s="53"/>
      <c r="Y27" s="53"/>
      <c r="Z27" s="53"/>
      <c r="AA27" s="53"/>
      <c r="AB27" s="53"/>
      <c r="AC27" s="203" t="s">
        <v>1037</v>
      </c>
      <c r="AD27" s="204"/>
      <c r="AE27" s="204"/>
      <c r="AF27" s="57"/>
      <c r="AG27" s="57"/>
      <c r="AH27" s="204"/>
      <c r="AI27" s="204"/>
      <c r="AJ27" s="204"/>
      <c r="AK27" s="204"/>
      <c r="AL27" s="204"/>
      <c r="AM27" s="204"/>
      <c r="AN27" s="213"/>
      <c r="AO27" s="68"/>
      <c r="AP27" s="134"/>
      <c r="AQ27" s="135"/>
      <c r="AR27" s="94"/>
      <c r="AS27" s="152"/>
      <c r="AT27" s="137"/>
      <c r="AU27" s="53"/>
      <c r="AV27" s="53"/>
      <c r="AW27" s="53"/>
      <c r="AX27" s="53"/>
      <c r="AY27" s="53"/>
    </row>
    <row r="28" customFormat="false" ht="14.4" hidden="false" customHeight="true" outlineLevel="0" collapsed="false">
      <c r="B28" s="280"/>
      <c r="N28" s="193"/>
      <c r="O28" s="193"/>
      <c r="P28" s="193"/>
      <c r="Q28" s="194"/>
      <c r="W28" s="53"/>
      <c r="X28" s="53"/>
      <c r="Y28" s="53"/>
      <c r="Z28" s="53"/>
      <c r="AA28" s="53"/>
      <c r="AB28" s="53"/>
      <c r="AC28" s="203" t="s">
        <v>1041</v>
      </c>
      <c r="AD28" s="204"/>
      <c r="AE28" s="204"/>
      <c r="AF28" s="207"/>
      <c r="AG28" s="204"/>
      <c r="AH28" s="204"/>
      <c r="AI28" s="204"/>
      <c r="AJ28" s="204"/>
      <c r="AK28" s="204"/>
      <c r="AL28" s="204"/>
      <c r="AM28" s="204"/>
      <c r="AN28" s="213"/>
      <c r="AO28" s="68"/>
      <c r="AP28" s="93" t="s">
        <v>1046</v>
      </c>
      <c r="AQ28" s="93"/>
      <c r="AR28" s="94"/>
      <c r="AS28" s="119" t="n">
        <f aca="false">Q24</f>
        <v>7342.65310433576</v>
      </c>
      <c r="AT28" s="137"/>
      <c r="AU28" s="53"/>
      <c r="AV28" s="53"/>
      <c r="AW28" s="53"/>
      <c r="AX28" s="53"/>
      <c r="AY28" s="53"/>
    </row>
    <row r="29" customFormat="false" ht="15" hidden="false" customHeight="false" outlineLevel="0" collapsed="false">
      <c r="N29" s="201"/>
      <c r="O29" s="201"/>
      <c r="P29" s="201"/>
      <c r="Q29" s="194"/>
      <c r="W29" s="53"/>
      <c r="X29" s="53"/>
      <c r="Y29" s="53"/>
      <c r="Z29" s="53"/>
      <c r="AA29" s="53"/>
      <c r="AB29" s="53"/>
      <c r="AC29" s="203" t="s">
        <v>1043</v>
      </c>
      <c r="AD29" s="204"/>
      <c r="AE29" s="204"/>
      <c r="AF29" s="207"/>
      <c r="AG29" s="204"/>
      <c r="AH29" s="204"/>
      <c r="AI29" s="204"/>
      <c r="AJ29" s="204"/>
      <c r="AK29" s="204"/>
      <c r="AL29" s="53"/>
      <c r="AM29" s="53"/>
      <c r="AN29" s="213"/>
      <c r="AO29" s="68"/>
      <c r="AP29" s="93"/>
      <c r="AQ29" s="93"/>
      <c r="AR29" s="94"/>
      <c r="AS29" s="119"/>
      <c r="AT29" s="137" t="s">
        <v>1049</v>
      </c>
      <c r="AU29" s="53"/>
      <c r="AV29" s="53"/>
      <c r="AW29" s="53"/>
      <c r="AX29" s="53"/>
      <c r="AY29" s="53"/>
    </row>
    <row r="30" customFormat="false" ht="16.5" hidden="false" customHeight="true" outlineLevel="0" collapsed="false">
      <c r="B30" s="284" t="s">
        <v>1005</v>
      </c>
      <c r="C30" s="284"/>
      <c r="D30" s="284"/>
      <c r="N30" s="206" t="s">
        <v>1040</v>
      </c>
      <c r="O30" s="206"/>
      <c r="P30" s="206"/>
      <c r="W30" s="53"/>
      <c r="X30" s="53"/>
      <c r="Y30" s="53"/>
      <c r="Z30" s="53"/>
      <c r="AA30" s="53"/>
      <c r="AB30" s="53"/>
      <c r="AC30" s="203" t="s">
        <v>1045</v>
      </c>
      <c r="AD30" s="204"/>
      <c r="AE30" s="204"/>
      <c r="AF30" s="207"/>
      <c r="AG30" s="204"/>
      <c r="AH30" s="204"/>
      <c r="AI30" s="204"/>
      <c r="AJ30" s="204"/>
      <c r="AK30" s="204"/>
      <c r="AL30" s="53"/>
      <c r="AM30" s="53"/>
      <c r="AN30" s="213"/>
      <c r="AO30" s="68"/>
      <c r="AP30" s="285"/>
      <c r="AQ30" s="94"/>
      <c r="AR30" s="94"/>
      <c r="AS30" s="135"/>
      <c r="AT30" s="137"/>
      <c r="AU30" s="53"/>
      <c r="AV30" s="53"/>
      <c r="AW30" s="53"/>
      <c r="AX30" s="53"/>
      <c r="AY30" s="53"/>
    </row>
    <row r="31" customFormat="false" ht="18.75" hidden="false" customHeight="true" outlineLevel="0" collapsed="false">
      <c r="B31" s="153" t="s">
        <v>1162</v>
      </c>
      <c r="C31" s="153"/>
      <c r="D31" s="153"/>
      <c r="E31" s="154" t="n">
        <f aca="false">E3*E32^2</f>
        <v>1.3923008925</v>
      </c>
      <c r="N31" s="77" t="s">
        <v>1042</v>
      </c>
      <c r="O31" s="77"/>
      <c r="P31" s="77"/>
      <c r="Q31" s="76" t="n">
        <f aca="false">AM8</f>
        <v>25</v>
      </c>
      <c r="W31" s="53"/>
      <c r="X31" s="53"/>
      <c r="Y31" s="53"/>
      <c r="Z31" s="53"/>
      <c r="AA31" s="53"/>
      <c r="AB31" s="53"/>
      <c r="AC31" s="203"/>
      <c r="AD31" s="204"/>
      <c r="AE31" s="204"/>
      <c r="AF31" s="207"/>
      <c r="AG31" s="204"/>
      <c r="AH31" s="204"/>
      <c r="AI31" s="204"/>
      <c r="AJ31" s="204"/>
      <c r="AK31" s="204"/>
      <c r="AL31" s="53"/>
      <c r="AM31" s="53"/>
      <c r="AN31" s="213"/>
      <c r="AO31" s="68"/>
      <c r="AP31" s="168" t="s">
        <v>1163</v>
      </c>
      <c r="AQ31" s="168"/>
      <c r="AR31" s="68"/>
      <c r="AS31" s="212" t="n">
        <f aca="false">Q126</f>
        <v>30.1</v>
      </c>
      <c r="AT31" s="96" t="s">
        <v>1049</v>
      </c>
      <c r="AU31" s="53"/>
      <c r="AV31" s="53"/>
      <c r="AW31" s="53"/>
      <c r="AX31" s="53"/>
      <c r="AY31" s="53"/>
    </row>
    <row r="32" customFormat="false" ht="16.5" hidden="false" customHeight="true" outlineLevel="0" collapsed="false">
      <c r="B32" s="153" t="str">
        <f aca="false">IF(E1="DC w/ ripple","DC + AC Ripple Current",(IF(E1="Low AC w/ ripple","low AC+AC Ripple Current",IF(E1="Pure AC no ripple","AC max current(Sine)"))))</f>
        <v>DC + AC Ripple Current</v>
      </c>
      <c r="C32" s="153"/>
      <c r="D32" s="153"/>
      <c r="E32" s="161" t="n">
        <f aca="false">IF(E1="DC w/ ripple",E4+(0.5*E6),IF(E1="Low AC w/ ripple",E4*SQRT(2)+(0.5*E6),IF(E1="Pure AC no ripple",E4*SQRT(2))))</f>
        <v>6.245</v>
      </c>
      <c r="N32" s="77" t="s">
        <v>1044</v>
      </c>
      <c r="O32" s="77"/>
      <c r="P32" s="77"/>
      <c r="Q32" s="76" t="n">
        <f aca="false">IF(AS37=0,1,AS37)</f>
        <v>5</v>
      </c>
      <c r="W32" s="53"/>
      <c r="X32" s="53"/>
      <c r="Y32" s="53"/>
      <c r="Z32" s="53"/>
      <c r="AA32" s="53"/>
      <c r="AB32" s="53"/>
      <c r="AC32" s="203" t="s">
        <v>1051</v>
      </c>
      <c r="AD32" s="204"/>
      <c r="AE32" s="204"/>
      <c r="AF32" s="207"/>
      <c r="AG32" s="204"/>
      <c r="AH32" s="204"/>
      <c r="AI32" s="204"/>
      <c r="AJ32" s="204"/>
      <c r="AK32" s="204"/>
      <c r="AL32" s="204"/>
      <c r="AM32" s="204"/>
      <c r="AN32" s="213"/>
      <c r="AO32" s="68"/>
      <c r="AP32" s="150"/>
      <c r="AQ32" s="151"/>
      <c r="AR32" s="53"/>
      <c r="AS32" s="152"/>
      <c r="AT32" s="85"/>
      <c r="AU32" s="53"/>
      <c r="AV32" s="53"/>
      <c r="AW32" s="53"/>
      <c r="AX32" s="53"/>
      <c r="AY32" s="53"/>
    </row>
    <row r="33" customFormat="false" ht="15" hidden="false" customHeight="false" outlineLevel="0" collapsed="false">
      <c r="B33" s="77" t="str">
        <f aca="false">IF(E1="DC w/ ripple","DC - AC Ripple Current",(IF(E1="Low AC w/ ripple","low AC-AC Ripple Current",IF(E1="Pure AC no ripple","AC min current(Sine)"))))</f>
        <v>DC - AC Ripple Current</v>
      </c>
      <c r="C33" s="77"/>
      <c r="D33" s="77"/>
      <c r="E33" s="98" t="n">
        <f aca="false">IF(E1="DC w/ ripple",E4-(0.5*E6),IF(E1="Low AC w/ ripple",E4*SQRT(2)-(0.5*E6),IF(E1="Pure AC no ripple",-E4*SQRT(2))))</f>
        <v>3.955</v>
      </c>
      <c r="N33" s="77" t="s">
        <v>1164</v>
      </c>
      <c r="O33" s="77"/>
      <c r="P33" s="77"/>
      <c r="Q33" s="76" t="n">
        <f aca="false">66.3/SQRT($E$8*1000)</f>
        <v>0.3315</v>
      </c>
      <c r="W33" s="53"/>
      <c r="X33" s="53"/>
      <c r="Y33" s="53"/>
      <c r="Z33" s="53"/>
      <c r="AA33" s="53"/>
      <c r="AB33" s="53"/>
      <c r="AC33" s="203"/>
      <c r="AD33" s="204"/>
      <c r="AE33" s="204"/>
      <c r="AF33" s="207"/>
      <c r="AG33" s="204"/>
      <c r="AH33" s="204"/>
      <c r="AI33" s="204"/>
      <c r="AJ33" s="204"/>
      <c r="AK33" s="204"/>
      <c r="AL33" s="204"/>
      <c r="AM33" s="204"/>
      <c r="AN33" s="213"/>
      <c r="AO33" s="68"/>
      <c r="AP33" s="286" t="s">
        <v>1057</v>
      </c>
      <c r="AQ33" s="270"/>
      <c r="AR33" s="68"/>
      <c r="AS33" s="212" t="n">
        <f aca="false">Q128</f>
        <v>14.5073025028304</v>
      </c>
      <c r="AT33" s="96" t="s">
        <v>1049</v>
      </c>
      <c r="AU33" s="53"/>
      <c r="AV33" s="53"/>
      <c r="AW33" s="53"/>
      <c r="AX33" s="53"/>
      <c r="AY33" s="53"/>
    </row>
    <row r="34" customFormat="false" ht="16.5" hidden="false" customHeight="true" outlineLevel="0" collapsed="false">
      <c r="B34" s="77" t="s">
        <v>1017</v>
      </c>
      <c r="C34" s="77"/>
      <c r="D34" s="77"/>
      <c r="E34" s="98" t="n">
        <f aca="false">E4</f>
        <v>5.1</v>
      </c>
      <c r="N34" s="77" t="s">
        <v>7</v>
      </c>
      <c r="O34" s="77"/>
      <c r="P34" s="77"/>
      <c r="Q34" s="211" t="n">
        <f aca="false">VLOOKUP(Q31, 'Wire Table'!$A$4:$N$47,14,0)</f>
        <v>0.22733</v>
      </c>
      <c r="W34" s="53"/>
      <c r="X34" s="53"/>
      <c r="Y34" s="53"/>
      <c r="Z34" s="53"/>
      <c r="AA34" s="53"/>
      <c r="AB34" s="53"/>
      <c r="AC34" s="203" t="s">
        <v>1165</v>
      </c>
      <c r="AD34" s="204"/>
      <c r="AE34" s="204"/>
      <c r="AF34" s="207"/>
      <c r="AG34" s="204"/>
      <c r="AH34" s="204"/>
      <c r="AI34" s="204"/>
      <c r="AJ34" s="204"/>
      <c r="AK34" s="204"/>
      <c r="AL34" s="204"/>
      <c r="AM34" s="204"/>
      <c r="AN34" s="213"/>
      <c r="AO34" s="53"/>
      <c r="AP34" s="150"/>
      <c r="AQ34" s="151"/>
      <c r="AR34" s="53"/>
      <c r="AS34" s="163"/>
      <c r="AT34" s="85"/>
      <c r="AU34" s="53"/>
      <c r="AV34" s="53"/>
      <c r="AW34" s="53"/>
      <c r="AX34" s="53"/>
      <c r="AY34" s="53"/>
    </row>
    <row r="35" customFormat="false" ht="29.25" hidden="false" customHeight="true" outlineLevel="0" collapsed="false">
      <c r="B35" s="77" t="s">
        <v>1021</v>
      </c>
      <c r="C35" s="77"/>
      <c r="D35" s="77"/>
      <c r="E35" s="166" t="str">
        <f aca="false">IF(E1="Low AC w/ ripple",(E4*SQRT(2))+(E6/2),"")</f>
        <v/>
      </c>
      <c r="N35" s="107" t="s">
        <v>1052</v>
      </c>
      <c r="O35" s="107"/>
      <c r="P35" s="107"/>
      <c r="Q35" s="273" t="n">
        <f aca="false">VLOOKUP(Q31, 'Wire Table'!$A$4:$J$47,5,0)</f>
        <v>0.002</v>
      </c>
      <c r="W35" s="53"/>
      <c r="X35" s="53"/>
      <c r="Y35" s="53"/>
      <c r="Z35" s="53"/>
      <c r="AA35" s="53"/>
      <c r="AB35" s="53"/>
      <c r="AC35" s="287" t="s">
        <v>1166</v>
      </c>
      <c r="AD35" s="204"/>
      <c r="AE35" s="204"/>
      <c r="AF35" s="207"/>
      <c r="AG35" s="204"/>
      <c r="AH35" s="204"/>
      <c r="AI35" s="204"/>
      <c r="AJ35" s="204"/>
      <c r="AK35" s="204"/>
      <c r="AL35" s="204"/>
      <c r="AM35" s="204"/>
      <c r="AN35" s="213"/>
      <c r="AO35" s="68"/>
      <c r="AP35" s="286" t="s">
        <v>1064</v>
      </c>
      <c r="AQ35" s="275"/>
      <c r="AR35" s="68"/>
      <c r="AS35" s="91" t="n">
        <v>33</v>
      </c>
      <c r="AT35" s="96"/>
      <c r="AU35" s="53"/>
      <c r="AV35" s="53"/>
      <c r="AW35" s="53"/>
      <c r="AX35" s="53"/>
      <c r="AY35" s="53"/>
    </row>
    <row r="36" customFormat="false" ht="15" hidden="false" customHeight="false" outlineLevel="0" collapsed="false">
      <c r="B36" s="77" t="s">
        <v>1026</v>
      </c>
      <c r="C36" s="77"/>
      <c r="D36" s="77"/>
      <c r="E36" s="98" t="n">
        <f aca="false">E7</f>
        <v>8</v>
      </c>
      <c r="N36" s="77" t="s">
        <v>1054</v>
      </c>
      <c r="O36" s="77"/>
      <c r="P36" s="77"/>
      <c r="Q36" s="273" t="n">
        <f aca="false">Q35*Q32</f>
        <v>0.01</v>
      </c>
      <c r="W36" s="53"/>
      <c r="X36" s="53"/>
      <c r="Y36" s="53"/>
      <c r="Z36" s="53"/>
      <c r="AA36" s="53"/>
      <c r="AB36" s="53"/>
      <c r="AC36" s="203" t="s">
        <v>1167</v>
      </c>
      <c r="AD36" s="204"/>
      <c r="AE36" s="204"/>
      <c r="AF36" s="207"/>
      <c r="AG36" s="204"/>
      <c r="AH36" s="204"/>
      <c r="AI36" s="204"/>
      <c r="AJ36" s="204"/>
      <c r="AK36" s="204"/>
      <c r="AL36" s="204"/>
      <c r="AM36" s="204"/>
      <c r="AN36" s="213"/>
      <c r="AO36" s="53"/>
      <c r="AP36" s="171"/>
      <c r="AQ36" s="72"/>
      <c r="AR36" s="53"/>
      <c r="AS36" s="53"/>
      <c r="AT36" s="96"/>
      <c r="AU36" s="53"/>
      <c r="AV36" s="53"/>
      <c r="AW36" s="53"/>
      <c r="AX36" s="53"/>
      <c r="AY36" s="53"/>
    </row>
    <row r="37" customFormat="false" ht="16.5" hidden="false" customHeight="true" outlineLevel="0" collapsed="false">
      <c r="B37" s="229"/>
      <c r="C37" s="229"/>
      <c r="D37" s="229"/>
      <c r="E37" s="288"/>
      <c r="N37" s="77" t="s">
        <v>1168</v>
      </c>
      <c r="O37" s="77"/>
      <c r="P37" s="77"/>
      <c r="Q37" s="273" t="n">
        <f aca="false">VLOOKUP(Q31, 'Wire Table'!$A$4:$J$47,2,0)</f>
        <v>320.4</v>
      </c>
      <c r="W37" s="53"/>
      <c r="X37" s="53"/>
      <c r="Y37" s="53"/>
      <c r="Z37" s="53"/>
      <c r="AA37" s="53"/>
      <c r="AB37" s="53"/>
      <c r="AC37" s="203" t="s">
        <v>1169</v>
      </c>
      <c r="AD37" s="204"/>
      <c r="AE37" s="204"/>
      <c r="AF37" s="207"/>
      <c r="AG37" s="204"/>
      <c r="AH37" s="204"/>
      <c r="AI37" s="204"/>
      <c r="AJ37" s="204"/>
      <c r="AK37" s="204"/>
      <c r="AL37" s="204"/>
      <c r="AM37" s="204"/>
      <c r="AN37" s="213"/>
      <c r="AO37" s="53"/>
      <c r="AP37" s="286" t="s">
        <v>1170</v>
      </c>
      <c r="AQ37" s="57"/>
      <c r="AR37" s="57"/>
      <c r="AS37" s="91" t="n">
        <v>5</v>
      </c>
      <c r="AT37" s="218"/>
      <c r="AU37" s="53"/>
      <c r="AV37" s="53"/>
      <c r="AW37" s="53"/>
      <c r="AX37" s="53"/>
      <c r="AY37" s="53"/>
    </row>
    <row r="38" customFormat="false" ht="16.5" hidden="false" customHeight="true" outlineLevel="0" collapsed="false">
      <c r="N38" s="77" t="s">
        <v>1171</v>
      </c>
      <c r="O38" s="77"/>
      <c r="P38" s="77"/>
      <c r="Q38" s="98" t="n">
        <f aca="false">VLOOKUP($E$11,'Wire Resistivity'!$A$2:$C$4,3,0)</f>
        <v>10.371</v>
      </c>
      <c r="W38" s="53"/>
      <c r="X38" s="53"/>
      <c r="Y38" s="53"/>
      <c r="Z38" s="53"/>
      <c r="AA38" s="53"/>
      <c r="AB38" s="53"/>
      <c r="AC38" s="203" t="s">
        <v>1066</v>
      </c>
      <c r="AD38" s="204"/>
      <c r="AE38" s="204"/>
      <c r="AF38" s="207"/>
      <c r="AG38" s="204"/>
      <c r="AH38" s="204"/>
      <c r="AI38" s="204"/>
      <c r="AJ38" s="204"/>
      <c r="AK38" s="217"/>
      <c r="AL38" s="204"/>
      <c r="AM38" s="204"/>
      <c r="AN38" s="213"/>
      <c r="AO38" s="53"/>
      <c r="AP38" s="266"/>
      <c r="AQ38" s="267"/>
      <c r="AR38" s="267"/>
      <c r="AS38" s="267"/>
      <c r="AT38" s="289"/>
      <c r="AU38" s="53"/>
      <c r="AV38" s="53"/>
      <c r="AW38" s="53"/>
      <c r="AX38" s="53"/>
      <c r="AY38" s="53"/>
    </row>
    <row r="39" customFormat="false" ht="14.4" hidden="false" customHeight="false" outlineLevel="0" collapsed="false"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6"/>
      <c r="N39" s="77" t="s">
        <v>1058</v>
      </c>
      <c r="O39" s="77"/>
      <c r="P39" s="77"/>
      <c r="Q39" s="98" t="n">
        <f aca="false">Q38/Q37*3.281/Q32</f>
        <v>0.0212404812734082</v>
      </c>
      <c r="W39" s="53"/>
      <c r="X39" s="53"/>
      <c r="Y39" s="53"/>
      <c r="Z39" s="53"/>
      <c r="AA39" s="53"/>
      <c r="AB39" s="53"/>
      <c r="AC39" s="203"/>
      <c r="AD39" s="204"/>
      <c r="AE39" s="204"/>
      <c r="AF39" s="207"/>
      <c r="AG39" s="204"/>
      <c r="AH39" s="204"/>
      <c r="AI39" s="204"/>
      <c r="AJ39" s="204"/>
      <c r="AK39" s="204"/>
      <c r="AL39" s="204"/>
      <c r="AM39" s="204"/>
      <c r="AN39" s="213"/>
      <c r="AO39" s="53"/>
      <c r="AP39" s="57"/>
      <c r="AQ39" s="57"/>
      <c r="AR39" s="57"/>
      <c r="AS39" s="57"/>
      <c r="AT39" s="223"/>
      <c r="AU39" s="53"/>
      <c r="AV39" s="53"/>
      <c r="AW39" s="53"/>
      <c r="AX39" s="53"/>
      <c r="AY39" s="53"/>
    </row>
    <row r="40" customFormat="false" ht="14.4" hidden="false" customHeight="false" outlineLevel="0" collapsed="false">
      <c r="D40" s="202"/>
      <c r="E40" s="202"/>
      <c r="F40" s="214"/>
      <c r="G40" s="214"/>
      <c r="H40" s="214"/>
      <c r="I40" s="214"/>
      <c r="J40" s="214"/>
      <c r="K40" s="214"/>
      <c r="L40" s="214"/>
      <c r="M40" s="216"/>
      <c r="N40" s="77" t="s">
        <v>1172</v>
      </c>
      <c r="O40" s="77"/>
      <c r="P40" s="77"/>
      <c r="Q40" s="273" t="n">
        <f aca="false">Q39*0.001</f>
        <v>2.12404812734082E-005</v>
      </c>
      <c r="W40" s="53"/>
      <c r="X40" s="53"/>
      <c r="Y40" s="53"/>
      <c r="Z40" s="53"/>
      <c r="AA40" s="53"/>
      <c r="AB40" s="53"/>
      <c r="AC40" s="203" t="s">
        <v>1070</v>
      </c>
      <c r="AD40" s="204"/>
      <c r="AE40" s="204"/>
      <c r="AF40" s="207"/>
      <c r="AG40" s="204"/>
      <c r="AH40" s="204"/>
      <c r="AI40" s="204"/>
      <c r="AJ40" s="204"/>
      <c r="AK40" s="204"/>
      <c r="AL40" s="204"/>
      <c r="AM40" s="204"/>
      <c r="AN40" s="213"/>
      <c r="AO40" s="53"/>
      <c r="AP40" s="53"/>
      <c r="AQ40" s="53"/>
      <c r="AR40" s="53"/>
      <c r="AS40" s="53"/>
      <c r="AT40" s="228"/>
      <c r="AU40" s="53"/>
      <c r="AV40" s="53"/>
      <c r="AW40" s="53"/>
      <c r="AX40" s="53"/>
      <c r="AY40" s="53"/>
    </row>
    <row r="41" customFormat="false" ht="14.4" hidden="false" customHeight="false" outlineLevel="0" collapsed="false">
      <c r="D41" s="202"/>
      <c r="E41" s="202"/>
      <c r="F41" s="214"/>
      <c r="G41" s="214"/>
      <c r="H41" s="214"/>
      <c r="I41" s="214"/>
      <c r="J41" s="214"/>
      <c r="K41" s="214"/>
      <c r="L41" s="214"/>
      <c r="M41" s="216"/>
      <c r="N41" s="77" t="s">
        <v>1065</v>
      </c>
      <c r="O41" s="77"/>
      <c r="P41" s="77"/>
      <c r="Q41" s="290" t="n">
        <f aca="false">Q98</f>
        <v>44.5009279050652</v>
      </c>
      <c r="W41" s="53"/>
      <c r="X41" s="53"/>
      <c r="Y41" s="53"/>
      <c r="Z41" s="53"/>
      <c r="AA41" s="53"/>
      <c r="AB41" s="53"/>
      <c r="AC41" s="291"/>
      <c r="AD41" s="57"/>
      <c r="AE41" s="57"/>
      <c r="AF41" s="57"/>
      <c r="AG41" s="57"/>
      <c r="AH41" s="57"/>
      <c r="AI41" s="57"/>
      <c r="AJ41" s="57"/>
      <c r="AK41" s="57"/>
      <c r="AL41" s="204"/>
      <c r="AM41" s="204"/>
      <c r="AN41" s="213"/>
      <c r="AO41" s="74"/>
      <c r="AP41" s="53"/>
      <c r="AQ41" s="53"/>
      <c r="AR41" s="53"/>
      <c r="AS41" s="53"/>
      <c r="AT41" s="228"/>
      <c r="AU41" s="53"/>
      <c r="AV41" s="53"/>
      <c r="AW41" s="53"/>
      <c r="AX41" s="53"/>
      <c r="AY41" s="53"/>
    </row>
    <row r="42" customFormat="false" ht="14.4" hidden="false" customHeight="false" outlineLevel="0" collapsed="false"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N42" s="77" t="s">
        <v>1067</v>
      </c>
      <c r="O42" s="77"/>
      <c r="P42" s="77"/>
      <c r="Q42" s="166" t="n">
        <f aca="false">Q41*Q54*Q40*1000</f>
        <v>31.1922971519553</v>
      </c>
      <c r="W42" s="53"/>
      <c r="X42" s="53"/>
      <c r="Y42" s="53"/>
      <c r="Z42" s="53"/>
      <c r="AA42" s="53"/>
      <c r="AB42" s="53"/>
      <c r="AC42" s="224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92"/>
      <c r="AO42" s="74"/>
      <c r="AP42" s="53"/>
      <c r="AQ42" s="53"/>
      <c r="AR42" s="53"/>
      <c r="AS42" s="53"/>
      <c r="AT42" s="228"/>
      <c r="AU42" s="53"/>
      <c r="AV42" s="53"/>
      <c r="AW42" s="53"/>
      <c r="AX42" s="53"/>
      <c r="AY42" s="53"/>
    </row>
    <row r="43" customFormat="false" ht="14.4" hidden="false" customHeight="false" outlineLevel="0" collapsed="false"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N43" s="77" t="s">
        <v>1069</v>
      </c>
      <c r="O43" s="77"/>
      <c r="P43" s="77"/>
      <c r="Q43" s="166" t="n">
        <f aca="false">2.5*Q42</f>
        <v>77.9807428798883</v>
      </c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7"/>
      <c r="AM43" s="57"/>
      <c r="AN43" s="204"/>
      <c r="AO43" s="74"/>
      <c r="AP43" s="53"/>
      <c r="AQ43" s="53"/>
      <c r="AR43" s="53"/>
      <c r="AS43" s="53"/>
      <c r="AT43" s="228"/>
      <c r="AU43" s="53"/>
      <c r="AV43" s="53"/>
      <c r="AW43" s="53"/>
      <c r="AX43" s="53"/>
      <c r="AY43" s="53"/>
    </row>
    <row r="44" customFormat="false" ht="16.2" hidden="false" customHeight="false" outlineLevel="0" collapsed="false">
      <c r="D44" s="202"/>
      <c r="E44" s="202"/>
      <c r="F44" s="202"/>
      <c r="G44" s="202"/>
      <c r="H44" s="202"/>
      <c r="I44" s="202"/>
      <c r="J44" s="202"/>
      <c r="K44" s="202"/>
      <c r="L44" s="202"/>
      <c r="N44" s="77" t="s">
        <v>1071</v>
      </c>
      <c r="O44" s="77"/>
      <c r="P44" s="77"/>
      <c r="Q44" s="273" t="n">
        <f aca="false">(2*Q70*Q72*Q4+4*Q70*Q71+4*Q71*Q72*Q4)*0.01</f>
        <v>26.54612</v>
      </c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204"/>
      <c r="AL44" s="204"/>
      <c r="AM44" s="204"/>
      <c r="AN44" s="204"/>
      <c r="AO44" s="53"/>
      <c r="AP44" s="53"/>
      <c r="AQ44" s="53"/>
      <c r="AR44" s="53"/>
      <c r="AS44" s="53"/>
      <c r="AT44" s="228"/>
      <c r="AU44" s="53"/>
      <c r="AV44" s="53"/>
      <c r="AW44" s="53"/>
      <c r="AX44" s="53"/>
      <c r="AY44" s="53"/>
    </row>
    <row r="45" customFormat="false" ht="14.4" hidden="false" customHeight="false" outlineLevel="0" collapsed="false">
      <c r="C45" s="202" t="s">
        <v>1173</v>
      </c>
      <c r="D45" s="202"/>
      <c r="E45" s="202"/>
      <c r="F45" s="202"/>
      <c r="G45" s="202"/>
      <c r="H45" s="202"/>
      <c r="I45" s="202"/>
      <c r="J45" s="202"/>
      <c r="K45" s="202"/>
      <c r="L45" s="202"/>
      <c r="N45" s="77" t="s">
        <v>1064</v>
      </c>
      <c r="O45" s="77"/>
      <c r="P45" s="77"/>
      <c r="Q45" s="76" t="n">
        <f aca="false">IF(AS35=0,0,AS35)</f>
        <v>33</v>
      </c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204"/>
      <c r="AP45" s="53"/>
      <c r="AQ45" s="53"/>
      <c r="AR45" s="53"/>
      <c r="AS45" s="53"/>
      <c r="AT45" s="228"/>
      <c r="AU45" s="53"/>
      <c r="AV45" s="53"/>
      <c r="AW45" s="53"/>
      <c r="AX45" s="53"/>
      <c r="AY45" s="53"/>
    </row>
    <row r="46" customFormat="false" ht="14.4" hidden="false" customHeight="false" outlineLevel="0" collapsed="false">
      <c r="F46" s="202"/>
      <c r="G46" s="202"/>
      <c r="H46" s="202"/>
      <c r="I46" s="202"/>
      <c r="J46" s="202"/>
      <c r="K46" s="202"/>
      <c r="L46" s="202"/>
      <c r="N46" s="229"/>
      <c r="O46" s="229"/>
      <c r="P46" s="229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228"/>
      <c r="AU46" s="53"/>
      <c r="AV46" s="53"/>
      <c r="AW46" s="53"/>
      <c r="AX46" s="53"/>
      <c r="AY46" s="53"/>
    </row>
    <row r="47" customFormat="false" ht="16.2" hidden="false" customHeight="false" outlineLevel="0" collapsed="false">
      <c r="N47" s="107" t="s">
        <v>1072</v>
      </c>
      <c r="O47" s="107"/>
      <c r="P47" s="107"/>
      <c r="Q47" s="273" t="n">
        <f aca="false">Q7*0.92</f>
        <v>84.64</v>
      </c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customFormat="false" ht="16.2" hidden="false" customHeight="false" outlineLevel="0" collapsed="false">
      <c r="N48" s="107" t="s">
        <v>1174</v>
      </c>
      <c r="O48" s="107"/>
      <c r="P48" s="107"/>
      <c r="Q48" s="98" t="n">
        <f aca="false">MIN(VLOOKUP(Q3,'E Core Detail'!$A$2:$Z$88,22,0),VLOOKUP(Q3,'E Core Detail'!$A$2:$Z$88,23,0),VLOOKUP(Q3,'E Core Detail'!$A$2:$Z$88,24,0))</f>
        <v>0.833</v>
      </c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</row>
    <row r="49" customFormat="false" ht="14.4" hidden="false" customHeight="false" outlineLevel="0" collapsed="false">
      <c r="N49" s="107" t="s">
        <v>1074</v>
      </c>
      <c r="O49" s="107"/>
      <c r="P49" s="107"/>
      <c r="Q49" s="98" t="n">
        <f aca="false">VLOOKUP(Q3,'E Core Detail'!$A$2:$H$88,7,0)</f>
        <v>6.56</v>
      </c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</row>
    <row r="50" customFormat="false" ht="16.2" hidden="false" customHeight="false" outlineLevel="0" collapsed="false">
      <c r="N50" s="107" t="s">
        <v>1075</v>
      </c>
      <c r="O50" s="107"/>
      <c r="P50" s="107"/>
      <c r="Q50" s="98" t="n">
        <f aca="false">Q49*Q51</f>
        <v>3.94256</v>
      </c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</row>
    <row r="51" customFormat="false" ht="14.4" hidden="false" customHeight="false" outlineLevel="0" collapsed="false">
      <c r="N51" s="107" t="s">
        <v>1118</v>
      </c>
      <c r="O51" s="107"/>
      <c r="P51" s="107"/>
      <c r="Q51" s="98" t="n">
        <f aca="false">Q4*(VLOOKUP(Q3,'E Core Detail'!$A$2:$R$88,17,0))</f>
        <v>0.601</v>
      </c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</row>
    <row r="52" customFormat="false" ht="14.4" hidden="false" customHeight="false" outlineLevel="0" collapsed="false">
      <c r="N52" s="77" t="s">
        <v>1076</v>
      </c>
      <c r="O52" s="77"/>
      <c r="P52" s="77"/>
      <c r="Q52" s="98" t="n">
        <f aca="false">IF(Q45=0,ROUNDUP(SQRT((E3*10^6)/Q47),0),Q45)</f>
        <v>33</v>
      </c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</row>
    <row r="53" customFormat="false" ht="14.4" hidden="false" customHeight="false" outlineLevel="0" collapsed="false">
      <c r="N53" s="77" t="s">
        <v>1077</v>
      </c>
      <c r="O53" s="77"/>
      <c r="P53" s="77"/>
      <c r="Q53" s="293" t="n">
        <f aca="false">0.01*(1/(Q105+Q106*(Q121^Q107)))</f>
        <v>0.702383933758411</v>
      </c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</row>
    <row r="54" customFormat="false" ht="14.4" hidden="false" customHeight="false" outlineLevel="0" collapsed="false">
      <c r="N54" s="77" t="s">
        <v>1078</v>
      </c>
      <c r="O54" s="77"/>
      <c r="P54" s="77"/>
      <c r="Q54" s="294" t="n">
        <f aca="false">IF(Q45=0,ROUNDUP(Q52/Q53,0),Q45)</f>
        <v>33</v>
      </c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</row>
    <row r="55" customFormat="false" ht="14.4" hidden="false" customHeight="false" outlineLevel="0" collapsed="false">
      <c r="N55" s="77" t="s">
        <v>1079</v>
      </c>
      <c r="O55" s="77"/>
      <c r="P55" s="77"/>
      <c r="Q55" s="293" t="n">
        <f aca="false">0.01*(1/(Q105+Q106*(Q123^Q107)))</f>
        <v>0.702383933758411</v>
      </c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</row>
    <row r="56" customFormat="false" ht="14.4" hidden="false" customHeight="false" outlineLevel="0" collapsed="false">
      <c r="N56" s="77" t="s">
        <v>1080</v>
      </c>
      <c r="O56" s="77"/>
      <c r="P56" s="77"/>
      <c r="Q56" s="293" t="n">
        <f aca="false">0.01*(1/(Q105+Q106*(Q119^Q107)))</f>
        <v>0.632542837256331</v>
      </c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</row>
    <row r="57" customFormat="false" ht="14.4" hidden="false" customHeight="false" outlineLevel="0" collapsed="false">
      <c r="N57" s="77" t="s">
        <v>1081</v>
      </c>
      <c r="O57" s="77"/>
      <c r="P57" s="77"/>
      <c r="Q57" s="293" t="n">
        <f aca="false">0.01*(1/(Q105+Q106*(Q120^Q107)))</f>
        <v>0.778126769381172</v>
      </c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</row>
    <row r="58" customFormat="false" ht="14.4" hidden="false" customHeight="false" outlineLevel="0" collapsed="false">
      <c r="N58" s="77" t="s">
        <v>1082</v>
      </c>
      <c r="O58" s="77"/>
      <c r="P58" s="77"/>
      <c r="Q58" s="295" t="e">
        <f aca="false">0.01*(1/(Q105+Q106*(Q122^Q107)))</f>
        <v>#VALUE!</v>
      </c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</row>
    <row r="59" customFormat="false" ht="14.4" hidden="false" customHeight="false" outlineLevel="0" collapsed="false">
      <c r="N59" s="77" t="s">
        <v>1083</v>
      </c>
      <c r="O59" s="77"/>
      <c r="P59" s="77"/>
      <c r="Q59" s="296" t="n">
        <f aca="false">0.01*(1/(Q105+Q106*(Q124^Q107)))</f>
        <v>0.539247872555322</v>
      </c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</row>
    <row r="60" customFormat="false" ht="14.4" hidden="false" customHeight="false" outlineLevel="0" collapsed="false">
      <c r="N60" s="67" t="s">
        <v>1084</v>
      </c>
      <c r="O60" s="67"/>
      <c r="P60" s="67"/>
      <c r="Q60" s="194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</row>
    <row r="61" customFormat="false" ht="14.4" hidden="false" customHeight="false" outlineLevel="0" collapsed="false">
      <c r="N61" s="77" t="s">
        <v>1085</v>
      </c>
      <c r="O61" s="77"/>
      <c r="P61" s="77"/>
      <c r="Q61" s="273" t="n">
        <f aca="false">(Q54/Q49)*(E32)</f>
        <v>31.4153963414634</v>
      </c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</row>
    <row r="62" customFormat="false" ht="14.4" hidden="false" customHeight="false" outlineLevel="0" collapsed="false">
      <c r="N62" s="77" t="s">
        <v>1086</v>
      </c>
      <c r="O62" s="77"/>
      <c r="P62" s="77"/>
      <c r="Q62" s="273" t="n">
        <f aca="false">(Q54/Q49)*(E33)</f>
        <v>19.8955792682927</v>
      </c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</row>
    <row r="63" customFormat="false" ht="14.4" hidden="false" customHeight="false" outlineLevel="0" collapsed="false">
      <c r="N63" s="77" t="s">
        <v>1088</v>
      </c>
      <c r="O63" s="77"/>
      <c r="P63" s="77"/>
      <c r="Q63" s="297" t="n">
        <f aca="false">((Q110+(Q111*Q119)+(Q112*Q119^2))/(1+(Q113*Q119)+(Q114*Q119^2)))^Q115</f>
        <v>0.370408775759395</v>
      </c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</row>
    <row r="64" customFormat="false" ht="14.4" hidden="false" customHeight="false" outlineLevel="0" collapsed="false">
      <c r="N64" s="77" t="s">
        <v>1089</v>
      </c>
      <c r="O64" s="77"/>
      <c r="P64" s="77"/>
      <c r="Q64" s="297" t="n">
        <f aca="false">IF(Q62&lt;0,-(((Q110+(Q111*ABS(Q120))+(Q112*ABS(Q120)^2))/(1+(Q113*ABS(Q120))+(Q114*ABS(Q120)^2)))^Q115),(((Q110+(Q111*Q120)+(Q112*Q120^2))/(1+(Q113*Q120)+(Q114*Q120^2)))^Q115))</f>
        <v>0.250878896579369</v>
      </c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</row>
    <row r="65" customFormat="false" ht="14.4" hidden="false" customHeight="false" outlineLevel="0" collapsed="false">
      <c r="N65" s="77" t="s">
        <v>1090</v>
      </c>
      <c r="O65" s="77"/>
      <c r="P65" s="77"/>
      <c r="Q65" s="298" t="n">
        <f aca="false">(Q63-Q64)/2</f>
        <v>0.0597649395900129</v>
      </c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</row>
    <row r="66" customFormat="false" ht="14.4" hidden="false" customHeight="false" outlineLevel="0" collapsed="false">
      <c r="N66" s="75" t="s">
        <v>1091</v>
      </c>
      <c r="O66" s="75"/>
      <c r="P66" s="75"/>
      <c r="Q66" s="297" t="n">
        <f aca="false">Q116*(Q65^Q117)*($E$8^Q118)</f>
        <v>78.1397706868618</v>
      </c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</row>
    <row r="67" customFormat="false" ht="14.4" hidden="false" customHeight="false" outlineLevel="0" collapsed="false">
      <c r="N67" s="52"/>
      <c r="O67" s="52"/>
      <c r="P67" s="52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</row>
    <row r="68" customFormat="false" ht="14.4" hidden="false" customHeight="false" outlineLevel="0" collapsed="false">
      <c r="N68" s="52"/>
      <c r="O68" s="52"/>
      <c r="P68" s="52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</row>
    <row r="69" customFormat="false" ht="14.4" hidden="false" customHeight="false" outlineLevel="0" collapsed="false">
      <c r="N69" s="67" t="s">
        <v>1092</v>
      </c>
      <c r="O69" s="67"/>
      <c r="P69" s="67"/>
      <c r="Y69" s="53"/>
      <c r="Z69" s="53"/>
      <c r="AA69" s="53"/>
      <c r="AB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</row>
    <row r="70" customFormat="false" ht="14.4" hidden="false" customHeight="false" outlineLevel="0" collapsed="false">
      <c r="N70" s="77" t="s">
        <v>1175</v>
      </c>
      <c r="O70" s="77"/>
      <c r="P70" s="77"/>
      <c r="Q70" s="98" t="n">
        <f aca="false">VLOOKUP(Q3,'E Core Detail'!$A$2:$X$88,9,0)</f>
        <v>30.1</v>
      </c>
      <c r="AL70" s="53"/>
      <c r="AM70" s="53"/>
      <c r="AN70" s="53"/>
      <c r="AP70" s="53"/>
      <c r="AQ70" s="53"/>
      <c r="AR70" s="53"/>
      <c r="AS70" s="53"/>
      <c r="AT70" s="53"/>
    </row>
    <row r="71" customFormat="false" ht="14.4" hidden="false" customHeight="false" outlineLevel="0" collapsed="false">
      <c r="N71" s="77" t="s">
        <v>1176</v>
      </c>
      <c r="O71" s="77"/>
      <c r="P71" s="77"/>
      <c r="Q71" s="98" t="n">
        <f aca="false">VLOOKUP(Q3,'E Core Detail'!$A$2:$X$88,10,0)</f>
        <v>15</v>
      </c>
      <c r="AC71" s="57"/>
      <c r="AD71" s="57"/>
      <c r="AE71" s="57"/>
      <c r="AF71" s="57"/>
      <c r="AG71" s="57"/>
      <c r="AH71" s="57"/>
      <c r="AI71" s="57"/>
      <c r="AJ71" s="57"/>
      <c r="AK71" s="57"/>
      <c r="AP71" s="53"/>
      <c r="AQ71" s="53"/>
      <c r="AR71" s="53"/>
      <c r="AS71" s="53"/>
      <c r="AT71" s="53"/>
    </row>
    <row r="72" customFormat="false" ht="14.4" hidden="false" customHeight="false" outlineLevel="0" collapsed="false">
      <c r="N72" s="77" t="s">
        <v>1177</v>
      </c>
      <c r="O72" s="77"/>
      <c r="P72" s="77"/>
      <c r="Q72" s="98" t="n">
        <f aca="false">VLOOKUP(Q3,'E Core Detail'!$A$2:$X$88,11,0)</f>
        <v>7.06</v>
      </c>
      <c r="Z72" s="57"/>
      <c r="AA72" s="57"/>
      <c r="AB72" s="57"/>
      <c r="AO72" s="53"/>
      <c r="AP72" s="53"/>
      <c r="AQ72" s="53"/>
      <c r="AR72" s="53"/>
      <c r="AS72" s="53"/>
      <c r="AT72" s="53"/>
    </row>
    <row r="73" customFormat="false" ht="14.4" hidden="false" customHeight="false" outlineLevel="0" collapsed="false">
      <c r="N73" s="77" t="s">
        <v>1178</v>
      </c>
      <c r="O73" s="77"/>
      <c r="P73" s="77"/>
      <c r="Q73" s="98" t="n">
        <f aca="false">VLOOKUP(Q3,'E Core Detail'!$A$2:$X$88,12,0)</f>
        <v>9.55</v>
      </c>
      <c r="AL73" s="53"/>
      <c r="AM73" s="53"/>
      <c r="AN73" s="53"/>
    </row>
    <row r="74" customFormat="false" ht="14.4" hidden="false" customHeight="false" outlineLevel="0" collapsed="false">
      <c r="N74" s="77" t="s">
        <v>1179</v>
      </c>
      <c r="O74" s="77"/>
      <c r="P74" s="77"/>
      <c r="Q74" s="98" t="n">
        <f aca="false">VLOOKUP(Q3,'E Core Detail'!$A$2:$X$88,13,0)</f>
        <v>19.8</v>
      </c>
    </row>
    <row r="75" customFormat="false" ht="14.4" hidden="false" customHeight="false" outlineLevel="0" collapsed="false">
      <c r="N75" s="77" t="s">
        <v>1180</v>
      </c>
      <c r="O75" s="77"/>
      <c r="P75" s="77"/>
      <c r="Q75" s="98" t="n">
        <f aca="false">VLOOKUP(Q3,'E Core Detail'!$A$2:$X$88,14,0)</f>
        <v>6.96</v>
      </c>
      <c r="AP75" s="53"/>
      <c r="AQ75" s="228"/>
    </row>
    <row r="76" customFormat="false" ht="14.4" hidden="false" customHeight="false" outlineLevel="0" collapsed="false">
      <c r="N76" s="77" t="s">
        <v>1181</v>
      </c>
      <c r="O76" s="77"/>
      <c r="P76" s="77"/>
      <c r="Q76" s="98" t="n">
        <f aca="false">VLOOKUP(Q3,'E Core Detail'!$A$2:$X$88,15,0)</f>
        <v>5.11</v>
      </c>
    </row>
    <row r="77" customFormat="false" ht="14.4" hidden="false" customHeight="false" outlineLevel="0" collapsed="false">
      <c r="N77" s="77" t="s">
        <v>1182</v>
      </c>
      <c r="O77" s="77"/>
      <c r="P77" s="77"/>
      <c r="Q77" s="98" t="n">
        <f aca="false">VLOOKUP(Q3,'E Core Detail'!$A$2:$X$88,16,0)</f>
        <v>6.32</v>
      </c>
    </row>
    <row r="78" customFormat="false" ht="14.4" hidden="false" customHeight="false" outlineLevel="0" collapsed="false">
      <c r="N78" s="77" t="s">
        <v>1183</v>
      </c>
      <c r="O78" s="77"/>
      <c r="P78" s="77"/>
      <c r="Q78" s="98" t="n">
        <f aca="false">IF(Q70&gt;35,1.78, 0.89)</f>
        <v>0.89</v>
      </c>
    </row>
    <row r="79" customFormat="false" ht="14.4" hidden="false" customHeight="false" outlineLevel="0" collapsed="false">
      <c r="N79" s="77" t="s">
        <v>1184</v>
      </c>
      <c r="O79" s="77"/>
      <c r="P79" s="77"/>
      <c r="Q79" s="98" t="n">
        <f aca="false">(Q72*Q4+Q75+4*Q78)</f>
        <v>17.58</v>
      </c>
    </row>
    <row r="80" customFormat="false" ht="14.4" hidden="false" customHeight="false" outlineLevel="0" collapsed="false">
      <c r="N80" s="77" t="s">
        <v>1185</v>
      </c>
      <c r="O80" s="77"/>
      <c r="P80" s="77"/>
      <c r="Q80" s="273" t="n">
        <f aca="false">VLOOKUP(Q3,'E Core Detail'!$A$2:$Z$88,25,0)</f>
        <v>17.27</v>
      </c>
    </row>
    <row r="81" customFormat="false" ht="14.4" hidden="false" customHeight="false" outlineLevel="0" collapsed="false">
      <c r="N81" s="77" t="s">
        <v>1100</v>
      </c>
      <c r="O81" s="77"/>
      <c r="P81" s="77"/>
      <c r="Q81" s="273" t="n">
        <f aca="false">SQRT((4*Q36*100)/PI())</f>
        <v>1.12837916709551</v>
      </c>
    </row>
    <row r="82" customFormat="false" ht="14.4" hidden="false" customHeight="false" outlineLevel="0" collapsed="false">
      <c r="N82" s="77" t="s">
        <v>1186</v>
      </c>
      <c r="O82" s="77"/>
      <c r="P82" s="77"/>
      <c r="Q82" s="273" t="n">
        <f aca="false">ROUNDDOWN((Q80*0.9)/Q81,0)</f>
        <v>13</v>
      </c>
    </row>
    <row r="83" customFormat="false" ht="14.4" hidden="false" customHeight="false" outlineLevel="0" collapsed="false">
      <c r="N83" s="77" t="s">
        <v>1102</v>
      </c>
      <c r="O83" s="77"/>
      <c r="P83" s="77"/>
      <c r="Q83" s="273" t="n">
        <f aca="false">IF(Q82&gt;Q54, Q54,Q82)</f>
        <v>13</v>
      </c>
    </row>
    <row r="84" customFormat="false" ht="14.4" hidden="false" customHeight="false" outlineLevel="0" collapsed="false">
      <c r="N84" s="77" t="s">
        <v>1103</v>
      </c>
      <c r="O84" s="77"/>
      <c r="P84" s="77"/>
      <c r="Q84" s="273" t="n">
        <f aca="false">IF(Q21-Q83=Q21,0,IF(Q21-Q83-Q82&gt;0,Q82,Q21-Q83))</f>
        <v>13</v>
      </c>
    </row>
    <row r="85" customFormat="false" ht="14.4" hidden="false" customHeight="false" outlineLevel="0" collapsed="false">
      <c r="N85" s="77" t="s">
        <v>1104</v>
      </c>
      <c r="O85" s="77"/>
      <c r="P85" s="77"/>
      <c r="Q85" s="273" t="n">
        <f aca="false">IF(Q21-Q83-Q84=Q21,0,IF(Q21-Q83-Q84-Q82&gt;0,Q82,Q21-Q83-Q84))</f>
        <v>7</v>
      </c>
    </row>
    <row r="86" customFormat="false" ht="14.4" hidden="false" customHeight="false" outlineLevel="0" collapsed="false">
      <c r="N86" s="77" t="s">
        <v>1105</v>
      </c>
      <c r="O86" s="77"/>
      <c r="P86" s="77"/>
      <c r="Q86" s="273" t="n">
        <f aca="false">IF(Q$21-Q$83-Q$84-Q$85=Q$21,0,IF(Q$21-Q$83-Q$84-Q$85-Q$82&gt;0,Q$82,Q$21-Q$83-Q$84-Q$85))</f>
        <v>0</v>
      </c>
    </row>
    <row r="87" customFormat="false" ht="14.4" hidden="false" customHeight="false" outlineLevel="0" collapsed="false">
      <c r="N87" s="77" t="s">
        <v>1187</v>
      </c>
      <c r="O87" s="77"/>
      <c r="P87" s="77"/>
      <c r="Q87" s="273" t="n">
        <f aca="false">IF(Q$21-Q$83-Q$84-Q$85-Q$86=Q$21,0,IF(Q$21-Q$83-Q$84-Q$85-Q$86-Q$82&gt;0,Q$82,Q$21-Q$83-Q$84-Q$85-Q$86))</f>
        <v>0</v>
      </c>
    </row>
    <row r="88" customFormat="false" ht="14.4" hidden="false" customHeight="false" outlineLevel="0" collapsed="false">
      <c r="N88" s="77" t="s">
        <v>1188</v>
      </c>
      <c r="O88" s="77"/>
      <c r="P88" s="77"/>
      <c r="Q88" s="273" t="n">
        <f aca="false">IF(Q$21-Q$83-Q$84-Q$85-Q$86-Q$87=Q$21,0,IF(Q$21-Q$83-Q$84-Q$85-Q$86-Q$87-Q$82&gt;0,Q$82,Q$21-Q$83-Q$84-Q$85-Q$86-Q$87))</f>
        <v>0</v>
      </c>
    </row>
    <row r="89" customFormat="false" ht="14.4" hidden="false" customHeight="false" outlineLevel="0" collapsed="false">
      <c r="N89" s="77" t="s">
        <v>1189</v>
      </c>
      <c r="O89" s="77"/>
      <c r="P89" s="77"/>
      <c r="Q89" s="273" t="n">
        <f aca="false">IF(Q$21-Q$83-Q$84-Q$85-Q$86-Q$87-Q$88=Q$21,0,IF(Q$21-Q$83-Q$84-Q$85-Q$86-Q$87-Q$88-Q$82&gt;0,Q$82,Q$21-Q$83-Q$84-Q$85-Q$86-Q$87-Q$88))</f>
        <v>0</v>
      </c>
    </row>
    <row r="90" customFormat="false" ht="14.4" hidden="false" customHeight="false" outlineLevel="0" collapsed="false">
      <c r="N90" s="77" t="s">
        <v>1190</v>
      </c>
      <c r="O90" s="77"/>
      <c r="P90" s="77"/>
      <c r="Q90" s="273" t="n">
        <f aca="false">IF(Q$21-Q$83-Q$84-Q$85-Q$86-Q$87-Q$88-Q$89=Q$21,0,IF(Q$21-Q$83-Q$84-Q$85-Q$86-Q$87-Q$88-Q$89-Q$82&gt;0,Q$82,Q$21-Q$83-Q$84-Q$85-Q$86-Q$87-Q$88-Q$89))</f>
        <v>0</v>
      </c>
    </row>
    <row r="91" customFormat="false" ht="14.4" hidden="false" customHeight="false" outlineLevel="0" collapsed="false">
      <c r="N91" s="77" t="s">
        <v>1191</v>
      </c>
      <c r="O91" s="77"/>
      <c r="P91" s="77"/>
      <c r="Q91" s="273" t="n">
        <f aca="false">IF(Q$21-Q$83-Q$84-Q$85-Q$86-Q$87-Q$88-Q$89-Q$90=Q$21,0,IF(Q$21-Q$83-Q$84-Q$85-Q$86-Q$87-Q$88-Q$89-Q$90-Q$82&gt;0,Q$82,Q$21-Q$83-Q$84-Q$85-Q$86-Q$87-Q$88-Q$89-Q$90))</f>
        <v>0</v>
      </c>
    </row>
    <row r="92" customFormat="false" ht="14.4" hidden="false" customHeight="false" outlineLevel="0" collapsed="false">
      <c r="N92" s="77" t="s">
        <v>1106</v>
      </c>
      <c r="O92" s="77"/>
      <c r="P92" s="77"/>
      <c r="Q92" s="290" t="n">
        <f aca="false">2*Q79+(6.28*Q81/2)</f>
        <v>38.7031105846799</v>
      </c>
    </row>
    <row r="93" customFormat="false" ht="14.4" hidden="false" customHeight="false" outlineLevel="0" collapsed="false">
      <c r="N93" s="77" t="s">
        <v>1192</v>
      </c>
      <c r="O93" s="77"/>
      <c r="P93" s="77"/>
      <c r="Q93" s="290" t="n">
        <f aca="false">2*Q79+6.28*(1.5*Q81)</f>
        <v>45.7893317540397</v>
      </c>
    </row>
    <row r="94" customFormat="false" ht="14.4" hidden="false" customHeight="false" outlineLevel="0" collapsed="false">
      <c r="N94" s="77" t="s">
        <v>1108</v>
      </c>
      <c r="O94" s="77"/>
      <c r="P94" s="77"/>
      <c r="Q94" s="290" t="n">
        <f aca="false">Q79*2+6.28*2.5*Q81</f>
        <v>52.8755529233995</v>
      </c>
    </row>
    <row r="95" customFormat="false" ht="14.4" hidden="false" customHeight="false" outlineLevel="0" collapsed="false">
      <c r="N95" s="77" t="s">
        <v>1109</v>
      </c>
      <c r="O95" s="77"/>
      <c r="P95" s="77"/>
      <c r="Q95" s="290" t="n">
        <f aca="false">2*Q79+6.28*3.5*Q81</f>
        <v>59.9617740927594</v>
      </c>
    </row>
    <row r="96" customFormat="false" ht="14.4" hidden="false" customHeight="false" outlineLevel="0" collapsed="false">
      <c r="N96" s="77" t="s">
        <v>1193</v>
      </c>
      <c r="O96" s="77"/>
      <c r="P96" s="77"/>
      <c r="Q96" s="290" t="n">
        <f aca="false">2*Q79+6.28*4.5*Q81</f>
        <v>67.0479952621192</v>
      </c>
    </row>
    <row r="97" customFormat="false" ht="14.4" hidden="false" customHeight="false" outlineLevel="0" collapsed="false">
      <c r="N97" s="77" t="s">
        <v>1110</v>
      </c>
      <c r="O97" s="77"/>
      <c r="P97" s="77"/>
      <c r="Q97" s="290" t="n">
        <f aca="false">(Q83*Q92)+(Q84*Q93)+(Q85*Q94)+(Q86*Q95)+(Q87*Q96)</f>
        <v>1468.53062086715</v>
      </c>
    </row>
    <row r="98" customFormat="false" ht="14.4" hidden="false" customHeight="false" outlineLevel="0" collapsed="false">
      <c r="N98" s="77" t="s">
        <v>1065</v>
      </c>
      <c r="O98" s="77"/>
      <c r="P98" s="77"/>
      <c r="Q98" s="290" t="n">
        <f aca="false">Q97/Q54</f>
        <v>44.5009279050652</v>
      </c>
    </row>
    <row r="99" customFormat="false" ht="14.4" hidden="false" customHeight="false" outlineLevel="0" collapsed="false">
      <c r="N99" s="77" t="s">
        <v>1111</v>
      </c>
      <c r="O99" s="77"/>
      <c r="P99" s="77"/>
      <c r="Q99" s="273" t="e">
        <f aca="false">#N/A</f>
        <v>#N/A</v>
      </c>
    </row>
    <row r="100" customFormat="false" ht="14.4" hidden="false" customHeight="false" outlineLevel="0" collapsed="false">
      <c r="N100" s="77" t="s">
        <v>1112</v>
      </c>
      <c r="O100" s="77"/>
      <c r="P100" s="77"/>
      <c r="Q100" s="290" t="e">
        <f aca="false">(Q24/304.8)/Q99</f>
        <v>#N/A</v>
      </c>
    </row>
    <row r="101" customFormat="false" ht="14.4" hidden="false" customHeight="false" outlineLevel="0" collapsed="false">
      <c r="N101" s="77" t="s">
        <v>1194</v>
      </c>
      <c r="O101" s="77"/>
      <c r="P101" s="77"/>
      <c r="Q101" s="273" t="e">
        <f aca="false">#N/A</f>
        <v>#N/A</v>
      </c>
    </row>
    <row r="102" customFormat="false" ht="14.4" hidden="false" customHeight="false" outlineLevel="0" collapsed="false">
      <c r="N102" s="77" t="s">
        <v>1195</v>
      </c>
      <c r="O102" s="77"/>
      <c r="P102" s="77"/>
      <c r="Q102" s="191" t="e">
        <f aca="false">Q100*0.4536</f>
        <v>#N/A</v>
      </c>
    </row>
    <row r="104" customFormat="false" ht="14.4" hidden="false" customHeight="false" outlineLevel="0" collapsed="false">
      <c r="N104" s="77" t="s">
        <v>1119</v>
      </c>
      <c r="O104" s="77"/>
      <c r="P104" s="77"/>
      <c r="Q104" s="191"/>
    </row>
    <row r="105" customFormat="false" ht="14.4" hidden="false" customHeight="false" outlineLevel="0" collapsed="false">
      <c r="N105" s="77" t="s">
        <v>1120</v>
      </c>
      <c r="O105" s="77"/>
      <c r="P105" s="77"/>
      <c r="Q105" s="299" t="n">
        <f aca="false">IF($Q$5="Kool Mu",VLOOKUP($Q$6,'Kool Mu CF Constants'!$A$3:$F$9,2,0),IF($Q$5="MPP",VLOOKUP($Q$6,'MPP CF'!$A$3:$F$12,2,0),IF($Q$5="High Flux",VLOOKUP($Q$6,'HF CF'!$A$3:$F$8,2,0),IF($Q$5="XFlux",VLOOKUP($Q$6,'XF CF'!$A$5:$F$7,2,0)))))</f>
        <v>0.01</v>
      </c>
    </row>
    <row r="106" customFormat="false" ht="14.4" hidden="false" customHeight="false" outlineLevel="0" collapsed="false">
      <c r="N106" s="77" t="s">
        <v>1121</v>
      </c>
      <c r="O106" s="77"/>
      <c r="P106" s="77"/>
      <c r="Q106" s="299" t="n">
        <f aca="false">IF($Q$5="Kool Mu",VLOOKUP($Q$6,'Kool Mu CF Constants'!$A$3:$F$9,3,0),IF($Q$5="MPP",VLOOKUP($Q$6,'MPP CF'!$A$3:$F$12,3,0),IF($Q$5="High Flux",VLOOKUP($Q$6,'HF CF'!$A$3:$F$8,3,0),IF($Q$5="XFlux",VLOOKUP($Q$6,'XF CF'!$A$5:$F$7,3,0)))))</f>
        <v>2.70235853812594E-005</v>
      </c>
    </row>
    <row r="107" customFormat="false" ht="14.4" hidden="false" customHeight="false" outlineLevel="0" collapsed="false">
      <c r="N107" s="77" t="s">
        <v>1122</v>
      </c>
      <c r="O107" s="77"/>
      <c r="P107" s="77"/>
      <c r="Q107" s="299" t="n">
        <f aca="false">IF($Q$5="Kool Mu",VLOOKUP($Q$6,'Kool Mu CF Constants'!$A$3:$F$9,4,0),IF($Q$5="MPP",VLOOKUP($Q$6,'MPP CF'!$A$3:$F$12,4,0),IF($Q$5="High Flux",VLOOKUP($Q$6,'HF CF'!$A$3:$F$8,4,0),IF($Q$5="XFlux",VLOOKUP($Q$6,'XF CF'!$A$5:$F$7,4,0)))))</f>
        <v>1.55788359413638</v>
      </c>
    </row>
    <row r="108" customFormat="false" ht="14.4" hidden="false" customHeight="false" outlineLevel="0" collapsed="false">
      <c r="N108" s="77" t="s">
        <v>1123</v>
      </c>
      <c r="O108" s="77"/>
      <c r="P108" s="77"/>
      <c r="Q108" s="297"/>
    </row>
    <row r="109" customFormat="false" ht="14.4" hidden="false" customHeight="false" outlineLevel="0" collapsed="false">
      <c r="N109" s="77" t="s">
        <v>1124</v>
      </c>
      <c r="O109" s="77"/>
      <c r="P109" s="77"/>
      <c r="Q109" s="297"/>
    </row>
    <row r="110" customFormat="false" ht="14.4" hidden="false" customHeight="false" outlineLevel="0" collapsed="false">
      <c r="N110" s="77" t="s">
        <v>1125</v>
      </c>
      <c r="O110" s="77"/>
      <c r="P110" s="77"/>
      <c r="Q110" s="297" t="n">
        <f aca="false">IF($Q$5="Kool Mu",VLOOKUP($Q$6,'Kool Mu CF Constants'!$A$11:$G$17,2,0),IF($Q$5="MPP",VLOOKUP($Q$6,'MPP CF'!$A$14:$G$23,2,0),IF($Q$5="High Flux",VLOOKUP($Q$6,'HF CF'!$A$10:$G$15,2,0),IF($Q$5="XFlux",VLOOKUP($Q$6,'XF CF'!$A$10:$G12,2,0)))))</f>
        <v>0.000566</v>
      </c>
    </row>
    <row r="111" customFormat="false" ht="14.4" hidden="false" customHeight="false" outlineLevel="0" collapsed="false">
      <c r="N111" s="77" t="s">
        <v>1126</v>
      </c>
      <c r="O111" s="77"/>
      <c r="P111" s="77"/>
      <c r="Q111" s="297" t="n">
        <f aca="false">IF($Q$5="Kool Mu",VLOOKUP($Q$6,'Kool Mu CF Constants'!$A$11:$G$17,3,0),IF($Q$5="MPP",VLOOKUP($Q$6,'MPP CF'!$A$14:$G$23,3,0),IF($Q$5="High Flux",VLOOKUP($Q$6,'HF CF'!$A$10:$G$15,3,0),IF($Q$5="XFlux",VLOOKUP($Q$6,'XF CF'!$A$10:$G$12,3,0)))))</f>
        <v>-0.0001216</v>
      </c>
    </row>
    <row r="112" customFormat="false" ht="14.4" hidden="false" customHeight="false" outlineLevel="0" collapsed="false">
      <c r="N112" s="77" t="s">
        <v>1127</v>
      </c>
      <c r="O112" s="77"/>
      <c r="P112" s="77"/>
      <c r="Q112" s="297" t="n">
        <f aca="false">IF($Q$5="Kool Mu",VLOOKUP($Q$6,'Kool Mu CF Constants'!$A$11:$G$17,4,0),IF($Q$5="MPP",VLOOKUP($Q$6,'MPP CF'!$A$14:$G$23,4,0),IF($Q$5="High Flux",VLOOKUP($Q$6,'HF CF'!$A$10:$G$15,4,0),IF($Q$5="XFlux",VLOOKUP($Q$6,'XF CF'!$A$10:$G$12,4,0)))))</f>
        <v>0.0001974</v>
      </c>
    </row>
    <row r="113" customFormat="false" ht="14.4" hidden="false" customHeight="false" outlineLevel="0" collapsed="false">
      <c r="N113" s="77" t="s">
        <v>1128</v>
      </c>
      <c r="O113" s="77"/>
      <c r="P113" s="77"/>
      <c r="Q113" s="297" t="n">
        <f aca="false">IF($Q$5="Kool Mu",VLOOKUP($Q$6,'Kool Mu CF Constants'!$A$11:$G$17,5,0),IF($Q$5="MPP",VLOOKUP($Q$6,'MPP CF'!$A$14:$G$23,5,0),IF($Q$5="High Flux",VLOOKUP($Q$6,'HF CF'!$A$10:$G$15,5,0),IF($Q$5="XFlux",VLOOKUP($Q$6,'XF CF'!$A$10:$G$12,5,0)))))</f>
        <v>0.007278</v>
      </c>
    </row>
    <row r="114" customFormat="false" ht="14.4" hidden="false" customHeight="false" outlineLevel="0" collapsed="false">
      <c r="N114" s="77" t="s">
        <v>1129</v>
      </c>
      <c r="O114" s="77"/>
      <c r="P114" s="77"/>
      <c r="Q114" s="297" t="n">
        <f aca="false">IF($Q$5="Kool Mu",VLOOKUP($Q$6,'Kool Mu CF Constants'!$A$11:$G$17,6,0),IF($Q$5="MPP",VLOOKUP($Q$6,'MPP CF'!$A$14:$G$23,6,0),IF($Q$5="High Flux",VLOOKUP($Q$6,'HF CF'!$A$10:$G$15,6,0),IF($Q$5="XFlux",VLOOKUP($Q$6,'XF CF'!$A$10:$G$12,6,0)))))</f>
        <v>0.0001698</v>
      </c>
    </row>
    <row r="115" customFormat="false" ht="14.4" hidden="false" customHeight="false" outlineLevel="0" collapsed="false">
      <c r="N115" s="77" t="s">
        <v>1130</v>
      </c>
      <c r="O115" s="77"/>
      <c r="P115" s="77"/>
      <c r="Q115" s="297" t="n">
        <f aca="false">IF($Q$5="Kool Mu",VLOOKUP($Q$6,'Kool Mu CF Constants'!$A$11:$G$17,7,0),IF($Q$5="MPP",VLOOKUP($Q$6,'MPP CF'!$A$14:$G$23,7,0),IF($Q$5="High Flux",VLOOKUP($Q$6,'HF CF'!$A$10:$G$15,7,0),IF($Q$5="XFlux",VLOOKUP($Q$6,'XF CF'!$A$10:$G$12,7,0)))))</f>
        <v>0.5</v>
      </c>
    </row>
    <row r="116" customFormat="false" ht="14.4" hidden="false" customHeight="false" outlineLevel="0" collapsed="false">
      <c r="N116" s="77" t="s">
        <v>1131</v>
      </c>
      <c r="O116" s="77"/>
      <c r="P116" s="77"/>
      <c r="Q116" s="299" t="n">
        <f aca="false">IF($Q$5="Kool Mu",VLOOKUP($Q$6,'Kool Mu CF Constants'!$A$19:$D$25,2,0),IF($Q$5="MPP",VLOOKUP($Q$6,'MPP CF'!$A$25:$D$34,2,0),IF($Q$5="High Flux",VLOOKUP($Q$6,'HF CF'!$A$17:$D$22,2,0),IF($Q$5="XFlux",IF($E$8&lt;10,VLOOKUP($Q$6,'XF CF'!B25:E27,2,0),IF($E$8&lt;20,VLOOKUP($Q$6,'XF CF'!B28:E30,2,0),IF($E$8&gt;=20,VLOOKUP($Q$6,'XF CF'!B31:E33,2,0))))))))</f>
        <v>193</v>
      </c>
    </row>
    <row r="117" customFormat="false" ht="14.4" hidden="false" customHeight="false" outlineLevel="0" collapsed="false">
      <c r="N117" s="77" t="s">
        <v>1132</v>
      </c>
      <c r="O117" s="77"/>
      <c r="P117" s="77"/>
      <c r="Q117" s="299" t="n">
        <f aca="false">IF($Q$5="Kool Mu",VLOOKUP($Q$6,'Kool Mu CF Constants'!$A$19:$D$25,3,0),IF($Q$5="MPP",VLOOKUP($Q$6,'MPP CF'!$A$25:$D$34,3,0),IF($Q$5="High Flux",VLOOKUP($Q$6,'HF CF'!$A$17:$D$22,3,0),IF($Q$5="XFlux",IF($E$8&lt;10,VLOOKUP($Q$6,'XF CF'!B25:E27,3,0),IF($E$8&lt;20,VLOOKUP($Q$6,'XF CF'!B28:E30,3,0),IF($E$8&gt;=20,VLOOKUP($Q$6,'XF CF'!B31:E33,3,0))))))))</f>
        <v>2.01</v>
      </c>
    </row>
    <row r="118" customFormat="false" ht="14.4" hidden="false" customHeight="false" outlineLevel="0" collapsed="false">
      <c r="N118" s="77" t="s">
        <v>1133</v>
      </c>
      <c r="O118" s="77"/>
      <c r="P118" s="77"/>
      <c r="Q118" s="299" t="n">
        <f aca="false">IF($Q$5="Kool Mu",VLOOKUP($Q$6,'Kool Mu CF Constants'!$A$19:$D$25,4,0),IF($Q$5="MPP",VLOOKUP($Q$6,'MPP CF'!$A$25:$D$34,4,0),IF($Q$5="High Flux",VLOOKUP($Q$6,'HF CF'!$A$17:$D$22,4,0),IF($E$8&lt;10,VLOOKUP($Q$6,'XF CF'!B25:E27,4,0),IF($E$8&lt;20,VLOOKUP($Q$6,'XF CF'!B28:E30,4,0),IF($E$8&gt;=20,VLOOKUP($Q$6,'XF CF'!B31:E33,4,0)))))))</f>
        <v>1.29</v>
      </c>
    </row>
    <row r="119" customFormat="false" ht="14.4" hidden="false" customHeight="false" outlineLevel="0" collapsed="false">
      <c r="N119" s="153" t="s">
        <v>1134</v>
      </c>
      <c r="O119" s="153"/>
      <c r="P119" s="153"/>
      <c r="Q119" s="290" t="n">
        <f aca="false">$E$32*Q54/Q49</f>
        <v>31.4153963414634</v>
      </c>
    </row>
    <row r="120" customFormat="false" ht="14.4" hidden="false" customHeight="false" outlineLevel="0" collapsed="false">
      <c r="N120" s="77" t="s">
        <v>1135</v>
      </c>
      <c r="O120" s="77"/>
      <c r="P120" s="77"/>
      <c r="Q120" s="290" t="n">
        <f aca="false">$E$33*Q54/Q49</f>
        <v>19.8955792682927</v>
      </c>
    </row>
    <row r="121" customFormat="false" ht="14.4" hidden="false" customHeight="false" outlineLevel="0" collapsed="false">
      <c r="N121" s="77" t="s">
        <v>1136</v>
      </c>
      <c r="O121" s="77"/>
      <c r="P121" s="77"/>
      <c r="Q121" s="290" t="n">
        <f aca="false">$E$34*Q52/Q49</f>
        <v>25.655487804878</v>
      </c>
    </row>
    <row r="122" customFormat="false" ht="14.4" hidden="false" customHeight="false" outlineLevel="0" collapsed="false">
      <c r="N122" s="77" t="s">
        <v>1137</v>
      </c>
      <c r="O122" s="77"/>
      <c r="P122" s="77"/>
      <c r="Q122" s="290" t="e">
        <f aca="false">$E$35*Q54/Q49</f>
        <v>#VALUE!</v>
      </c>
    </row>
    <row r="123" customFormat="false" ht="14.4" hidden="false" customHeight="false" outlineLevel="0" collapsed="false">
      <c r="N123" s="77" t="s">
        <v>1138</v>
      </c>
      <c r="O123" s="77"/>
      <c r="P123" s="77"/>
      <c r="Q123" s="290" t="n">
        <f aca="false">$E$34*Q54/Q49</f>
        <v>25.655487804878</v>
      </c>
    </row>
    <row r="124" customFormat="false" ht="14.4" hidden="false" customHeight="false" outlineLevel="0" collapsed="false">
      <c r="N124" s="77" t="s">
        <v>1139</v>
      </c>
      <c r="O124" s="77"/>
      <c r="P124" s="77"/>
      <c r="Q124" s="300" t="n">
        <f aca="false">$E$36*Q54/Q49</f>
        <v>40.2439024390244</v>
      </c>
    </row>
    <row r="126" customFormat="false" ht="14.4" hidden="false" customHeight="false" outlineLevel="0" collapsed="false">
      <c r="N126" s="77" t="s">
        <v>1196</v>
      </c>
      <c r="O126" s="77"/>
      <c r="P126" s="77"/>
      <c r="Q126" s="301" t="n">
        <f aca="false">Q70</f>
        <v>30.1</v>
      </c>
    </row>
    <row r="127" customFormat="false" ht="14.4" hidden="false" customHeight="false" outlineLevel="0" collapsed="false">
      <c r="N127" s="77" t="s">
        <v>1197</v>
      </c>
      <c r="O127" s="77"/>
      <c r="P127" s="77"/>
      <c r="Q127" s="301" t="n">
        <f aca="false">Q71*2</f>
        <v>30</v>
      </c>
    </row>
    <row r="128" customFormat="false" ht="14.4" hidden="false" customHeight="false" outlineLevel="0" collapsed="false">
      <c r="N128" s="77" t="s">
        <v>1198</v>
      </c>
      <c r="O128" s="77"/>
      <c r="P128" s="77"/>
      <c r="Q128" s="301" t="n">
        <f aca="false">Q72*Q4+Q23*Q81*2*1.1</f>
        <v>14.5073025028304</v>
      </c>
    </row>
    <row r="129" customFormat="false" ht="14.4" hidden="false" customHeight="false" outlineLevel="0" collapsed="false">
      <c r="N129" s="77" t="s">
        <v>1199</v>
      </c>
      <c r="O129" s="77"/>
      <c r="P129" s="77"/>
      <c r="Q129" s="301" t="n">
        <f aca="false">VLOOKUP(Q3,'Shape Core Weight'!$A$2:$D$107,4,0)/1000</f>
        <v>0.0136</v>
      </c>
    </row>
    <row r="130" customFormat="false" ht="14.4" hidden="false" customHeight="false" outlineLevel="0" collapsed="false">
      <c r="N130" s="77" t="s">
        <v>1200</v>
      </c>
      <c r="O130" s="77"/>
      <c r="P130" s="77"/>
      <c r="Q130" s="301" t="n">
        <f aca="false">Q4*Q129*2</f>
        <v>0.0272</v>
      </c>
    </row>
    <row r="131" customFormat="false" ht="14.4" hidden="false" customHeight="false" outlineLevel="0" collapsed="false">
      <c r="N131" s="77" t="s">
        <v>1201</v>
      </c>
      <c r="O131" s="77"/>
      <c r="P131" s="77"/>
      <c r="Q131" s="301" t="e">
        <f aca="false">Q130+Q102</f>
        <v>#N/A</v>
      </c>
    </row>
  </sheetData>
  <mergeCells count="185">
    <mergeCell ref="B1:D1"/>
    <mergeCell ref="G1:I1"/>
    <mergeCell ref="J1:L1"/>
    <mergeCell ref="N1:P1"/>
    <mergeCell ref="B2:D2"/>
    <mergeCell ref="N2:P2"/>
    <mergeCell ref="AD2:AE2"/>
    <mergeCell ref="AH2:AJ2"/>
    <mergeCell ref="AL2:AN2"/>
    <mergeCell ref="AP2:AT2"/>
    <mergeCell ref="B3:D3"/>
    <mergeCell ref="N3:P3"/>
    <mergeCell ref="AD3:AE3"/>
    <mergeCell ref="AH3:AJ3"/>
    <mergeCell ref="AL3:AN3"/>
    <mergeCell ref="B4:D4"/>
    <mergeCell ref="N4:P4"/>
    <mergeCell ref="AP4:AQ5"/>
    <mergeCell ref="AS4:AS5"/>
    <mergeCell ref="B5:D5"/>
    <mergeCell ref="N5:P5"/>
    <mergeCell ref="B6:D6"/>
    <mergeCell ref="N6:P6"/>
    <mergeCell ref="AL6:AN6"/>
    <mergeCell ref="B7:D7"/>
    <mergeCell ref="N7:P7"/>
    <mergeCell ref="AH7:AJ8"/>
    <mergeCell ref="AP7:AQ8"/>
    <mergeCell ref="AS7:AS8"/>
    <mergeCell ref="B8:D8"/>
    <mergeCell ref="N8:P8"/>
    <mergeCell ref="AC8:AC9"/>
    <mergeCell ref="AE8:AE9"/>
    <mergeCell ref="AF8:AF9"/>
    <mergeCell ref="B9:D9"/>
    <mergeCell ref="N9:P9"/>
    <mergeCell ref="B10:D10"/>
    <mergeCell ref="N10:P10"/>
    <mergeCell ref="AL10:AN10"/>
    <mergeCell ref="AP10:AQ11"/>
    <mergeCell ref="AS10:AS11"/>
    <mergeCell ref="B11:D11"/>
    <mergeCell ref="N11:P11"/>
    <mergeCell ref="AL11:AN11"/>
    <mergeCell ref="B12:D12"/>
    <mergeCell ref="N12:P12"/>
    <mergeCell ref="AL12:AN12"/>
    <mergeCell ref="N13:P13"/>
    <mergeCell ref="AL13:AN13"/>
    <mergeCell ref="AP13:AQ13"/>
    <mergeCell ref="N14:P14"/>
    <mergeCell ref="AL14:AN14"/>
    <mergeCell ref="N15:P15"/>
    <mergeCell ref="AH15:AJ15"/>
    <mergeCell ref="AL15:AN15"/>
    <mergeCell ref="AP15:AQ15"/>
    <mergeCell ref="N16:P16"/>
    <mergeCell ref="AL16:AN16"/>
    <mergeCell ref="N17:P17"/>
    <mergeCell ref="AL17:AN17"/>
    <mergeCell ref="N18:P18"/>
    <mergeCell ref="AL18:AN18"/>
    <mergeCell ref="N19:P19"/>
    <mergeCell ref="AL19:AN19"/>
    <mergeCell ref="N20:P20"/>
    <mergeCell ref="AL20:AN20"/>
    <mergeCell ref="B21:D21"/>
    <mergeCell ref="N21:P21"/>
    <mergeCell ref="AL21:AN21"/>
    <mergeCell ref="N22:P22"/>
    <mergeCell ref="N23:P23"/>
    <mergeCell ref="N24:P24"/>
    <mergeCell ref="N25:P25"/>
    <mergeCell ref="AS25:AS26"/>
    <mergeCell ref="N26:P26"/>
    <mergeCell ref="N27:P27"/>
    <mergeCell ref="AP28:AQ29"/>
    <mergeCell ref="AS28:AS29"/>
    <mergeCell ref="B30:D30"/>
    <mergeCell ref="N30:P30"/>
    <mergeCell ref="B31:D31"/>
    <mergeCell ref="N31:P31"/>
    <mergeCell ref="AP31:AQ31"/>
    <mergeCell ref="B32:D32"/>
    <mergeCell ref="N32:P32"/>
    <mergeCell ref="B33:D33"/>
    <mergeCell ref="N33:P33"/>
    <mergeCell ref="B34:D34"/>
    <mergeCell ref="N34:P34"/>
    <mergeCell ref="B35:D35"/>
    <mergeCell ref="N35:P35"/>
    <mergeCell ref="B36:D36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7:P47"/>
    <mergeCell ref="N48:P48"/>
    <mergeCell ref="N49:P49"/>
    <mergeCell ref="N50:P50"/>
    <mergeCell ref="N51:P51"/>
    <mergeCell ref="N52:P52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98:P98"/>
    <mergeCell ref="N99:P99"/>
    <mergeCell ref="N100:P100"/>
    <mergeCell ref="N101:P101"/>
    <mergeCell ref="N102:P102"/>
    <mergeCell ref="N104:P104"/>
    <mergeCell ref="N105:P105"/>
    <mergeCell ref="N106:P106"/>
    <mergeCell ref="N107:P107"/>
    <mergeCell ref="N108:P108"/>
    <mergeCell ref="N109:P109"/>
    <mergeCell ref="N110:P110"/>
    <mergeCell ref="N111:P111"/>
    <mergeCell ref="N112:P112"/>
    <mergeCell ref="N113:P113"/>
    <mergeCell ref="N114:P114"/>
    <mergeCell ref="N115:P115"/>
    <mergeCell ref="N116:P116"/>
    <mergeCell ref="N117:P117"/>
    <mergeCell ref="N118:P118"/>
    <mergeCell ref="N119:P119"/>
    <mergeCell ref="N120:P120"/>
    <mergeCell ref="N121:P121"/>
    <mergeCell ref="N122:P122"/>
    <mergeCell ref="N123:P123"/>
    <mergeCell ref="N124:P124"/>
    <mergeCell ref="N126:P126"/>
    <mergeCell ref="N127:P127"/>
    <mergeCell ref="N128:P128"/>
    <mergeCell ref="N129:P129"/>
    <mergeCell ref="N130:P130"/>
    <mergeCell ref="N131:P131"/>
  </mergeCells>
  <conditionalFormatting sqref="Q23">
    <cfRule type="cellIs" priority="2" operator="greaterThan" aboveAverage="0" equalAverage="0" bottom="0" percent="0" rank="0" text="" dxfId="0">
      <formula>$Q$22</formula>
    </cfRule>
  </conditionalFormatting>
  <conditionalFormatting sqref="Q17">
    <cfRule type="cellIs" priority="3" operator="greaterThan" aboveAverage="0" equalAverage="0" bottom="0" percent="0" rank="0" text="" dxfId="1">
      <formula>0.6</formula>
    </cfRule>
  </conditionalFormatting>
  <conditionalFormatting sqref="Q34">
    <cfRule type="cellIs" priority="4" operator="greaterThan" aboveAverage="0" equalAverage="0" bottom="0" percent="0" rank="0" text="" dxfId="2">
      <formula>$Q$33</formula>
    </cfRule>
  </conditionalFormatting>
  <conditionalFormatting sqref="AS19">
    <cfRule type="cellIs" priority="5" operator="greaterThan" aboveAverage="0" equalAverage="0" bottom="0" percent="0" rank="0" text="" dxfId="3">
      <formula>$AE$21</formula>
    </cfRule>
  </conditionalFormatting>
  <dataValidations count="5">
    <dataValidation allowBlank="true" operator="between" showDropDown="false" showErrorMessage="true" showInputMessage="true" sqref="E1" type="list">
      <formula1>"DC w/ ripple,Low AC w/ ripple,Pure AC no ripple"</formula1>
      <formula2>0</formula2>
    </dataValidation>
    <dataValidation allowBlank="true" operator="between" showDropDown="false" showErrorMessage="true" showInputMessage="true" sqref="E11" type="list">
      <formula1>"copper,aluminum"</formula1>
      <formula2>0</formula2>
    </dataValidation>
    <dataValidation allowBlank="true" operator="between" showDropDown="false" showErrorMessage="true" showInputMessage="true" sqref="AE17" type="list">
      <formula1>"1,2,3,4,5"</formula1>
      <formula2>0</formula2>
    </dataValidation>
    <dataValidation allowBlank="true" operator="between" showDropDown="false" showErrorMessage="true" showInputMessage="true" sqref="AM8" type="list">
      <formula1>"6,7,8,9,10,11,12,13,14,15,16,17,18,19,20,21,22,23,24,25,26,27,28,29,30,31,32,33,34,35,36,37,38,39,40,41,42,43,44,45,46,47,48,49"</formula1>
      <formula2>0</formula2>
    </dataValidation>
    <dataValidation allowBlank="true" operator="between" showDropDown="false" showErrorMessage="true" showInputMessage="true" sqref="AM4" type="list">
      <formula1>'E Core Detail'!$A$2:$A$81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U26" activeCellId="0" sqref="U26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  <Company>Spang &amp;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2009-03-11T15:42:08Z</dcterms:created>
  <dc:creator>Zack Cataldi</dc:creator>
  <dc:description/>
  <dc:language>pt-BR</dc:language>
  <cp:lastModifiedBy/>
  <cp:lastPrinted>2011-12-21T19:39:34Z</cp:lastPrinted>
  <dcterms:modified xsi:type="dcterms:W3CDTF">2020-02-26T10:26:48Z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Spang &amp;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