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pivotCache/pivotCacheDefinition8.xml" ContentType="application/vnd.openxmlformats-officedocument.spreadsheetml.pivotCacheDefinition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Default Extension="rels" ContentType="application/vnd.openxmlformats-package.relationships+xml"/>
  <Override PartName="/xl/worksheets/sheet12.xml" ContentType="application/vnd.openxmlformats-officedocument.spreadsheetml.worksheet+xml"/>
  <Override PartName="/xl/drawings/drawing3.xml" ContentType="application/vnd.openxmlformats-officedocument.drawing+xml"/>
  <Default Extension="jpeg" ContentType="image/jpeg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pivotTables/pivotTable5.xml" ContentType="application/vnd.openxmlformats-officedocument.spreadsheetml.pivotTable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xml" ContentType="application/xml"/>
  <Override PartName="/xl/charts/chart7.xml" ContentType="application/vnd.openxmlformats-officedocument.drawingml.chart+xml"/>
  <Override PartName="/xl/pivotCache/pivotCacheDefinition5.xml" ContentType="application/vnd.openxmlformats-officedocument.spreadsheetml.pivotCacheDefinition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pivotTables/pivotTable6.xml" ContentType="application/vnd.openxmlformats-officedocument.spreadsheetml.pivotTabl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pivotCache/pivotCacheRecords5.xml" ContentType="application/vnd.openxmlformats-officedocument.spreadsheetml.pivotCacheRecords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pivotCache/pivotCacheDefinition6.xml" ContentType="application/vnd.openxmlformats-officedocument.spreadsheetml.pivotCacheDefinition+xml"/>
  <Override PartName="/xl/calcChain.xml" ContentType="application/vnd.openxmlformats-officedocument.spreadsheetml.calcChain+xml"/>
  <Override PartName="/xl/charts/chart4.xml" ContentType="application/vnd.openxmlformats-officedocument.drawingml.chart+xml"/>
  <Default Extension="vml" ContentType="application/vnd.openxmlformats-officedocument.vmlDrawing"/>
  <Override PartName="/xl/pivotCache/pivotCacheDefinition2.xml" ContentType="application/vnd.openxmlformats-officedocument.spreadsheetml.pivotCacheDefinitio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pivotCache/pivotCacheRecords6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charts/chart5.xml" ContentType="application/vnd.openxmlformats-officedocument.drawingml.chart+xml"/>
  <Override PartName="/xl/pivotCache/pivotCacheDefinition3.xml" ContentType="application/vnd.openxmlformats-officedocument.spreadsheetml.pivotCacheDefinition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8.xml" ContentType="application/vnd.openxmlformats-officedocument.spreadsheetml.worksheet+xml"/>
  <Override PartName="/xl/pivotCache/pivotCacheRecords7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20" yWindow="1340" windowWidth="22800" windowHeight="12120" tabRatio="500" firstSheet="2" activeTab="3"/>
  </bookViews>
  <sheets>
    <sheet name="tons per km conversion" sheetId="5" r:id="rId1"/>
    <sheet name="old pivot table and graphs" sheetId="3" r:id="rId2"/>
    <sheet name="fish transect densities" sheetId="11" r:id="rId3"/>
    <sheet name="fish transect biomass" sheetId="7" r:id="rId4"/>
    <sheet name="pivot table" sheetId="8" r:id="rId5"/>
    <sheet name="Sheet1" sheetId="12" r:id="rId6"/>
    <sheet name="size structure" sheetId="13" r:id="rId7"/>
    <sheet name="fish data" sheetId="1" r:id="rId8"/>
    <sheet name="may data" sheetId="9" r:id="rId9"/>
    <sheet name="fish counts" sheetId="10" r:id="rId10"/>
    <sheet name="fish data from quadrats" sheetId="4" r:id="rId11"/>
    <sheet name="Fish Names&amp;ab constants" sheetId="2" r:id="rId12"/>
    <sheet name="Sheet3" sheetId="6" r:id="rId13"/>
  </sheets>
  <definedNames>
    <definedName name="_xlnm._FilterDatabase" localSheetId="9" hidden="1">'fish counts'!$A$1:$Z$254</definedName>
    <definedName name="_xlnm._FilterDatabase" localSheetId="7" hidden="1">'fish data'!$A$1:$AD$254</definedName>
    <definedName name="LWRelationshipList" localSheetId="11">'Fish Names&amp;ab constants'!$E$50</definedName>
  </definedNames>
  <calcPr calcId="130407"/>
  <pivotCaches>
    <pivotCache cacheId="7" r:id="rId14"/>
    <pivotCache cacheId="9" r:id="rId15"/>
    <pivotCache cacheId="8" r:id="rId16"/>
    <pivotCache cacheId="11" r:id="rId17"/>
    <pivotCache cacheId="10" r:id="rId18"/>
    <pivotCache cacheId="12" r:id="rId19"/>
    <pivotCache cacheId="14" r:id="rId20"/>
    <pivotCache cacheId="13" r:id="rId21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B253" i="10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P49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AD247" i="1"/>
  <c r="AD216"/>
  <c r="AD236"/>
  <c r="AD234"/>
  <c r="AD198"/>
  <c r="AD195"/>
  <c r="AD186"/>
  <c r="AD184"/>
  <c r="AD177"/>
  <c r="AD167"/>
  <c r="AD150"/>
  <c r="AD147"/>
  <c r="AD39"/>
  <c r="AD248"/>
  <c r="AD241"/>
  <c r="AD235"/>
  <c r="AD233"/>
  <c r="AD227"/>
  <c r="AD217"/>
  <c r="AD214"/>
  <c r="AD204"/>
  <c r="AD202"/>
  <c r="AD194"/>
  <c r="AD183"/>
  <c r="AD166"/>
  <c r="AD163"/>
  <c r="AD154"/>
  <c r="AD111"/>
  <c r="AD109"/>
  <c r="AD101"/>
  <c r="AD83"/>
  <c r="AD79"/>
  <c r="AD46"/>
  <c r="AD40"/>
  <c r="AD33"/>
  <c r="AD24"/>
  <c r="AD252"/>
  <c r="AD243"/>
  <c r="AD240"/>
  <c r="AD229"/>
  <c r="AD218"/>
  <c r="AD212"/>
  <c r="AD209"/>
  <c r="AD199"/>
  <c r="AD192"/>
  <c r="AD191"/>
  <c r="AD180"/>
  <c r="AD174"/>
  <c r="AD171"/>
  <c r="AD160"/>
  <c r="AD148"/>
  <c r="AD143"/>
  <c r="AD138"/>
  <c r="AD134"/>
  <c r="AD114"/>
  <c r="AD110"/>
  <c r="AD105"/>
  <c r="AD98"/>
  <c r="AD91"/>
  <c r="AD85"/>
  <c r="AD78"/>
  <c r="AD59"/>
  <c r="AD54"/>
  <c r="AD49"/>
  <c r="AD42"/>
  <c r="AD38"/>
  <c r="AD28"/>
  <c r="AD2"/>
  <c r="AD4"/>
  <c r="AC97"/>
  <c r="AC205"/>
  <c r="AC246"/>
  <c r="AC173"/>
  <c r="AC131"/>
  <c r="AC86"/>
  <c r="AC222"/>
  <c r="AC208"/>
  <c r="AC200"/>
  <c r="AC196"/>
  <c r="AC179"/>
  <c r="AC164"/>
  <c r="AC141"/>
  <c r="AC161"/>
  <c r="AC41"/>
  <c r="AC32"/>
  <c r="AC133"/>
  <c r="AC18"/>
  <c r="AC11"/>
  <c r="AC23"/>
  <c r="AC232"/>
  <c r="AC65"/>
  <c r="AC13"/>
  <c r="AC102"/>
  <c r="AC68"/>
  <c r="AC104"/>
  <c r="AC177"/>
  <c r="AC167"/>
  <c r="AC39"/>
  <c r="AC198"/>
  <c r="AC147"/>
  <c r="AC195"/>
  <c r="AC158"/>
  <c r="AC121"/>
  <c r="AC100"/>
  <c r="AC96"/>
  <c r="AC247"/>
  <c r="AC236"/>
  <c r="AC234"/>
  <c r="AC216"/>
  <c r="AC184"/>
  <c r="AC150"/>
  <c r="AC123"/>
  <c r="AC92"/>
  <c r="AC69"/>
  <c r="AC20"/>
  <c r="AC64"/>
  <c r="AC151"/>
  <c r="AC75"/>
  <c r="AC186"/>
  <c r="AC61"/>
  <c r="AC19"/>
  <c r="AC10"/>
  <c r="AC9"/>
  <c r="AC251"/>
  <c r="AC185"/>
  <c r="AC34"/>
  <c r="AC7"/>
  <c r="AC6"/>
  <c r="AC249"/>
  <c r="AC228"/>
  <c r="AC190"/>
  <c r="AC178"/>
  <c r="AC142"/>
  <c r="AC165"/>
  <c r="AC128"/>
  <c r="AC118"/>
  <c r="AC76"/>
  <c r="AC71"/>
  <c r="AC53"/>
  <c r="AC44"/>
  <c r="AC16"/>
  <c r="AC253"/>
  <c r="AC245"/>
  <c r="AC206"/>
  <c r="AC226"/>
  <c r="AC223"/>
  <c r="AC162"/>
  <c r="AC140"/>
  <c r="AC135"/>
  <c r="AC125"/>
  <c r="AC106"/>
  <c r="AC74"/>
  <c r="AC31"/>
  <c r="AC55"/>
  <c r="AC14"/>
  <c r="AC3"/>
  <c r="AC213"/>
  <c r="AC250"/>
  <c r="AC242"/>
  <c r="AC244"/>
  <c r="AC238"/>
  <c r="AC239"/>
  <c r="AC237"/>
  <c r="AC221"/>
  <c r="AC225"/>
  <c r="AC224"/>
  <c r="AC230"/>
  <c r="AC231"/>
  <c r="AC220"/>
  <c r="AC219"/>
  <c r="AC215"/>
  <c r="AC210"/>
  <c r="AC211"/>
  <c r="AC207"/>
  <c r="AC203"/>
  <c r="AC201"/>
  <c r="AC197"/>
  <c r="AC193"/>
  <c r="AC188"/>
  <c r="AC189"/>
  <c r="AC187"/>
  <c r="AC181"/>
  <c r="AC182"/>
  <c r="AC176"/>
  <c r="AC175"/>
  <c r="AC170"/>
  <c r="AC168"/>
  <c r="AC172"/>
  <c r="AC169"/>
  <c r="AC159"/>
  <c r="AC157"/>
  <c r="AC152"/>
  <c r="AC156"/>
  <c r="AC155"/>
  <c r="AC153"/>
  <c r="AC149"/>
  <c r="AC139"/>
  <c r="AC145"/>
  <c r="AC146"/>
  <c r="AC144"/>
  <c r="AC137"/>
  <c r="AC136"/>
  <c r="AC132"/>
  <c r="AC124"/>
  <c r="AC126"/>
  <c r="AC127"/>
  <c r="AC130"/>
  <c r="AC129"/>
  <c r="AC122"/>
  <c r="AC116"/>
  <c r="AC120"/>
  <c r="AC119"/>
  <c r="AC117"/>
  <c r="AC115"/>
  <c r="AC113"/>
  <c r="AC112"/>
  <c r="AC108"/>
  <c r="AC107"/>
  <c r="AC103"/>
  <c r="AC99"/>
  <c r="AC95"/>
  <c r="AC94"/>
  <c r="AC93"/>
  <c r="AC90"/>
  <c r="AC87"/>
  <c r="AC89"/>
  <c r="AC88"/>
  <c r="AC84"/>
  <c r="AC81"/>
  <c r="AC77"/>
  <c r="AC80"/>
  <c r="AC73"/>
  <c r="AC72"/>
  <c r="AC70"/>
  <c r="AC67"/>
  <c r="AC66"/>
  <c r="AC63"/>
  <c r="AC62"/>
  <c r="AC60"/>
  <c r="AC57"/>
  <c r="AC58"/>
  <c r="AC56"/>
  <c r="AC52"/>
  <c r="AC51"/>
  <c r="AC50"/>
  <c r="AC47"/>
  <c r="AC48"/>
  <c r="AC45"/>
  <c r="AC43"/>
  <c r="AC37"/>
  <c r="AC36"/>
  <c r="AC35"/>
  <c r="AC29"/>
  <c r="AC30"/>
  <c r="AC22"/>
  <c r="AC21"/>
  <c r="AC27"/>
  <c r="AC25"/>
  <c r="AC26"/>
  <c r="AC17"/>
  <c r="AC15"/>
  <c r="AC12"/>
  <c r="AC5"/>
  <c r="AC8"/>
  <c r="AC248"/>
  <c r="AC241"/>
  <c r="AC235"/>
  <c r="AC233"/>
  <c r="AC227"/>
  <c r="AC217"/>
  <c r="AC214"/>
  <c r="AC204"/>
  <c r="AC202"/>
  <c r="AC194"/>
  <c r="AC183"/>
  <c r="AC166"/>
  <c r="AC163"/>
  <c r="AC154"/>
  <c r="AC111"/>
  <c r="AC109"/>
  <c r="AC101"/>
  <c r="AC83"/>
  <c r="AC79"/>
  <c r="AC46"/>
  <c r="AC33"/>
  <c r="AC40"/>
  <c r="AC24"/>
  <c r="AC252"/>
  <c r="AC243"/>
  <c r="AC240"/>
  <c r="AC229"/>
  <c r="AC218"/>
  <c r="AC212"/>
  <c r="AC209"/>
  <c r="AC199"/>
  <c r="AC192"/>
  <c r="AC191"/>
  <c r="AC180"/>
  <c r="AC174"/>
  <c r="AC171"/>
  <c r="AC160"/>
  <c r="AC148"/>
  <c r="AC143"/>
  <c r="AC138"/>
  <c r="AC134"/>
  <c r="AC114"/>
  <c r="AC110"/>
  <c r="AC105"/>
  <c r="AC98"/>
  <c r="AC91"/>
  <c r="AC85"/>
  <c r="AC78"/>
  <c r="AC59"/>
  <c r="AC54"/>
  <c r="R49"/>
  <c r="AC49"/>
  <c r="AC42"/>
  <c r="AC38"/>
  <c r="AC28"/>
  <c r="AC4"/>
  <c r="AC2"/>
  <c r="AT10" i="4"/>
  <c r="AT11"/>
  <c r="AT12"/>
  <c r="AT13"/>
  <c r="AT14"/>
  <c r="AT15"/>
  <c r="AT16"/>
  <c r="AT17"/>
  <c r="AT9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2"/>
  <c r="AM3" i="7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2"/>
  <c r="AW24"/>
  <c r="AW23"/>
  <c r="AW22"/>
  <c r="AW21"/>
  <c r="AW20"/>
  <c r="AW19"/>
  <c r="AW18"/>
  <c r="AW17"/>
  <c r="AW16"/>
  <c r="BU27"/>
  <c r="BU28"/>
  <c r="BU26"/>
  <c r="BO27"/>
  <c r="BO28"/>
  <c r="BO26"/>
  <c r="BL27"/>
  <c r="BL28"/>
  <c r="BL26"/>
  <c r="BI27"/>
  <c r="BI28"/>
  <c r="BI26"/>
  <c r="BR27"/>
  <c r="BR28"/>
  <c r="BR26"/>
  <c r="T2"/>
  <c r="L2"/>
  <c r="H2"/>
  <c r="AF2"/>
  <c r="BD17"/>
  <c r="BD18"/>
  <c r="BD19"/>
  <c r="BD20"/>
  <c r="BD21"/>
  <c r="BD22"/>
  <c r="BD23"/>
  <c r="BD24"/>
  <c r="BD16"/>
  <c r="BC17"/>
  <c r="BC18"/>
  <c r="BC19"/>
  <c r="BC20"/>
  <c r="BC21"/>
  <c r="BC22"/>
  <c r="BC23"/>
  <c r="BC24"/>
  <c r="BC16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2"/>
  <c r="H3"/>
  <c r="L3"/>
  <c r="T3"/>
  <c r="AH3"/>
  <c r="H4"/>
  <c r="L4"/>
  <c r="AH4"/>
  <c r="H5"/>
  <c r="L5"/>
  <c r="AH5"/>
  <c r="H6"/>
  <c r="L6"/>
  <c r="AH6"/>
  <c r="H7"/>
  <c r="L7"/>
  <c r="AH7"/>
  <c r="H8"/>
  <c r="L8"/>
  <c r="AH8"/>
  <c r="H9"/>
  <c r="L9"/>
  <c r="AH9"/>
  <c r="H10"/>
  <c r="L10"/>
  <c r="AH10"/>
  <c r="H11"/>
  <c r="L11"/>
  <c r="AH11"/>
  <c r="H12"/>
  <c r="L12"/>
  <c r="T12"/>
  <c r="AH12"/>
  <c r="H13"/>
  <c r="L13"/>
  <c r="AH13"/>
  <c r="H14"/>
  <c r="L14"/>
  <c r="AH14"/>
  <c r="H15"/>
  <c r="L15"/>
  <c r="AH15"/>
  <c r="H16"/>
  <c r="L16"/>
  <c r="AH16"/>
  <c r="H17"/>
  <c r="L17"/>
  <c r="AH17"/>
  <c r="H18"/>
  <c r="L18"/>
  <c r="AH18"/>
  <c r="H19"/>
  <c r="L19"/>
  <c r="AH19"/>
  <c r="H20"/>
  <c r="L20"/>
  <c r="AH20"/>
  <c r="H21"/>
  <c r="L21"/>
  <c r="AH21"/>
  <c r="H22"/>
  <c r="L22"/>
  <c r="AH22"/>
  <c r="H23"/>
  <c r="L23"/>
  <c r="AH23"/>
  <c r="H24"/>
  <c r="L24"/>
  <c r="AH24"/>
  <c r="H25"/>
  <c r="L25"/>
  <c r="AH25"/>
  <c r="H26"/>
  <c r="L26"/>
  <c r="AH26"/>
  <c r="H27"/>
  <c r="L27"/>
  <c r="AH27"/>
  <c r="H28"/>
  <c r="L28"/>
  <c r="AH28"/>
  <c r="H29"/>
  <c r="L29"/>
  <c r="AH29"/>
  <c r="H30"/>
  <c r="L30"/>
  <c r="AH30"/>
  <c r="H31"/>
  <c r="L31"/>
  <c r="AH31"/>
  <c r="H32"/>
  <c r="L32"/>
  <c r="AH32"/>
  <c r="H33"/>
  <c r="L33"/>
  <c r="AH33"/>
  <c r="H34"/>
  <c r="L34"/>
  <c r="AH34"/>
  <c r="H35"/>
  <c r="L35"/>
  <c r="AH35"/>
  <c r="H36"/>
  <c r="L36"/>
  <c r="AH36"/>
  <c r="H37"/>
  <c r="L37"/>
  <c r="AH37"/>
  <c r="H38"/>
  <c r="L38"/>
  <c r="AH38"/>
  <c r="H39"/>
  <c r="L39"/>
  <c r="T39"/>
  <c r="AH39"/>
  <c r="H40"/>
  <c r="L40"/>
  <c r="AH40"/>
  <c r="H41"/>
  <c r="L41"/>
  <c r="T41"/>
  <c r="AH41"/>
  <c r="H42"/>
  <c r="L42"/>
  <c r="T42"/>
  <c r="AH42"/>
  <c r="H43"/>
  <c r="L43"/>
  <c r="AH43"/>
  <c r="H44"/>
  <c r="L44"/>
  <c r="T44"/>
  <c r="AH44"/>
  <c r="H45"/>
  <c r="L45"/>
  <c r="T45"/>
  <c r="AH45"/>
  <c r="H46"/>
  <c r="L46"/>
  <c r="T46"/>
  <c r="AH46"/>
  <c r="H47"/>
  <c r="L47"/>
  <c r="T47"/>
  <c r="AH47"/>
  <c r="H48"/>
  <c r="L48"/>
  <c r="T48"/>
  <c r="AH48"/>
  <c r="H49"/>
  <c r="L49"/>
  <c r="T49"/>
  <c r="AH49"/>
  <c r="H50"/>
  <c r="L50"/>
  <c r="T50"/>
  <c r="AH50"/>
  <c r="H51"/>
  <c r="L51"/>
  <c r="T51"/>
  <c r="AH51"/>
  <c r="H52"/>
  <c r="L52"/>
  <c r="T52"/>
  <c r="AH52"/>
  <c r="H53"/>
  <c r="L53"/>
  <c r="T53"/>
  <c r="AH53"/>
  <c r="H54"/>
  <c r="L54"/>
  <c r="T54"/>
  <c r="AH54"/>
  <c r="H55"/>
  <c r="L55"/>
  <c r="T55"/>
  <c r="AH55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2"/>
  <c r="AE2"/>
  <c r="BB17"/>
  <c r="BB18"/>
  <c r="BB19"/>
  <c r="BB20"/>
  <c r="BB21"/>
  <c r="BB22"/>
  <c r="BB23"/>
  <c r="BB24"/>
  <c r="BB16"/>
  <c r="BA17"/>
  <c r="BA18"/>
  <c r="BA19"/>
  <c r="BA20"/>
  <c r="BA21"/>
  <c r="BA22"/>
  <c r="BA23"/>
  <c r="BA24"/>
  <c r="BA16"/>
  <c r="AZ24"/>
  <c r="AZ23"/>
  <c r="AZ22"/>
  <c r="AZ21"/>
  <c r="AZ20"/>
  <c r="AZ19"/>
  <c r="AZ18"/>
  <c r="AZ17"/>
  <c r="AZ16"/>
  <c r="AY24"/>
  <c r="AY23"/>
  <c r="AY22"/>
  <c r="AY21"/>
  <c r="AY20"/>
  <c r="AY19"/>
  <c r="AY18"/>
  <c r="AY17"/>
  <c r="AY16"/>
  <c r="AX24"/>
  <c r="AX23"/>
  <c r="AX22"/>
  <c r="AX21"/>
  <c r="AX20"/>
  <c r="AX19"/>
  <c r="AX18"/>
  <c r="AX17"/>
  <c r="AX1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F4"/>
  <c r="AE4"/>
  <c r="AF3"/>
  <c r="AE3"/>
  <c r="T12" i="11"/>
  <c r="T45"/>
  <c r="T42"/>
  <c r="T39"/>
  <c r="T55"/>
  <c r="T54"/>
  <c r="T52"/>
  <c r="T51"/>
  <c r="T50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3"/>
  <c r="H2"/>
  <c r="Z2" i="9"/>
  <c r="Z3"/>
  <c r="Z4"/>
  <c r="Z5"/>
  <c r="Z6"/>
  <c r="Z7"/>
  <c r="Z8"/>
  <c r="Z9"/>
  <c r="Z10"/>
  <c r="Z11"/>
  <c r="Z12"/>
  <c r="Z13"/>
  <c r="Z14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S13" i="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12"/>
  <c r="AJ74"/>
  <c r="AJ75"/>
  <c r="AJ76"/>
  <c r="AJ77"/>
  <c r="AJ78"/>
  <c r="AJ79"/>
  <c r="AJ80"/>
  <c r="AJ81"/>
  <c r="AJ73"/>
  <c r="AG74"/>
  <c r="AG75"/>
  <c r="AG76"/>
  <c r="AG77"/>
  <c r="AG78"/>
  <c r="AG79"/>
  <c r="AG80"/>
  <c r="AG81"/>
  <c r="AG73"/>
  <c r="AD74"/>
  <c r="AD75"/>
  <c r="AD76"/>
  <c r="AD77"/>
  <c r="AD78"/>
  <c r="AD79"/>
  <c r="AD80"/>
  <c r="AD81"/>
  <c r="AD73"/>
  <c r="G3" i="6"/>
  <c r="G4"/>
  <c r="G5"/>
  <c r="G6"/>
  <c r="G7"/>
  <c r="G8"/>
  <c r="G9"/>
  <c r="G10"/>
  <c r="G11"/>
  <c r="G2"/>
  <c r="H8" i="5"/>
  <c r="H9"/>
  <c r="H10"/>
  <c r="H7"/>
  <c r="H6"/>
  <c r="H5"/>
  <c r="H4"/>
  <c r="H3"/>
  <c r="H2"/>
</calcChain>
</file>

<file path=xl/comments1.xml><?xml version="1.0" encoding="utf-8"?>
<comments xmlns="http://schemas.openxmlformats.org/spreadsheetml/2006/main">
  <authors>
    <author>Rebecca Martone</author>
  </authors>
  <commentList>
    <comment ref="F1" authorId="0">
      <text>
        <r>
          <rPr>
            <b/>
            <sz val="9"/>
            <color indexed="81"/>
            <rFont val="Arial"/>
            <family val="2"/>
          </rPr>
          <t>Rebecca Martone:</t>
        </r>
        <r>
          <rPr>
            <sz val="9"/>
            <color indexed="81"/>
            <rFont val="Arial"/>
            <family val="2"/>
          </rPr>
          <t xml:space="preserve">
Biomass is in grams per 180m3 or grams per 120m2?</t>
        </r>
      </text>
    </comment>
    <comment ref="AG1" authorId="0">
      <text>
        <r>
          <rPr>
            <b/>
            <sz val="9"/>
            <color indexed="81"/>
            <rFont val="Arial"/>
            <family val="2"/>
          </rPr>
          <t>Rebecca Martone:</t>
        </r>
        <r>
          <rPr>
            <sz val="9"/>
            <color indexed="81"/>
            <rFont val="Arial"/>
            <family val="2"/>
          </rPr>
          <t xml:space="preserve">
Use these</t>
        </r>
      </text>
    </comment>
  </commentList>
</comments>
</file>

<file path=xl/comments2.xml><?xml version="1.0" encoding="utf-8"?>
<comments xmlns="http://schemas.openxmlformats.org/spreadsheetml/2006/main">
  <authors>
    <author>Rebecca Martone</author>
  </authors>
  <commentList>
    <comment ref="N2" authorId="0">
      <text>
        <r>
          <rPr>
            <b/>
            <sz val="8"/>
            <color indexed="81"/>
            <rFont val="Tahoma"/>
          </rPr>
          <t>Rebecca Martone:</t>
        </r>
        <r>
          <rPr>
            <sz val="8"/>
            <color indexed="81"/>
            <rFont val="Tahoma"/>
          </rPr>
          <t xml:space="preserve">
See Fish Names worksheet for key</t>
        </r>
      </text>
    </comment>
  </commentList>
</comments>
</file>

<file path=xl/sharedStrings.xml><?xml version="1.0" encoding="utf-8"?>
<sst xmlns="http://schemas.openxmlformats.org/spreadsheetml/2006/main" count="12786" uniqueCount="878">
  <si>
    <t>CABEZON: Lea et al1999 - Biological Aspects of nearshore rockfishes of the genus sebastes from Central California with notes on ecologically related sport fishes</t>
    <phoneticPr fontId="3" type="noConversion"/>
  </si>
  <si>
    <t>cm</t>
    <phoneticPr fontId="3" type="noConversion"/>
  </si>
  <si>
    <t>Kimmerer et al 2005 (pacific staghorn sculpin) sculpin)</t>
    <phoneticPr fontId="3" type="noConversion"/>
  </si>
  <si>
    <t>cm (SL)</t>
    <phoneticPr fontId="3" type="noConversion"/>
  </si>
  <si>
    <t>Lane &amp; Hill 1975, eds. The Marine resources of Anaheim Bay; Odenweller : Shiner perch</t>
    <phoneticPr fontId="3" type="noConversion"/>
  </si>
  <si>
    <t>TUBESNOUT</t>
    <phoneticPr fontId="3" type="noConversion"/>
  </si>
  <si>
    <t>brf_adult</t>
    <phoneticPr fontId="3" type="noConversion"/>
  </si>
  <si>
    <t>kg</t>
    <phoneticPr fontId="3" type="noConversion"/>
  </si>
  <si>
    <t>perch</t>
    <phoneticPr fontId="3" type="noConversion"/>
  </si>
  <si>
    <t>Blue rf</t>
    <phoneticPr fontId="5" type="noConversion"/>
  </si>
  <si>
    <t>Blue rockfish</t>
  </si>
  <si>
    <t>Sebastes mystinus</t>
  </si>
  <si>
    <t>1 + 11cm</t>
  </si>
  <si>
    <t>Chetarpe 2</t>
  </si>
  <si>
    <t>8 to 10</t>
  </si>
  <si>
    <t>4.6-6.9</t>
  </si>
  <si>
    <t>6, 8</t>
  </si>
  <si>
    <t>3.2-5.0</t>
  </si>
  <si>
    <t>SF</t>
  </si>
  <si>
    <t>Density</t>
    <phoneticPr fontId="3" type="noConversion"/>
  </si>
  <si>
    <t>density</t>
    <phoneticPr fontId="3" type="noConversion"/>
  </si>
  <si>
    <t>juvenile rf</t>
    <phoneticPr fontId="3" type="noConversion"/>
  </si>
  <si>
    <t>stderr</t>
    <phoneticPr fontId="3" type="noConversion"/>
  </si>
  <si>
    <t>large demersal fish</t>
    <phoneticPr fontId="3" type="noConversion"/>
  </si>
  <si>
    <t>Lea et al1999 - Biological Aspects of nearshore rockfishes of the genus sebastes from Central California with notes on ecologically related sport fishes</t>
    <phoneticPr fontId="3" type="noConversion"/>
  </si>
  <si>
    <t>g</t>
    <phoneticPr fontId="3" type="noConversion"/>
  </si>
  <si>
    <t>mm</t>
    <phoneticPr fontId="3" type="noConversion"/>
  </si>
  <si>
    <t xml:space="preserve">y=2.53x-0.130 </t>
    <phoneticPr fontId="3" type="noConversion"/>
  </si>
  <si>
    <t>Page et al 2005</t>
    <phoneticPr fontId="3" type="noConversion"/>
  </si>
  <si>
    <t>Other Dem Reef</t>
    <phoneticPr fontId="3" type="noConversion"/>
  </si>
  <si>
    <t>Pelagic Reef fish</t>
    <phoneticPr fontId="3" type="noConversion"/>
  </si>
  <si>
    <t>Average of Pelagic Reef Fishes (Ed Gregr model kg/m2)</t>
  </si>
  <si>
    <t>KS</t>
    <phoneticPr fontId="3" type="noConversion"/>
  </si>
  <si>
    <t>1 x 6 cm</t>
  </si>
  <si>
    <t>50 x 2 cm</t>
  </si>
  <si>
    <t>Striped Perch</t>
  </si>
  <si>
    <t>6.5-7</t>
  </si>
  <si>
    <t>sand, shell, gravel, lots of young nereocystis, costaria costata and Cymathere triplicata</t>
  </si>
  <si>
    <t>CRF</t>
  </si>
  <si>
    <t>Harbor seal</t>
  </si>
  <si>
    <t>1 x 1.5m</t>
  </si>
  <si>
    <t>Spring Island</t>
  </si>
  <si>
    <t>Kamils</t>
  </si>
  <si>
    <t>5.5 to 6.5</t>
  </si>
  <si>
    <t>6.5 to 5.5</t>
  </si>
  <si>
    <t>Artedius harringtoni</t>
  </si>
  <si>
    <t>Kyuquot Sound</t>
    <phoneticPr fontId="5" type="noConversion"/>
  </si>
  <si>
    <t>Sebastes spp.</t>
  </si>
  <si>
    <t>Shiner perch</t>
  </si>
  <si>
    <t>Cymatogaster aggregata</t>
  </si>
  <si>
    <t>Kyuquot Sound</t>
    <phoneticPr fontId="5" type="noConversion"/>
  </si>
  <si>
    <t>Spring Island</t>
    <phoneticPr fontId="5" type="noConversion"/>
  </si>
  <si>
    <t>Kamils</t>
    <phoneticPr fontId="5" type="noConversion"/>
  </si>
  <si>
    <t>Fishbase - Pholis gunnellus</t>
    <phoneticPr fontId="3" type="noConversion"/>
  </si>
  <si>
    <t>ril</t>
    <phoneticPr fontId="3" type="noConversion"/>
  </si>
  <si>
    <t>pipefish</t>
    <phoneticPr fontId="3" type="noConversion"/>
  </si>
  <si>
    <t>other rf</t>
  </si>
  <si>
    <t>other rf</t>
    <phoneticPr fontId="3" type="noConversion"/>
  </si>
  <si>
    <t>large demersal</t>
    <phoneticPr fontId="3" type="noConversion"/>
  </si>
  <si>
    <t>large demersal</t>
    <phoneticPr fontId="3" type="noConversion"/>
  </si>
  <si>
    <t>large demersal</t>
    <phoneticPr fontId="3" type="noConversion"/>
  </si>
  <si>
    <t>other rf</t>
    <phoneticPr fontId="3" type="noConversion"/>
  </si>
  <si>
    <t>small demersal</t>
    <phoneticPr fontId="3" type="noConversion"/>
  </si>
  <si>
    <t>small pelagic</t>
  </si>
  <si>
    <t>small pelagic</t>
    <phoneticPr fontId="3" type="noConversion"/>
  </si>
  <si>
    <t>small pelagic</t>
    <phoneticPr fontId="3" type="noConversion"/>
  </si>
  <si>
    <t xml:space="preserve"> </t>
    <phoneticPr fontId="3" type="noConversion"/>
  </si>
  <si>
    <t>Rockfish Biomass (kg/60m2)</t>
    <phoneticPr fontId="3" type="noConversion"/>
  </si>
  <si>
    <t>region</t>
    <phoneticPr fontId="3" type="noConversion"/>
  </si>
  <si>
    <t>location</t>
    <phoneticPr fontId="3" type="noConversion"/>
  </si>
  <si>
    <t>transect</t>
    <phoneticPr fontId="3" type="noConversion"/>
  </si>
  <si>
    <t>bs</t>
    <phoneticPr fontId="3" type="noConversion"/>
  </si>
  <si>
    <t>cs</t>
    <phoneticPr fontId="3" type="noConversion"/>
  </si>
  <si>
    <t>ks</t>
    <phoneticPr fontId="3" type="noConversion"/>
  </si>
  <si>
    <t>id</t>
    <phoneticPr fontId="3" type="noConversion"/>
  </si>
  <si>
    <t>gfi</t>
    <phoneticPr fontId="3" type="noConversion"/>
  </si>
  <si>
    <t>perch</t>
    <phoneticPr fontId="3" type="noConversion"/>
  </si>
  <si>
    <t>ts</t>
    <phoneticPr fontId="3" type="noConversion"/>
  </si>
  <si>
    <t>goby</t>
  </si>
  <si>
    <t>goby</t>
    <phoneticPr fontId="3" type="noConversion"/>
  </si>
  <si>
    <t>gunnel</t>
  </si>
  <si>
    <t>gunnel</t>
    <phoneticPr fontId="3" type="noConversion"/>
  </si>
  <si>
    <t>gunnel</t>
    <phoneticPr fontId="3" type="noConversion"/>
  </si>
  <si>
    <t>cabezon</t>
    <phoneticPr fontId="3" type="noConversion"/>
  </si>
  <si>
    <t>bil</t>
  </si>
  <si>
    <t>bil</t>
    <phoneticPr fontId="3" type="noConversion"/>
  </si>
  <si>
    <t>&lt;10cm (specify size)</t>
  </si>
  <si>
    <t>10-15cm</t>
  </si>
  <si>
    <t>15-20cm</t>
  </si>
  <si>
    <t>20-25cm</t>
  </si>
  <si>
    <t>25-30cm</t>
  </si>
  <si>
    <t>30-35cm</t>
  </si>
  <si>
    <t>bs</t>
    <phoneticPr fontId="3" type="noConversion"/>
  </si>
  <si>
    <t>cs</t>
    <phoneticPr fontId="3" type="noConversion"/>
  </si>
  <si>
    <t>ks</t>
    <phoneticPr fontId="3" type="noConversion"/>
  </si>
  <si>
    <t>kg</t>
    <phoneticPr fontId="3" type="noConversion"/>
  </si>
  <si>
    <t>kg stdev</t>
    <phoneticPr fontId="3" type="noConversion"/>
  </si>
  <si>
    <t>kg stderr</t>
    <phoneticPr fontId="3" type="noConversion"/>
  </si>
  <si>
    <t>perch</t>
    <phoneticPr fontId="3" type="noConversion"/>
  </si>
  <si>
    <t>stdev</t>
    <phoneticPr fontId="3" type="noConversion"/>
  </si>
  <si>
    <t>sterr</t>
    <phoneticPr fontId="3" type="noConversion"/>
  </si>
  <si>
    <t>adult rf</t>
    <phoneticPr fontId="3" type="noConversion"/>
  </si>
  <si>
    <t xml:space="preserve">stdev </t>
    <phoneticPr fontId="3" type="noConversion"/>
  </si>
  <si>
    <t>stderr</t>
    <phoneticPr fontId="3" type="noConversion"/>
  </si>
  <si>
    <t>Spring Island</t>
    <phoneticPr fontId="5" type="noConversion"/>
  </si>
  <si>
    <t>4 to 4.5</t>
    <phoneticPr fontId="5" type="noConversion"/>
  </si>
  <si>
    <t>6cm</t>
    <phoneticPr fontId="5" type="noConversion"/>
  </si>
  <si>
    <t>warbonnet</t>
    <phoneticPr fontId="3" type="noConversion"/>
  </si>
  <si>
    <t>kelpfish</t>
  </si>
  <si>
    <t>kelpfish</t>
    <phoneticPr fontId="3" type="noConversion"/>
  </si>
  <si>
    <t>ril</t>
  </si>
  <si>
    <t>ril</t>
    <phoneticPr fontId="3" type="noConversion"/>
  </si>
  <si>
    <t>adult biomass (g/180m3)</t>
    <phoneticPr fontId="3" type="noConversion"/>
  </si>
  <si>
    <t>Biomass (g per 180m3 (or g per 120m2?)</t>
    <phoneticPr fontId="3" type="noConversion"/>
  </si>
  <si>
    <t>StdDev of juv rf</t>
  </si>
  <si>
    <t>Biomass: grams/120m2</t>
    <phoneticPr fontId="3" type="noConversion"/>
  </si>
  <si>
    <t>Pelagic Reef Fishes (Ed Gregr model kg/m2)</t>
    <phoneticPr fontId="3" type="noConversion"/>
  </si>
  <si>
    <t>Other Demersal Reef Fish (Ed Gregr Food Web kg/m2)</t>
    <phoneticPr fontId="3" type="noConversion"/>
  </si>
  <si>
    <t>sand/cobble</t>
  </si>
  <si>
    <t>Crescent gunnel</t>
  </si>
  <si>
    <t>14cm</t>
  </si>
  <si>
    <t>50 x 5cm</t>
  </si>
  <si>
    <t>56 x 8cm</t>
  </si>
  <si>
    <t>18 x 4cm, 8cm, 8cm, 8cm</t>
  </si>
  <si>
    <t>Macrocystis integrifolia bed</t>
  </si>
  <si>
    <t>Black eye goby</t>
  </si>
  <si>
    <t>Coryphopterus nicholsi</t>
  </si>
  <si>
    <t>RGM + JCN</t>
  </si>
  <si>
    <t>RGM, JCN</t>
  </si>
  <si>
    <t>Sum of Biomass (g)2</t>
  </si>
  <si>
    <t>Thorton Island Total</t>
  </si>
  <si>
    <t>Black rockfish</t>
  </si>
  <si>
    <t>Sebastes melanops</t>
  </si>
  <si>
    <t>cm</t>
  </si>
  <si>
    <t>g</t>
  </si>
  <si>
    <t>Brown Irish Lord</t>
    <phoneticPr fontId="5" type="noConversion"/>
  </si>
  <si>
    <t>20 - 6 ft</t>
  </si>
  <si>
    <t>small demersal</t>
    <phoneticPr fontId="3" type="noConversion"/>
  </si>
  <si>
    <t>small pelagic</t>
    <phoneticPr fontId="3" type="noConversion"/>
  </si>
  <si>
    <t>large demersal</t>
    <phoneticPr fontId="3" type="noConversion"/>
  </si>
  <si>
    <t>Density of fish no recruits</t>
    <phoneticPr fontId="3" type="noConversion"/>
  </si>
  <si>
    <t>13cm</t>
  </si>
  <si>
    <t>11cm</t>
  </si>
  <si>
    <t>9, 8</t>
  </si>
  <si>
    <t>GLC021</t>
    <phoneticPr fontId="3" type="noConversion"/>
  </si>
  <si>
    <t>GLC022</t>
    <phoneticPr fontId="3" type="noConversion"/>
  </si>
  <si>
    <t>cape fanny</t>
    <phoneticPr fontId="3" type="noConversion"/>
  </si>
  <si>
    <t>region</t>
    <phoneticPr fontId="3" type="noConversion"/>
  </si>
  <si>
    <t>site</t>
    <phoneticPr fontId="3" type="noConversion"/>
  </si>
  <si>
    <t>species id</t>
    <phoneticPr fontId="3" type="noConversion"/>
  </si>
  <si>
    <t>species</t>
    <phoneticPr fontId="3" type="noConversion"/>
  </si>
  <si>
    <t>gh</t>
    <phoneticPr fontId="3" type="noConversion"/>
  </si>
  <si>
    <t>lc</t>
    <phoneticPr fontId="3" type="noConversion"/>
  </si>
  <si>
    <t>adultdensity</t>
    <phoneticPr fontId="3" type="noConversion"/>
  </si>
  <si>
    <t>brf_adult</t>
    <phoneticPr fontId="3" type="noConversion"/>
  </si>
  <si>
    <t>brf_total</t>
    <phoneticPr fontId="3" type="noConversion"/>
  </si>
  <si>
    <t>brf_adult</t>
    <phoneticPr fontId="3" type="noConversion"/>
  </si>
  <si>
    <t>crf_adult</t>
    <phoneticPr fontId="3" type="noConversion"/>
  </si>
  <si>
    <t>crf_total</t>
    <phoneticPr fontId="3" type="noConversion"/>
  </si>
  <si>
    <t>crf_juvenile</t>
    <phoneticPr fontId="3" type="noConversion"/>
  </si>
  <si>
    <t>brf_juvenile</t>
    <phoneticPr fontId="3" type="noConversion"/>
  </si>
  <si>
    <t>other rf adult</t>
    <phoneticPr fontId="3" type="noConversion"/>
  </si>
  <si>
    <t>Sculpin spp.2</t>
  </si>
  <si>
    <t>(blank)</t>
  </si>
  <si>
    <t>Kelp perch</t>
  </si>
  <si>
    <t>mm</t>
    <phoneticPr fontId="3" type="noConversion"/>
  </si>
  <si>
    <t>log(W)=3.19(logL)-5.29</t>
    <phoneticPr fontId="3" type="noConversion"/>
  </si>
  <si>
    <t>mm</t>
    <phoneticPr fontId="3" type="noConversion"/>
  </si>
  <si>
    <t>Wares 1968</t>
    <phoneticPr fontId="3" type="noConversion"/>
  </si>
  <si>
    <t>kg</t>
  </si>
  <si>
    <t>kg</t>
    <phoneticPr fontId="3" type="noConversion"/>
  </si>
  <si>
    <t>ts</t>
  </si>
  <si>
    <t>ts</t>
    <phoneticPr fontId="3" type="noConversion"/>
  </si>
  <si>
    <t>lc</t>
  </si>
  <si>
    <t>lc</t>
    <phoneticPr fontId="3" type="noConversion"/>
  </si>
  <si>
    <t>rf</t>
    <phoneticPr fontId="3" type="noConversion"/>
  </si>
  <si>
    <t>sculp</t>
  </si>
  <si>
    <t>sculp</t>
    <phoneticPr fontId="3" type="noConversion"/>
  </si>
  <si>
    <t>perch</t>
  </si>
  <si>
    <t>perch</t>
    <phoneticPr fontId="3" type="noConversion"/>
  </si>
  <si>
    <t>mg</t>
    <phoneticPr fontId="3" type="noConversion"/>
  </si>
  <si>
    <t>Kimmerer et al 2005 (pacific staghorn sculpin) sculpin)</t>
    <phoneticPr fontId="3" type="noConversion"/>
  </si>
  <si>
    <t>mm</t>
    <phoneticPr fontId="3" type="noConversion"/>
  </si>
  <si>
    <t>mg</t>
    <phoneticPr fontId="3" type="noConversion"/>
  </si>
  <si>
    <t>Kimmerer et al (yellowfin goby)</t>
    <phoneticPr fontId="3" type="noConversion"/>
  </si>
  <si>
    <t>49 x 7-8cm</t>
  </si>
  <si>
    <t>Chetarpe</t>
  </si>
  <si>
    <t>Chetarpe 1</t>
  </si>
  <si>
    <t>5.0-7.0</t>
  </si>
  <si>
    <t>adult rf</t>
    <phoneticPr fontId="3" type="noConversion"/>
  </si>
  <si>
    <t>juv rf</t>
    <phoneticPr fontId="3" type="noConversion"/>
  </si>
  <si>
    <t>other large demersal</t>
    <phoneticPr fontId="3" type="noConversion"/>
  </si>
  <si>
    <t>perch</t>
    <phoneticPr fontId="3" type="noConversion"/>
  </si>
  <si>
    <t>kelp greenling</t>
    <phoneticPr fontId="3" type="noConversion"/>
  </si>
  <si>
    <t>other rf juv</t>
    <phoneticPr fontId="3" type="noConversion"/>
  </si>
  <si>
    <t>other rf total</t>
    <phoneticPr fontId="3" type="noConversion"/>
  </si>
  <si>
    <t>crf_juv</t>
    <phoneticPr fontId="3" type="noConversion"/>
  </si>
  <si>
    <t>brf_total</t>
    <phoneticPr fontId="3" type="noConversion"/>
  </si>
  <si>
    <t>brf_juv</t>
    <phoneticPr fontId="3" type="noConversion"/>
  </si>
  <si>
    <t>crf</t>
    <phoneticPr fontId="3" type="noConversion"/>
  </si>
  <si>
    <t>mammal</t>
    <phoneticPr fontId="3" type="noConversion"/>
  </si>
  <si>
    <t>mammal</t>
    <phoneticPr fontId="3" type="noConversion"/>
  </si>
  <si>
    <t>small demersal</t>
    <phoneticPr fontId="3" type="noConversion"/>
  </si>
  <si>
    <t>crf</t>
    <phoneticPr fontId="3" type="noConversion"/>
  </si>
  <si>
    <t>crf</t>
    <phoneticPr fontId="3" type="noConversion"/>
  </si>
  <si>
    <t>warbonnet</t>
  </si>
  <si>
    <t>warbonnet</t>
    <phoneticPr fontId="3" type="noConversion"/>
  </si>
  <si>
    <t>cabezon</t>
    <phoneticPr fontId="3" type="noConversion"/>
  </si>
  <si>
    <t>painted green</t>
  </si>
  <si>
    <t>painted green</t>
    <phoneticPr fontId="3" type="noConversion"/>
  </si>
  <si>
    <t>LC</t>
  </si>
  <si>
    <t>BRF</t>
  </si>
  <si>
    <t>Sculpin spp.</t>
  </si>
  <si>
    <t>KGJ</t>
    <phoneticPr fontId="5" type="noConversion"/>
  </si>
  <si>
    <t>11, 12, 12, 13</t>
    <phoneticPr fontId="5" type="noConversion"/>
  </si>
  <si>
    <t>Kyuquot Sound</t>
    <phoneticPr fontId="5" type="noConversion"/>
  </si>
  <si>
    <t>Spring Island</t>
    <phoneticPr fontId="5" type="noConversion"/>
  </si>
  <si>
    <t>Kamils</t>
    <phoneticPr fontId="5" type="noConversion"/>
  </si>
  <si>
    <t>4 to 4.5</t>
    <phoneticPr fontId="5" type="noConversion"/>
  </si>
  <si>
    <t>13 x 6cm, 5 x 4cm</t>
    <phoneticPr fontId="5" type="noConversion"/>
  </si>
  <si>
    <t>Hemilepidotus hemilepidotus</t>
  </si>
  <si>
    <t>Sebastes nebulosus</t>
  </si>
  <si>
    <t>Pholis laeta</t>
  </si>
  <si>
    <t>Copper rockfish</t>
  </si>
  <si>
    <t>Sebastes caurinus</t>
  </si>
  <si>
    <t>Embiotica lateralis</t>
  </si>
  <si>
    <t>Surfperch</t>
  </si>
  <si>
    <t>Surfperch spp.</t>
  </si>
  <si>
    <t>Tube snout</t>
  </si>
  <si>
    <t>Silver surfperch</t>
  </si>
  <si>
    <t>Silver surfperch</t>
    <phoneticPr fontId="3" type="noConversion"/>
  </si>
  <si>
    <t>Silver surf perch</t>
    <phoneticPr fontId="3" type="noConversion"/>
  </si>
  <si>
    <t>Hyperprosopon ellipticum</t>
  </si>
  <si>
    <t>Silver surfperch</t>
    <phoneticPr fontId="3" type="noConversion"/>
  </si>
  <si>
    <t>George Fraser Island</t>
  </si>
  <si>
    <t>GFI</t>
  </si>
  <si>
    <t>4.5 to 6.5</t>
  </si>
  <si>
    <t>0-4m</t>
    <phoneticPr fontId="5" type="noConversion"/>
  </si>
  <si>
    <t>KGJ</t>
  </si>
  <si>
    <t>9, 9, 8</t>
  </si>
  <si>
    <t>0-4m</t>
    <phoneticPr fontId="5" type="noConversion"/>
  </si>
  <si>
    <t>shiner perch</t>
  </si>
  <si>
    <t>30 x ~10cm</t>
  </si>
  <si>
    <t>Painted greenling</t>
  </si>
  <si>
    <t>8, 8</t>
  </si>
  <si>
    <t>10, 10, 10</t>
  </si>
  <si>
    <t>12cm, plus 16 count</t>
  </si>
  <si>
    <t>Lane &amp; Hill 1975, eds. The Marine resources of Anaheim Bay; Odenweller : Shiner perch</t>
    <phoneticPr fontId="3" type="noConversion"/>
  </si>
  <si>
    <t>Wares 1968 (PILE PERCH)</t>
    <phoneticPr fontId="3" type="noConversion"/>
  </si>
  <si>
    <t>CRF</t>
    <phoneticPr fontId="3" type="noConversion"/>
  </si>
  <si>
    <t>Sum of Biomass (kg per 180m3)</t>
  </si>
  <si>
    <t>brf</t>
  </si>
  <si>
    <t>brf</t>
    <phoneticPr fontId="3" type="noConversion"/>
  </si>
  <si>
    <t>group2</t>
    <phoneticPr fontId="3" type="noConversion"/>
  </si>
  <si>
    <t>group1</t>
  </si>
  <si>
    <t>sephaines</t>
    <phoneticPr fontId="3" type="noConversion"/>
  </si>
  <si>
    <t>bartshot</t>
    <phoneticPr fontId="3" type="noConversion"/>
  </si>
  <si>
    <t>lac</t>
    <phoneticPr fontId="3" type="noConversion"/>
  </si>
  <si>
    <t>chetarpe</t>
    <phoneticPr fontId="3" type="noConversion"/>
  </si>
  <si>
    <t>grassy</t>
    <phoneticPr fontId="3" type="noConversion"/>
  </si>
  <si>
    <t>mortons</t>
    <phoneticPr fontId="3" type="noConversion"/>
  </si>
  <si>
    <t>spring</t>
    <phoneticPr fontId="3" type="noConversion"/>
  </si>
  <si>
    <t>group1</t>
    <phoneticPr fontId="3" type="noConversion"/>
  </si>
  <si>
    <t>rf</t>
    <phoneticPr fontId="3" type="noConversion"/>
  </si>
  <si>
    <t>small demersal</t>
  </si>
  <si>
    <t>small demersal</t>
    <phoneticPr fontId="3" type="noConversion"/>
  </si>
  <si>
    <t>crf</t>
  </si>
  <si>
    <t>Pile Perch</t>
  </si>
  <si>
    <t>Thornton Island</t>
  </si>
  <si>
    <t>Morton</t>
  </si>
  <si>
    <t>6 to 8</t>
  </si>
  <si>
    <t>Rockfish recruit</t>
  </si>
  <si>
    <t>Could be CRF</t>
  </si>
  <si>
    <t>8 to 6</t>
  </si>
  <si>
    <t>1 x 9 cm</t>
  </si>
  <si>
    <t>1 x 55cm</t>
  </si>
  <si>
    <t>Barkley Sound</t>
  </si>
  <si>
    <t>Prasiola Pt</t>
  </si>
  <si>
    <t>5 to 6</t>
  </si>
  <si>
    <t>100 x 10cm</t>
  </si>
  <si>
    <t>Execution</t>
  </si>
  <si>
    <t>greenling juvenile (Kelp or white spotted)</t>
  </si>
  <si>
    <t>check with stefan</t>
  </si>
  <si>
    <t>padded sculpin</t>
  </si>
  <si>
    <t>Grunt Sculpin</t>
  </si>
  <si>
    <t>13 x 3 cm</t>
  </si>
  <si>
    <t>mm</t>
    <phoneticPr fontId="3" type="noConversion"/>
  </si>
  <si>
    <t>g</t>
    <phoneticPr fontId="3" type="noConversion"/>
  </si>
  <si>
    <t>REF</t>
    <phoneticPr fontId="3" type="noConversion"/>
  </si>
  <si>
    <t>fishbase</t>
    <phoneticPr fontId="3" type="noConversion"/>
  </si>
  <si>
    <t>Bluestone/Prasiola/Execution</t>
  </si>
  <si>
    <t>Bluestone</t>
  </si>
  <si>
    <t>7, 8</t>
  </si>
  <si>
    <t>50cm</t>
  </si>
  <si>
    <t>8, 7, 8</t>
  </si>
  <si>
    <t>8 x 4cm</t>
  </si>
  <si>
    <t>prasexe</t>
    <phoneticPr fontId="3" type="noConversion"/>
  </si>
  <si>
    <t>total rf</t>
    <phoneticPr fontId="3" type="noConversion"/>
  </si>
  <si>
    <t>3; 10cm</t>
  </si>
  <si>
    <t>unidentified kelp fish</t>
  </si>
  <si>
    <t>6cm</t>
  </si>
  <si>
    <t>Shot</t>
  </si>
  <si>
    <t>LAC</t>
  </si>
  <si>
    <t>LAC1 DOM 11</t>
  </si>
  <si>
    <t>Red Irish Lord</t>
  </si>
  <si>
    <t>5-6.5</t>
  </si>
  <si>
    <t>LAC 2 Salmon Alley</t>
  </si>
  <si>
    <t>pipefish</t>
  </si>
  <si>
    <t>27 x 5cm</t>
  </si>
  <si>
    <t>27 x 2</t>
  </si>
  <si>
    <t>24 x 4cm, 3cm</t>
  </si>
  <si>
    <t>11cm, 10cm</t>
  </si>
  <si>
    <t>10, 14, 14, 12</t>
  </si>
  <si>
    <t>Fish Names</t>
  </si>
  <si>
    <t>Abbreviation</t>
  </si>
  <si>
    <t>Name</t>
  </si>
  <si>
    <t>Species</t>
  </si>
  <si>
    <t>a</t>
  </si>
  <si>
    <t>b</t>
  </si>
  <si>
    <t>Length</t>
  </si>
  <si>
    <t>Weight</t>
  </si>
  <si>
    <t>Scalyhead Sculpin</t>
  </si>
  <si>
    <t>Spring Island</t>
    <phoneticPr fontId="7" type="noConversion"/>
  </si>
  <si>
    <t>Kamils</t>
    <phoneticPr fontId="7" type="noConversion"/>
  </si>
  <si>
    <t>BH + JCN + SCK</t>
  </si>
  <si>
    <t>LAC 1</t>
  </si>
  <si>
    <t>SK, JCN</t>
  </si>
  <si>
    <t>c</t>
  </si>
  <si>
    <t>RGM, AC</t>
  </si>
  <si>
    <t>Grassy</t>
  </si>
  <si>
    <t>CS</t>
  </si>
  <si>
    <t>CS</t>
    <phoneticPr fontId="3" type="noConversion"/>
  </si>
  <si>
    <t>BS</t>
  </si>
  <si>
    <t>BS</t>
    <phoneticPr fontId="3" type="noConversion"/>
  </si>
  <si>
    <t>Site</t>
    <phoneticPr fontId="3" type="noConversion"/>
  </si>
  <si>
    <t>Warbonnet</t>
  </si>
  <si>
    <t>Kyuquot Sound</t>
    <phoneticPr fontId="5" type="noConversion"/>
  </si>
  <si>
    <t>Spring Island</t>
    <phoneticPr fontId="5" type="noConversion"/>
  </si>
  <si>
    <t>Kamils</t>
    <phoneticPr fontId="5" type="noConversion"/>
  </si>
  <si>
    <t>SJD</t>
    <phoneticPr fontId="5" type="noConversion"/>
  </si>
  <si>
    <t>5 to 4</t>
    <phoneticPr fontId="5" type="noConversion"/>
  </si>
  <si>
    <t>11, 10, 12, 11, 12, 10, 14</t>
  </si>
  <si>
    <t>4.5m-5m</t>
  </si>
  <si>
    <t>7, 7, 7, 8, 9</t>
  </si>
  <si>
    <t>Blue/Pras/Ex</t>
    <phoneticPr fontId="5" type="noConversion"/>
  </si>
  <si>
    <t>CRF Biomass</t>
    <phoneticPr fontId="3" type="noConversion"/>
  </si>
  <si>
    <t xml:space="preserve">SD </t>
    <phoneticPr fontId="3" type="noConversion"/>
  </si>
  <si>
    <t>SE</t>
    <phoneticPr fontId="3" type="noConversion"/>
  </si>
  <si>
    <t>StdDev of CRF Biomass</t>
  </si>
  <si>
    <t>0-4m</t>
    <phoneticPr fontId="5" type="noConversion"/>
  </si>
  <si>
    <t>13, 11, 12, 16 x 10cm</t>
  </si>
  <si>
    <t>Kamils</t>
    <phoneticPr fontId="5" type="noConversion"/>
  </si>
  <si>
    <t>SJD</t>
    <phoneticPr fontId="5" type="noConversion"/>
  </si>
  <si>
    <t>lc</t>
    <phoneticPr fontId="3" type="noConversion"/>
  </si>
  <si>
    <t>weight (kg)</t>
    <phoneticPr fontId="3" type="noConversion"/>
  </si>
  <si>
    <t>length (cm)</t>
    <phoneticPr fontId="3" type="noConversion"/>
  </si>
  <si>
    <t>weight (g)</t>
    <phoneticPr fontId="3" type="noConversion"/>
  </si>
  <si>
    <t>a</t>
    <phoneticPr fontId="3" type="noConversion"/>
  </si>
  <si>
    <t>b</t>
    <phoneticPr fontId="3" type="noConversion"/>
  </si>
  <si>
    <t>KGM</t>
    <phoneticPr fontId="5" type="noConversion"/>
  </si>
  <si>
    <t>Kamils</t>
    <phoneticPr fontId="5" type="noConversion"/>
  </si>
  <si>
    <t>SJD</t>
    <phoneticPr fontId="5" type="noConversion"/>
  </si>
  <si>
    <t>4 to 4.5</t>
    <phoneticPr fontId="5" type="noConversion"/>
  </si>
  <si>
    <t>Chetarpe Total</t>
  </si>
  <si>
    <t>Blue rf</t>
  </si>
  <si>
    <t>unidentified rockfish</t>
  </si>
  <si>
    <t>MS</t>
  </si>
  <si>
    <t>KG</t>
  </si>
  <si>
    <t>(blank) Total</t>
  </si>
  <si>
    <t>KG Biomass</t>
    <phoneticPr fontId="3" type="noConversion"/>
  </si>
  <si>
    <t>30 x 2</t>
    <phoneticPr fontId="5" type="noConversion"/>
  </si>
  <si>
    <t>0-4m</t>
    <phoneticPr fontId="5" type="noConversion"/>
  </si>
  <si>
    <t>KGF</t>
    <phoneticPr fontId="5" type="noConversion"/>
  </si>
  <si>
    <t>Kyuquot Sound</t>
    <phoneticPr fontId="5" type="noConversion"/>
  </si>
  <si>
    <t>Spring Island</t>
    <phoneticPr fontId="5" type="noConversion"/>
  </si>
  <si>
    <t>SJD</t>
    <phoneticPr fontId="5" type="noConversion"/>
  </si>
  <si>
    <t>4 to 4.5</t>
    <phoneticPr fontId="5" type="noConversion"/>
  </si>
  <si>
    <t>2; 4 x 10cm</t>
  </si>
  <si>
    <t>Kamils</t>
    <phoneticPr fontId="5" type="noConversion"/>
  </si>
  <si>
    <t>date</t>
  </si>
  <si>
    <t>region</t>
  </si>
  <si>
    <t>location</t>
  </si>
  <si>
    <t>site</t>
  </si>
  <si>
    <t>Diver</t>
  </si>
  <si>
    <t>Visibility (ft)</t>
  </si>
  <si>
    <t>Depth (m)</t>
  </si>
  <si>
    <t>transect #</t>
  </si>
  <si>
    <t>Length of Transect (m)</t>
  </si>
  <si>
    <t>Transect Level</t>
  </si>
  <si>
    <t>Fish taxa</t>
    <phoneticPr fontId="5" type="noConversion"/>
  </si>
  <si>
    <t>Blue rf</t>
    <phoneticPr fontId="5" type="noConversion"/>
  </si>
  <si>
    <t>9 x 14cm</t>
    <phoneticPr fontId="5" type="noConversion"/>
  </si>
  <si>
    <t>8.5 to 9</t>
    <phoneticPr fontId="5" type="noConversion"/>
  </si>
  <si>
    <t>12, 10, 10, 11</t>
    <phoneticPr fontId="5" type="noConversion"/>
  </si>
  <si>
    <t>35-40cm</t>
  </si>
  <si>
    <t>40-45cm</t>
  </si>
  <si>
    <t>45-50cm</t>
  </si>
  <si>
    <t>&gt;50cm (specify size)</t>
  </si>
  <si>
    <t>Notes</t>
  </si>
  <si>
    <t>Kyuquot</t>
  </si>
  <si>
    <t>Grassy Island</t>
  </si>
  <si>
    <t>KGI1</t>
  </si>
  <si>
    <t>SJD</t>
  </si>
  <si>
    <t>5.5-6.5</t>
  </si>
  <si>
    <t>30 x 2</t>
  </si>
  <si>
    <t>0-4m</t>
  </si>
  <si>
    <t>KGF</t>
  </si>
  <si>
    <t>TS</t>
  </si>
  <si>
    <t>5 x 2 cm</t>
  </si>
  <si>
    <t>KGM</t>
  </si>
  <si>
    <t>KGF</t>
    <phoneticPr fontId="5" type="noConversion"/>
  </si>
  <si>
    <t>Vermillion rockfish</t>
    <phoneticPr fontId="5" type="noConversion"/>
  </si>
  <si>
    <t>3 x 11cm</t>
    <phoneticPr fontId="5" type="noConversion"/>
  </si>
  <si>
    <t>Grassy Island</t>
    <phoneticPr fontId="5" type="noConversion"/>
  </si>
  <si>
    <t>Grassy 4</t>
    <phoneticPr fontId="5" type="noConversion"/>
  </si>
  <si>
    <t>SJD</t>
    <phoneticPr fontId="5" type="noConversion"/>
  </si>
  <si>
    <t>4 to 4.5</t>
    <phoneticPr fontId="5" type="noConversion"/>
  </si>
  <si>
    <t>30 x 2</t>
    <phoneticPr fontId="5" type="noConversion"/>
  </si>
  <si>
    <t>Synchirus giili</t>
  </si>
  <si>
    <t>Padded sculpin</t>
  </si>
  <si>
    <t>Artedius fenestralis</t>
  </si>
  <si>
    <t>Oxylebius pictus</t>
  </si>
  <si>
    <t>Apodichthys flavidus</t>
  </si>
  <si>
    <t>Rhacochilus vacca (Damalichthys vacca)</t>
  </si>
  <si>
    <t>Pipefish</t>
  </si>
  <si>
    <t>Syngnathus griseolineatus</t>
  </si>
  <si>
    <t>Sep-Haines</t>
    <phoneticPr fontId="3" type="noConversion"/>
  </si>
  <si>
    <t>Stdev</t>
    <phoneticPr fontId="3" type="noConversion"/>
  </si>
  <si>
    <t>China rockfish</t>
  </si>
  <si>
    <t>15 to 20</t>
    <phoneticPr fontId="3" type="noConversion"/>
  </si>
  <si>
    <t>20 to 25</t>
  </si>
  <si>
    <t>20 to 25</t>
    <phoneticPr fontId="3" type="noConversion"/>
  </si>
  <si>
    <t>25 to 30</t>
  </si>
  <si>
    <t>Gibbonsia spp.</t>
  </si>
  <si>
    <t>Kelp fish</t>
  </si>
  <si>
    <t>Goby</t>
  </si>
  <si>
    <t>Goby spp.</t>
  </si>
  <si>
    <t>Aulorhynchus flavidus</t>
  </si>
  <si>
    <t>SJD</t>
    <phoneticPr fontId="5" type="noConversion"/>
  </si>
  <si>
    <t>4 to 4.5</t>
    <phoneticPr fontId="5" type="noConversion"/>
  </si>
  <si>
    <t>30 x 2</t>
    <phoneticPr fontId="5" type="noConversion"/>
  </si>
  <si>
    <t>0-4m</t>
    <phoneticPr fontId="5" type="noConversion"/>
  </si>
  <si>
    <t>LC</t>
    <phoneticPr fontId="5" type="noConversion"/>
  </si>
  <si>
    <t>Kyuquot Sound</t>
    <phoneticPr fontId="5" type="noConversion"/>
  </si>
  <si>
    <t>2 x 10cm</t>
  </si>
  <si>
    <t>0-4m</t>
    <phoneticPr fontId="5" type="noConversion"/>
  </si>
  <si>
    <t>Mosshead warbonnet</t>
  </si>
  <si>
    <t>10cm</t>
  </si>
  <si>
    <t>cabezon</t>
  </si>
  <si>
    <t>55cm</t>
  </si>
  <si>
    <t>longfin Sculpin</t>
  </si>
  <si>
    <t>6, 3, 6, 3</t>
  </si>
  <si>
    <t>6m</t>
  </si>
  <si>
    <t>8, 9</t>
  </si>
  <si>
    <t>0-4m</t>
    <phoneticPr fontId="5" type="noConversion"/>
  </si>
  <si>
    <t>7 to 7.5</t>
    <phoneticPr fontId="5" type="noConversion"/>
  </si>
  <si>
    <t>12, 12, 12, 24 x 11cm, 10, 10, 10, 10</t>
  </si>
  <si>
    <t>China RF</t>
    <phoneticPr fontId="5" type="noConversion"/>
  </si>
  <si>
    <t>YTR</t>
  </si>
  <si>
    <t>20 x 13cm</t>
  </si>
  <si>
    <t>7, 8, 8, 8, 8, 9</t>
  </si>
  <si>
    <t>Seppings-Haines</t>
  </si>
  <si>
    <t>SepHaines</t>
  </si>
  <si>
    <t>4m-3.5m</t>
  </si>
  <si>
    <t>18cm</t>
    <phoneticPr fontId="5" type="noConversion"/>
  </si>
  <si>
    <t>Kyuquot Sound</t>
    <phoneticPr fontId="5" type="noConversion"/>
  </si>
  <si>
    <t>CS</t>
    <phoneticPr fontId="5" type="noConversion"/>
  </si>
  <si>
    <t>Bart/Shot</t>
    <phoneticPr fontId="5" type="noConversion"/>
  </si>
  <si>
    <t>3, 4, 3, 3, 4</t>
    <phoneticPr fontId="5" type="noConversion"/>
  </si>
  <si>
    <t>Kyuquot Sound</t>
    <phoneticPr fontId="5" type="noConversion"/>
  </si>
  <si>
    <t>Grassy Island</t>
    <phoneticPr fontId="5" type="noConversion"/>
  </si>
  <si>
    <t>Grassy</t>
    <phoneticPr fontId="5" type="noConversion"/>
  </si>
  <si>
    <t>SJD</t>
    <phoneticPr fontId="5" type="noConversion"/>
  </si>
  <si>
    <t>6 to 5</t>
    <phoneticPr fontId="5" type="noConversion"/>
  </si>
  <si>
    <t>0-4m</t>
    <phoneticPr fontId="5" type="noConversion"/>
  </si>
  <si>
    <t>KGF</t>
    <phoneticPr fontId="5" type="noConversion"/>
  </si>
  <si>
    <t>KGM</t>
    <phoneticPr fontId="5" type="noConversion"/>
  </si>
  <si>
    <t>KGJ</t>
    <phoneticPr fontId="5" type="noConversion"/>
  </si>
  <si>
    <t>12cm</t>
    <phoneticPr fontId="5" type="noConversion"/>
  </si>
  <si>
    <t>Red Irish Lord</t>
    <phoneticPr fontId="5" type="noConversion"/>
  </si>
  <si>
    <t>18cm</t>
    <phoneticPr fontId="5" type="noConversion"/>
  </si>
  <si>
    <t>4.5 to 5</t>
    <phoneticPr fontId="5" type="noConversion"/>
  </si>
  <si>
    <t>12, 13, 12; 75 x 11-12cm; 7 x 13-14cm</t>
  </si>
  <si>
    <t>3 count; 18cm, 25cm</t>
    <phoneticPr fontId="5" type="noConversion"/>
  </si>
  <si>
    <t>10, 12, 10, 10, 10</t>
  </si>
  <si>
    <t>BEG</t>
  </si>
  <si>
    <t>12cm</t>
  </si>
  <si>
    <t>8, 9, 8</t>
  </si>
  <si>
    <t>20cm</t>
  </si>
  <si>
    <t>9cm</t>
  </si>
  <si>
    <t>8cm</t>
  </si>
  <si>
    <t>Penpoint gunnel</t>
  </si>
  <si>
    <t>26cm</t>
  </si>
  <si>
    <t>14, 14, 14, 12</t>
  </si>
  <si>
    <t>13 x 3-4cm</t>
  </si>
  <si>
    <t>4, 5, 15 x 4cm</t>
  </si>
  <si>
    <t>Spring 5</t>
    <phoneticPr fontId="5" type="noConversion"/>
  </si>
  <si>
    <t>24 x 12cm</t>
    <phoneticPr fontId="5" type="noConversion"/>
  </si>
  <si>
    <t>8cm</t>
    <phoneticPr fontId="5" type="noConversion"/>
  </si>
  <si>
    <t>Brown Irish Lord</t>
  </si>
  <si>
    <t>45cm</t>
  </si>
  <si>
    <t>7cm</t>
  </si>
  <si>
    <t>Clayquot Sound</t>
  </si>
  <si>
    <t>Bartlett/Shot</t>
  </si>
  <si>
    <t>Bartlett</t>
  </si>
  <si>
    <t>RGM</t>
  </si>
  <si>
    <t>17 x 5cm, 11 x 8cm</t>
  </si>
  <si>
    <t>not in transect CRF 2 x ~35cm</t>
  </si>
  <si>
    <t>16 x 8cm, 48 x 5cm</t>
  </si>
  <si>
    <t>KG</t>
    <phoneticPr fontId="5" type="noConversion"/>
  </si>
  <si>
    <t>13, 12, 13</t>
    <phoneticPr fontId="5" type="noConversion"/>
  </si>
  <si>
    <t>Smurf 4</t>
  </si>
  <si>
    <t>28ft-27ft</t>
  </si>
  <si>
    <t>8 x 3-4cm, 29 x 4cm, 5, 6 x 4-5cm</t>
  </si>
  <si>
    <t>12, 10, 12, 15</t>
  </si>
  <si>
    <t>13cm, 12cm, 5 count</t>
  </si>
  <si>
    <t>~30 x 3-5cm</t>
  </si>
  <si>
    <t>Kyuquot Sound</t>
    <phoneticPr fontId="7" type="noConversion"/>
  </si>
  <si>
    <t>Spring Island</t>
    <phoneticPr fontId="7" type="noConversion"/>
  </si>
  <si>
    <t>Kamils</t>
    <phoneticPr fontId="7" type="noConversion"/>
  </si>
  <si>
    <t>Check species in fishbook</t>
    <phoneticPr fontId="7" type="noConversion"/>
  </si>
  <si>
    <t>JCN + MM</t>
  </si>
  <si>
    <t>MM, JCN</t>
  </si>
  <si>
    <t>SCK + BH</t>
  </si>
  <si>
    <t>SCK, BH</t>
  </si>
  <si>
    <t>JCN</t>
  </si>
  <si>
    <t>JCN, MM</t>
  </si>
  <si>
    <t>JJ + SCK</t>
  </si>
  <si>
    <t>JJ, SCK</t>
  </si>
  <si>
    <t>SCK, JJ</t>
  </si>
  <si>
    <t>JCN + SCK</t>
  </si>
  <si>
    <t>SCK, JCN</t>
  </si>
  <si>
    <t>JJ + SF</t>
  </si>
  <si>
    <t>JJ</t>
  </si>
  <si>
    <t>JJ, SF</t>
  </si>
  <si>
    <t>JCN, SCK</t>
  </si>
  <si>
    <t>spring</t>
    <phoneticPr fontId="3" type="noConversion"/>
  </si>
  <si>
    <t>cs</t>
    <phoneticPr fontId="3" type="noConversion"/>
  </si>
  <si>
    <t>Vermillion rockfish</t>
  </si>
  <si>
    <t>12, 12, 12</t>
    <phoneticPr fontId="5" type="noConversion"/>
  </si>
  <si>
    <t>Count</t>
    <phoneticPr fontId="3" type="noConversion"/>
  </si>
  <si>
    <t>Chirolophis spp.</t>
  </si>
  <si>
    <t>YTR</t>
    <phoneticPr fontId="5" type="noConversion"/>
  </si>
  <si>
    <t>Hemilepidotus spinosus</t>
  </si>
  <si>
    <t>Scorpaenichthys marmoratus</t>
  </si>
  <si>
    <t>30 x 2</t>
    <phoneticPr fontId="5" type="noConversion"/>
  </si>
  <si>
    <t>0-4m</t>
    <phoneticPr fontId="5" type="noConversion"/>
  </si>
  <si>
    <t>KGF</t>
    <phoneticPr fontId="5" type="noConversion"/>
  </si>
  <si>
    <t>Kyuquot Sound</t>
    <phoneticPr fontId="5" type="noConversion"/>
  </si>
  <si>
    <t>Kamils</t>
    <phoneticPr fontId="5" type="noConversion"/>
  </si>
  <si>
    <t>20 x 12cm</t>
  </si>
  <si>
    <t>10, 10, 11, 10, 10, 11, 10</t>
  </si>
  <si>
    <t>30 x 2</t>
    <phoneticPr fontId="5" type="noConversion"/>
  </si>
  <si>
    <t>MS</t>
    <phoneticPr fontId="5" type="noConversion"/>
  </si>
  <si>
    <t>5, 5</t>
    <phoneticPr fontId="5" type="noConversion"/>
  </si>
  <si>
    <t>Kamils</t>
    <phoneticPr fontId="5" type="noConversion"/>
  </si>
  <si>
    <t>SJD</t>
    <phoneticPr fontId="5" type="noConversion"/>
  </si>
  <si>
    <t>5 to 4</t>
    <phoneticPr fontId="5" type="noConversion"/>
  </si>
  <si>
    <t>30 x 2</t>
    <phoneticPr fontId="5" type="noConversion"/>
  </si>
  <si>
    <t>1 count; 27cm</t>
    <phoneticPr fontId="5" type="noConversion"/>
  </si>
  <si>
    <t>Kelp perch</t>
    <phoneticPr fontId="5" type="noConversion"/>
  </si>
  <si>
    <t>6, 7</t>
    <phoneticPr fontId="5" type="noConversion"/>
  </si>
  <si>
    <t>TS</t>
    <phoneticPr fontId="5" type="noConversion"/>
  </si>
  <si>
    <t>TS</t>
    <phoneticPr fontId="5" type="noConversion"/>
  </si>
  <si>
    <t>24 x 4cm</t>
    <phoneticPr fontId="5" type="noConversion"/>
  </si>
  <si>
    <t>4 to 4.5</t>
    <phoneticPr fontId="5" type="noConversion"/>
  </si>
  <si>
    <t>Kamils</t>
    <phoneticPr fontId="5" type="noConversion"/>
  </si>
  <si>
    <t>George Fraser Island Total</t>
  </si>
  <si>
    <t>SD</t>
    <phoneticPr fontId="3" type="noConversion"/>
  </si>
  <si>
    <t>1 x 9cm</t>
    <phoneticPr fontId="5" type="noConversion"/>
  </si>
  <si>
    <t>1 x 11cm</t>
    <phoneticPr fontId="5" type="noConversion"/>
  </si>
  <si>
    <t>BRF</t>
    <phoneticPr fontId="5" type="noConversion"/>
  </si>
  <si>
    <t>1 x 11cm; 2 x 12cm</t>
  </si>
  <si>
    <t>Warbonnet</t>
    <phoneticPr fontId="5" type="noConversion"/>
  </si>
  <si>
    <t>Mortons</t>
    <phoneticPr fontId="5" type="noConversion"/>
  </si>
  <si>
    <t>Morton</t>
    <phoneticPr fontId="5" type="noConversion"/>
  </si>
  <si>
    <t>7 to 6</t>
    <phoneticPr fontId="5" type="noConversion"/>
  </si>
  <si>
    <t>12, 12, 4 x 15cm, 23 x 12cm, 8 x 13cm, 12, 12, 60 x 10-13cm</t>
  </si>
  <si>
    <t>Mortons</t>
    <phoneticPr fontId="5" type="noConversion"/>
  </si>
  <si>
    <t>7, 7</t>
    <phoneticPr fontId="5" type="noConversion"/>
  </si>
  <si>
    <t>60cm</t>
    <phoneticPr fontId="5" type="noConversion"/>
  </si>
  <si>
    <t>6 to 7.5</t>
    <phoneticPr fontId="5" type="noConversion"/>
  </si>
  <si>
    <t>35 x 12cm, 150 x 12cm, 13, 14, 13, 13, 14</t>
    <phoneticPr fontId="5" type="noConversion"/>
  </si>
  <si>
    <t>2 plus 1 x 15cm</t>
    <phoneticPr fontId="5" type="noConversion"/>
  </si>
  <si>
    <t>13cm</t>
    <phoneticPr fontId="5" type="noConversion"/>
  </si>
  <si>
    <t>4, 4</t>
    <phoneticPr fontId="5" type="noConversion"/>
  </si>
  <si>
    <t>China RF</t>
    <phoneticPr fontId="5" type="noConversion"/>
  </si>
  <si>
    <t>Painted greenling</t>
    <phoneticPr fontId="5" type="noConversion"/>
  </si>
  <si>
    <t>Kelp perch</t>
    <phoneticPr fontId="5" type="noConversion"/>
  </si>
  <si>
    <t>Brachyistius frenatus</t>
  </si>
  <si>
    <t>KG</t>
    <phoneticPr fontId="5" type="noConversion"/>
  </si>
  <si>
    <t>Kelp greenling</t>
  </si>
  <si>
    <t>Hexagrammos decagrammos</t>
  </si>
  <si>
    <t>8.5 to 9</t>
  </si>
  <si>
    <t>65cm</t>
    <phoneticPr fontId="5" type="noConversion"/>
  </si>
  <si>
    <t>Morton</t>
    <phoneticPr fontId="5" type="noConversion"/>
  </si>
  <si>
    <t>15, 15</t>
    <phoneticPr fontId="5" type="noConversion"/>
  </si>
  <si>
    <t>KGM</t>
    <phoneticPr fontId="5" type="noConversion"/>
  </si>
  <si>
    <t>5, 4, 4</t>
    <phoneticPr fontId="5" type="noConversion"/>
  </si>
  <si>
    <t>unidentified rockfish</t>
    <phoneticPr fontId="5" type="noConversion"/>
  </si>
  <si>
    <t>6cm</t>
    <phoneticPr fontId="5" type="noConversion"/>
  </si>
  <si>
    <t>Ophiodon elongatus</t>
  </si>
  <si>
    <t>Longfin gunnel</t>
  </si>
  <si>
    <t>Pholis clemensi</t>
  </si>
  <si>
    <t>Longfin Sculpin</t>
  </si>
  <si>
    <t>Jordania zonope</t>
  </si>
  <si>
    <t>Chirolophis nugator</t>
  </si>
  <si>
    <t>MS</t>
    <phoneticPr fontId="5" type="noConversion"/>
  </si>
  <si>
    <t>Manacled sculpin</t>
  </si>
  <si>
    <t>size</t>
    <phoneticPr fontId="3" type="noConversion"/>
  </si>
  <si>
    <t>bs</t>
  </si>
  <si>
    <t>gfi</t>
  </si>
  <si>
    <t>prasexe</t>
  </si>
  <si>
    <t>sephaines</t>
  </si>
  <si>
    <t>bs Total</t>
  </si>
  <si>
    <t>cs</t>
  </si>
  <si>
    <t>bartshot</t>
  </si>
  <si>
    <t>chetarpe</t>
  </si>
  <si>
    <t>lac</t>
  </si>
  <si>
    <t>cs Total</t>
  </si>
  <si>
    <t>ks</t>
  </si>
  <si>
    <t>grassy</t>
  </si>
  <si>
    <t>mortons</t>
  </si>
  <si>
    <t>spring</t>
  </si>
  <si>
    <t>ks Total</t>
  </si>
  <si>
    <t>region</t>
    <phoneticPr fontId="3" type="noConversion"/>
  </si>
  <si>
    <t>location</t>
    <phoneticPr fontId="3" type="noConversion"/>
  </si>
  <si>
    <t>small pelagic</t>
    <phoneticPr fontId="3" type="noConversion"/>
  </si>
  <si>
    <t>biomass tons per km2</t>
    <phoneticPr fontId="3" type="noConversion"/>
  </si>
  <si>
    <t>area</t>
    <phoneticPr fontId="3" type="noConversion"/>
  </si>
  <si>
    <t>10 to 15</t>
    <phoneticPr fontId="3" type="noConversion"/>
  </si>
  <si>
    <t>15 to 20</t>
  </si>
  <si>
    <t>cm</t>
    <phoneticPr fontId="3" type="noConversion"/>
  </si>
  <si>
    <t>g</t>
    <phoneticPr fontId="3" type="noConversion"/>
  </si>
  <si>
    <t>Fishbase - Sebastes pinnegar</t>
    <phoneticPr fontId="3" type="noConversion"/>
  </si>
  <si>
    <t>Sebastes pinnegar</t>
    <phoneticPr fontId="3" type="noConversion"/>
  </si>
  <si>
    <t>unidentified rockfish</t>
    <phoneticPr fontId="5" type="noConversion"/>
  </si>
  <si>
    <t>Sebastes miniatus</t>
  </si>
  <si>
    <t>Spring Island</t>
    <phoneticPr fontId="5" type="noConversion"/>
  </si>
  <si>
    <t>Kamils</t>
    <phoneticPr fontId="5" type="noConversion"/>
  </si>
  <si>
    <t>SJD</t>
    <phoneticPr fontId="5" type="noConversion"/>
  </si>
  <si>
    <t>8 to 7</t>
    <phoneticPr fontId="5" type="noConversion"/>
  </si>
  <si>
    <t>0-4m</t>
    <phoneticPr fontId="5" type="noConversion"/>
  </si>
  <si>
    <t>0-4m</t>
    <phoneticPr fontId="5" type="noConversion"/>
  </si>
  <si>
    <t>8, 5, 4, 3, 3, 3</t>
  </si>
  <si>
    <t>Hexagrammos spp.</t>
  </si>
  <si>
    <t>Rhamphocottus richardsoni</t>
  </si>
  <si>
    <t>Grunt-like Sculpin</t>
  </si>
  <si>
    <t>Gunnel</t>
  </si>
  <si>
    <t>Gunnel spp.</t>
  </si>
  <si>
    <t>9, 9, 9, 15 x 5cm</t>
  </si>
  <si>
    <t>30 x 10cm</t>
  </si>
  <si>
    <t>8 to 7</t>
    <phoneticPr fontId="5" type="noConversion"/>
  </si>
  <si>
    <t>KGF</t>
    <phoneticPr fontId="5" type="noConversion"/>
  </si>
  <si>
    <t>KGJ</t>
    <phoneticPr fontId="5" type="noConversion"/>
  </si>
  <si>
    <t>KGM</t>
    <phoneticPr fontId="5" type="noConversion"/>
  </si>
  <si>
    <t>7cm</t>
    <phoneticPr fontId="5" type="noConversion"/>
  </si>
  <si>
    <t>10cm</t>
    <phoneticPr fontId="5" type="noConversion"/>
  </si>
  <si>
    <t>Brown Irish Lord</t>
    <phoneticPr fontId="5" type="noConversion"/>
  </si>
  <si>
    <t>Spring Island Total</t>
  </si>
  <si>
    <t>Thornton Island Total</t>
  </si>
  <si>
    <t>Spring Island</t>
    <phoneticPr fontId="5" type="noConversion"/>
  </si>
  <si>
    <t>9cm</t>
    <phoneticPr fontId="5" type="noConversion"/>
  </si>
  <si>
    <t>10, 10, 10, 10</t>
    <phoneticPr fontId="5" type="noConversion"/>
  </si>
  <si>
    <t>6.0 to 6.5m</t>
    <phoneticPr fontId="5" type="noConversion"/>
  </si>
  <si>
    <t>3cm, 55 x 4cm</t>
    <phoneticPr fontId="5" type="noConversion"/>
  </si>
  <si>
    <t>KGJ</t>
    <phoneticPr fontId="5" type="noConversion"/>
  </si>
  <si>
    <t>13cm</t>
    <phoneticPr fontId="5" type="noConversion"/>
  </si>
  <si>
    <t>TS</t>
    <phoneticPr fontId="5" type="noConversion"/>
  </si>
  <si>
    <t>35 x 3-4cm</t>
    <phoneticPr fontId="5" type="noConversion"/>
  </si>
  <si>
    <t>Kyuquot Sound</t>
  </si>
  <si>
    <t>Mortons</t>
  </si>
  <si>
    <t>5.5-7m</t>
  </si>
  <si>
    <t>10, 12, 12, 13, 13,12,14,14,13,11</t>
  </si>
  <si>
    <t>8, 7</t>
  </si>
  <si>
    <t>7 x 12cm, 13, 13</t>
  </si>
  <si>
    <t>4, 4, 5, 3, 4, 5, 4, 5</t>
  </si>
  <si>
    <t>China RF</t>
  </si>
  <si>
    <t>7.0-4m</t>
  </si>
  <si>
    <t>4, 5, 4, 5, 4, 4, 32 x 4cm, 4 x 5cm</t>
  </si>
  <si>
    <t>12, 12, 14, 13, 13, 14, 14, 16, 15,14,14,11,15, 5 x 13cm, 3 x 12cm</t>
  </si>
  <si>
    <t>10, 12, 10, 12</t>
  </si>
  <si>
    <t>15cm</t>
  </si>
  <si>
    <t>15 x 4cm</t>
  </si>
  <si>
    <t>7-6m</t>
  </si>
  <si>
    <t>SepHaines</t>
    <phoneticPr fontId="5" type="noConversion"/>
  </si>
  <si>
    <t>RGM + AC</t>
  </si>
  <si>
    <t>RGM, AMC</t>
  </si>
  <si>
    <t>Thorton Island</t>
  </si>
  <si>
    <t>Date</t>
  </si>
  <si>
    <t>Team</t>
  </si>
  <si>
    <t>Collector</t>
  </si>
  <si>
    <t>Site</t>
  </si>
  <si>
    <t>Dive #</t>
  </si>
  <si>
    <t>9 x 3-4cm</t>
    <phoneticPr fontId="5" type="noConversion"/>
  </si>
  <si>
    <t>8cm, 9cm</t>
    <phoneticPr fontId="5" type="noConversion"/>
  </si>
  <si>
    <t>Spring 5</t>
  </si>
  <si>
    <t>6 to 7</t>
    <phoneticPr fontId="5" type="noConversion"/>
  </si>
  <si>
    <t>4 x 4cm, 3cm</t>
    <phoneticPr fontId="5" type="noConversion"/>
  </si>
  <si>
    <t>15cm</t>
    <phoneticPr fontId="5" type="noConversion"/>
  </si>
  <si>
    <t>Quadrat #</t>
  </si>
  <si>
    <t>Depth (ft)</t>
  </si>
  <si>
    <t>Size (cm)</t>
  </si>
  <si>
    <t>Cryptic or Open</t>
    <phoneticPr fontId="7" type="noConversion"/>
  </si>
  <si>
    <t>Number</t>
  </si>
  <si>
    <t>Biomass (g)</t>
  </si>
  <si>
    <t>Percent cover</t>
  </si>
  <si>
    <t>RGM</t>
    <phoneticPr fontId="7" type="noConversion"/>
  </si>
  <si>
    <t>Fishbase - Sebastes maliger</t>
    <phoneticPr fontId="3" type="noConversion"/>
  </si>
  <si>
    <t>Fishbase - Sebastes mystinus</t>
    <phoneticPr fontId="3" type="noConversion"/>
  </si>
  <si>
    <t>Sebastes mystinus</t>
    <phoneticPr fontId="3" type="noConversion"/>
  </si>
  <si>
    <t>Blue rockfish</t>
    <phoneticPr fontId="3" type="noConversion"/>
  </si>
  <si>
    <t>BUR</t>
    <phoneticPr fontId="3" type="noConversion"/>
  </si>
  <si>
    <t>Dover Sole</t>
    <phoneticPr fontId="3" type="noConversion"/>
  </si>
  <si>
    <t>SOLE</t>
    <phoneticPr fontId="3" type="noConversion"/>
  </si>
  <si>
    <t>Microstomus pacificus</t>
    <phoneticPr fontId="3" type="noConversion"/>
  </si>
  <si>
    <t>Fishbase</t>
    <phoneticPr fontId="3" type="noConversion"/>
  </si>
  <si>
    <t>Hippoglossus stenolepis</t>
    <phoneticPr fontId="3" type="noConversion"/>
  </si>
  <si>
    <t>Pacific halibut</t>
    <phoneticPr fontId="3" type="noConversion"/>
  </si>
  <si>
    <t>Halibut</t>
    <phoneticPr fontId="3" type="noConversion"/>
  </si>
  <si>
    <t>g</t>
    <phoneticPr fontId="3" type="noConversion"/>
  </si>
  <si>
    <t>Tiger rockfish</t>
    <phoneticPr fontId="3" type="noConversion"/>
  </si>
  <si>
    <t>TR</t>
    <phoneticPr fontId="3" type="noConversion"/>
  </si>
  <si>
    <t>Sebastes nigrocintus</t>
    <phoneticPr fontId="3" type="noConversion"/>
  </si>
  <si>
    <t>YER</t>
    <phoneticPr fontId="3" type="noConversion"/>
  </si>
  <si>
    <t>Yelloweye Rockfish</t>
    <phoneticPr fontId="3" type="noConversion"/>
  </si>
  <si>
    <t>Sebastes ruberrimus</t>
    <phoneticPr fontId="3" type="noConversion"/>
  </si>
  <si>
    <t>Yellowtail Rockfish</t>
    <phoneticPr fontId="5" type="noConversion"/>
  </si>
  <si>
    <t>Sebastes flavidus</t>
    <phoneticPr fontId="5" type="noConversion"/>
  </si>
  <si>
    <t>Fish taxa</t>
  </si>
  <si>
    <t>Total</t>
  </si>
  <si>
    <t>Grassy Island Total</t>
  </si>
  <si>
    <t>KG biomass (kg/180m3)</t>
    <phoneticPr fontId="3" type="noConversion"/>
  </si>
  <si>
    <t>Sum of Rockfish Biomass (kg/180m3)</t>
  </si>
  <si>
    <t>Barkley Sound</t>
    <phoneticPr fontId="3" type="noConversion"/>
  </si>
  <si>
    <t>Region</t>
    <phoneticPr fontId="3" type="noConversion"/>
  </si>
  <si>
    <t>Rockfish Biomass (tons/km2)</t>
    <phoneticPr fontId="3" type="noConversion"/>
  </si>
  <si>
    <t>Rockfish Biomass (kg/360m2)</t>
    <phoneticPr fontId="3" type="noConversion"/>
  </si>
  <si>
    <t>BRF</t>
    <phoneticPr fontId="5" type="noConversion"/>
  </si>
  <si>
    <t>SD</t>
    <phoneticPr fontId="5" type="noConversion"/>
  </si>
  <si>
    <t>Count</t>
    <phoneticPr fontId="5" type="noConversion"/>
  </si>
  <si>
    <t>SE</t>
    <phoneticPr fontId="5" type="noConversion"/>
  </si>
  <si>
    <t>BS</t>
    <phoneticPr fontId="5" type="noConversion"/>
  </si>
  <si>
    <t>Bluestone/Prasiola/Execution Total</t>
  </si>
  <si>
    <t>JCN</t>
    <phoneticPr fontId="7" type="noConversion"/>
  </si>
  <si>
    <t>Kyuquot Sound</t>
    <phoneticPr fontId="7" type="noConversion"/>
  </si>
  <si>
    <t>Seppings-Haines Total</t>
  </si>
  <si>
    <t>30 x 2</t>
    <phoneticPr fontId="5" type="noConversion"/>
  </si>
  <si>
    <t>LC</t>
    <phoneticPr fontId="5" type="noConversion"/>
  </si>
  <si>
    <t>4 x 4cm</t>
    <phoneticPr fontId="5" type="noConversion"/>
  </si>
  <si>
    <t>YTR</t>
    <phoneticPr fontId="5" type="noConversion"/>
  </si>
  <si>
    <t>55 x 6cm</t>
    <phoneticPr fontId="5" type="noConversion"/>
  </si>
  <si>
    <t>Clayquot Sound Total</t>
  </si>
  <si>
    <t>Mortons Total</t>
  </si>
  <si>
    <t>Kyuquot Sound Total</t>
  </si>
  <si>
    <t>Grand Total</t>
  </si>
  <si>
    <t>Replicate</t>
  </si>
  <si>
    <t>Replicate</t>
    <phoneticPr fontId="3" type="noConversion"/>
  </si>
  <si>
    <t>1 Total</t>
  </si>
  <si>
    <t>2 Total</t>
  </si>
  <si>
    <t>3 Total</t>
  </si>
  <si>
    <t>4 Total</t>
  </si>
  <si>
    <t>5 Total</t>
  </si>
  <si>
    <t>6 Total</t>
  </si>
  <si>
    <t>7 Total</t>
  </si>
  <si>
    <t>Region</t>
  </si>
  <si>
    <t>Region</t>
    <phoneticPr fontId="3" type="noConversion"/>
  </si>
  <si>
    <t>Location</t>
  </si>
  <si>
    <t>Location</t>
    <phoneticPr fontId="3" type="noConversion"/>
  </si>
  <si>
    <t>Transect</t>
    <phoneticPr fontId="3" type="noConversion"/>
  </si>
  <si>
    <t>Chetarpe</t>
    <phoneticPr fontId="3" type="noConversion"/>
  </si>
  <si>
    <t>GFI</t>
    <phoneticPr fontId="5" type="noConversion"/>
  </si>
  <si>
    <t>Chetarpe</t>
    <phoneticPr fontId="5" type="noConversion"/>
  </si>
  <si>
    <t>LAC</t>
    <phoneticPr fontId="5" type="noConversion"/>
  </si>
  <si>
    <t>Site</t>
    <phoneticPr fontId="3" type="noConversion"/>
  </si>
  <si>
    <t>cm</t>
    <phoneticPr fontId="3" type="noConversion"/>
  </si>
  <si>
    <t>g</t>
    <phoneticPr fontId="3" type="noConversion"/>
  </si>
  <si>
    <t>Phoca vitulina</t>
  </si>
  <si>
    <t>ks</t>
    <phoneticPr fontId="3" type="noConversion"/>
  </si>
  <si>
    <t>lac</t>
    <phoneticPr fontId="3" type="noConversion"/>
  </si>
  <si>
    <t>mortons</t>
    <phoneticPr fontId="3" type="noConversion"/>
  </si>
  <si>
    <t>spring</t>
    <phoneticPr fontId="3" type="noConversion"/>
  </si>
  <si>
    <t>3 count; 18cm, 25cm</t>
  </si>
  <si>
    <t>1 count; 27cm</t>
  </si>
  <si>
    <t>8,8,8</t>
    <phoneticPr fontId="3" type="noConversion"/>
  </si>
  <si>
    <t>Kelp greenling female</t>
  </si>
  <si>
    <t>Kelp greenling juvenile</t>
  </si>
  <si>
    <t>Kelp greenling male</t>
  </si>
  <si>
    <t>Lingcod</t>
  </si>
  <si>
    <t>1 x 10</t>
    <phoneticPr fontId="3" type="noConversion"/>
  </si>
  <si>
    <t>8,7,8</t>
    <phoneticPr fontId="3" type="noConversion"/>
  </si>
  <si>
    <t>1x10</t>
    <phoneticPr fontId="3" type="noConversion"/>
  </si>
  <si>
    <t>1x7</t>
    <phoneticPr fontId="3" type="noConversion"/>
  </si>
  <si>
    <t>cs</t>
    <phoneticPr fontId="3" type="noConversion"/>
  </si>
  <si>
    <t>ks</t>
    <phoneticPr fontId="3" type="noConversion"/>
  </si>
  <si>
    <t>bs</t>
    <phoneticPr fontId="3" type="noConversion"/>
  </si>
  <si>
    <t>Spring Island</t>
    <phoneticPr fontId="7" type="noConversion"/>
  </si>
  <si>
    <t>Kamils</t>
    <phoneticPr fontId="7" type="noConversion"/>
  </si>
  <si>
    <t>JCN</t>
    <phoneticPr fontId="7" type="noConversion"/>
  </si>
  <si>
    <t>Kyuquot Sound</t>
    <phoneticPr fontId="7" type="noConversion"/>
  </si>
  <si>
    <t>adult biomass</t>
  </si>
  <si>
    <t>other rf adult</t>
    <phoneticPr fontId="3" type="noConversion"/>
  </si>
  <si>
    <t>other rf juv</t>
    <phoneticPr fontId="3" type="noConversion"/>
  </si>
  <si>
    <t>Quadrat</t>
    <phoneticPr fontId="3" type="noConversion"/>
  </si>
  <si>
    <t>Biomass</t>
    <phoneticPr fontId="3" type="noConversion"/>
  </si>
  <si>
    <t>Average of Biomass</t>
  </si>
  <si>
    <t>KS</t>
  </si>
  <si>
    <t>KS</t>
    <phoneticPr fontId="3" type="noConversion"/>
  </si>
  <si>
    <t>BS Total</t>
  </si>
  <si>
    <t>CS Total</t>
  </si>
  <si>
    <t>KS Total</t>
  </si>
  <si>
    <t>Blue/Pras/Ex</t>
    <phoneticPr fontId="3" type="noConversion"/>
  </si>
  <si>
    <t>GFI</t>
    <phoneticPr fontId="3" type="noConversion"/>
  </si>
  <si>
    <t>5 to 4</t>
    <phoneticPr fontId="5" type="noConversion"/>
  </si>
  <si>
    <t>all large demersal</t>
    <phoneticPr fontId="3" type="noConversion"/>
  </si>
  <si>
    <t>all small pelagic</t>
    <phoneticPr fontId="3" type="noConversion"/>
  </si>
  <si>
    <t>6, 22 x 7-8cm</t>
    <phoneticPr fontId="5" type="noConversion"/>
  </si>
  <si>
    <t>4, 4, 4, 4, 4</t>
    <phoneticPr fontId="5" type="noConversion"/>
  </si>
  <si>
    <t>Spring Island</t>
    <phoneticPr fontId="5" type="noConversion"/>
  </si>
  <si>
    <t>Biomass (kg per 180m3)</t>
    <phoneticPr fontId="3" type="noConversion"/>
  </si>
  <si>
    <t>30 x 2 x 3m</t>
    <phoneticPr fontId="3" type="noConversion"/>
  </si>
  <si>
    <t>BRF Biomass (kg/180m3)</t>
    <phoneticPr fontId="3" type="noConversion"/>
  </si>
  <si>
    <t>CRF Biomass (kg/180m3)</t>
    <phoneticPr fontId="3" type="noConversion"/>
  </si>
  <si>
    <t>Barkley Sound Total</t>
  </si>
  <si>
    <t>Bartlett/Shot Total</t>
  </si>
  <si>
    <t>LAC Total</t>
  </si>
  <si>
    <t>adult rf</t>
    <phoneticPr fontId="3" type="noConversion"/>
  </si>
  <si>
    <t>juv rf</t>
    <phoneticPr fontId="3" type="noConversion"/>
  </si>
  <si>
    <t>other large demersal</t>
    <phoneticPr fontId="3" type="noConversion"/>
  </si>
  <si>
    <t>7,8</t>
    <phoneticPr fontId="3" type="noConversion"/>
  </si>
  <si>
    <t>This is incorrect - need to translate into tons/km2 based on 120m2 not 60m2</t>
    <phoneticPr fontId="3" type="noConversion"/>
  </si>
  <si>
    <t>That means the area is larger</t>
    <phoneticPr fontId="3" type="noConversion"/>
  </si>
  <si>
    <t>Should be divided by 720 if 6 transects</t>
    <phoneticPr fontId="3" type="noConversion"/>
  </si>
  <si>
    <t>Kyuquot Total</t>
  </si>
  <si>
    <t>KS</t>
    <phoneticPr fontId="5" type="noConversion"/>
  </si>
  <si>
    <t>Grassy</t>
    <phoneticPr fontId="5" type="noConversion"/>
  </si>
  <si>
    <t>Mortons</t>
    <phoneticPr fontId="5" type="noConversion"/>
  </si>
  <si>
    <t>Spring</t>
    <phoneticPr fontId="5" type="noConversion"/>
  </si>
  <si>
    <t>3; 100 x 10-12cm</t>
  </si>
  <si>
    <t>3 x 4cm</t>
    <phoneticPr fontId="5" type="noConversion"/>
  </si>
  <si>
    <t>25 to 30</t>
    <phoneticPr fontId="3" type="noConversion"/>
  </si>
  <si>
    <t>30 to 35</t>
  </si>
  <si>
    <t>30 to 35</t>
    <phoneticPr fontId="3" type="noConversion"/>
  </si>
  <si>
    <t>35 to 40</t>
  </si>
  <si>
    <t>35 to 40</t>
    <phoneticPr fontId="3" type="noConversion"/>
  </si>
  <si>
    <t>40 to 45</t>
  </si>
  <si>
    <t>40 to 45</t>
    <phoneticPr fontId="3" type="noConversion"/>
  </si>
  <si>
    <t>&lt;10</t>
    <phoneticPr fontId="3" type="noConversion"/>
  </si>
  <si>
    <t>9*2,8</t>
    <phoneticPr fontId="3" type="noConversion"/>
  </si>
  <si>
    <t>8,9</t>
    <phoneticPr fontId="3" type="noConversion"/>
  </si>
  <si>
    <t>8, 8, 7, 6, 7, 7, 7, 8 8, 8</t>
    <phoneticPr fontId="3" type="noConversion"/>
  </si>
  <si>
    <t>13,11</t>
    <phoneticPr fontId="3" type="noConversion"/>
  </si>
  <si>
    <t>14, 14, 14, 12,13</t>
    <phoneticPr fontId="3" type="noConversion"/>
  </si>
  <si>
    <t>Sum of 30-35cm</t>
  </si>
  <si>
    <t>region</t>
    <phoneticPr fontId="3" type="noConversion"/>
  </si>
  <si>
    <t xml:space="preserve">species </t>
    <phoneticPr fontId="3" type="noConversion"/>
  </si>
  <si>
    <t>size</t>
    <phoneticPr fontId="3" type="noConversion"/>
  </si>
  <si>
    <t>bs</t>
    <phoneticPr fontId="3" type="noConversion"/>
  </si>
  <si>
    <t>prasexe</t>
    <phoneticPr fontId="3" type="noConversion"/>
  </si>
  <si>
    <t>replicate</t>
    <phoneticPr fontId="3" type="noConversion"/>
  </si>
  <si>
    <t>number</t>
    <phoneticPr fontId="3" type="noConversion"/>
  </si>
  <si>
    <t>gfi</t>
    <phoneticPr fontId="3" type="noConversion"/>
  </si>
  <si>
    <t>sephaines</t>
    <phoneticPr fontId="3" type="noConversion"/>
  </si>
  <si>
    <t>bartshot</t>
    <phoneticPr fontId="3" type="noConversion"/>
  </si>
  <si>
    <t>chetarpe</t>
    <phoneticPr fontId="3" type="noConversion"/>
  </si>
  <si>
    <t>lac</t>
    <phoneticPr fontId="3" type="noConversion"/>
  </si>
  <si>
    <t>10 to 15</t>
    <phoneticPr fontId="3" type="noConversion"/>
  </si>
  <si>
    <t>grassy</t>
    <phoneticPr fontId="3" type="noConversion"/>
  </si>
  <si>
    <t>mortons</t>
    <phoneticPr fontId="3" type="noConversion"/>
  </si>
  <si>
    <t>Dive Time</t>
  </si>
  <si>
    <t>Start time</t>
  </si>
  <si>
    <t>End time</t>
  </si>
  <si>
    <t>Low tide height and time?</t>
  </si>
  <si>
    <t>Canary Rockfish</t>
    <phoneticPr fontId="3" type="noConversion"/>
  </si>
  <si>
    <t>CAR</t>
    <phoneticPr fontId="3" type="noConversion"/>
  </si>
  <si>
    <t>QR</t>
    <phoneticPr fontId="3" type="noConversion"/>
  </si>
  <si>
    <t>Quillback Rockfish</t>
    <phoneticPr fontId="3" type="noConversion"/>
  </si>
  <si>
    <t>Sebastes maliger</t>
    <phoneticPr fontId="3" type="noConversion"/>
  </si>
</sst>
</file>

<file path=xl/styles.xml><?xml version="1.0" encoding="utf-8"?>
<styleSheet xmlns="http://schemas.openxmlformats.org/spreadsheetml/2006/main">
  <fonts count="1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  <font>
      <sz val="8"/>
      <name val="Arial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5" fontId="0" fillId="0" borderId="0" xfId="0" applyNumberFormat="1"/>
    <xf numFmtId="0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Font="1" applyFill="1"/>
    <xf numFmtId="0" fontId="0" fillId="0" borderId="0" xfId="0" applyFill="1"/>
    <xf numFmtId="0" fontId="6" fillId="0" borderId="0" xfId="0" applyFont="1"/>
    <xf numFmtId="0" fontId="6" fillId="0" borderId="11" xfId="0" applyFont="1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NumberFormat="1" applyFill="1" applyBorder="1"/>
    <xf numFmtId="0" fontId="0" fillId="0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4" xfId="0" applyNumberFormat="1" applyBorder="1"/>
    <xf numFmtId="0" fontId="0" fillId="0" borderId="4" xfId="0" pivotButton="1" applyBorder="1"/>
    <xf numFmtId="0" fontId="0" fillId="0" borderId="6" xfId="0" applyFill="1" applyBorder="1"/>
    <xf numFmtId="0" fontId="0" fillId="0" borderId="7" xfId="0" applyFill="1" applyBorder="1"/>
    <xf numFmtId="15" fontId="0" fillId="0" borderId="0" xfId="0" applyNumberFormat="1" applyFill="1"/>
    <xf numFmtId="0" fontId="0" fillId="0" borderId="0" xfId="0" applyFont="1" applyFill="1"/>
    <xf numFmtId="0" fontId="0" fillId="2" borderId="0" xfId="0" applyFill="1"/>
    <xf numFmtId="11" fontId="0" fillId="0" borderId="0" xfId="0" applyNumberFormat="1"/>
    <xf numFmtId="0" fontId="6" fillId="0" borderId="0" xfId="0" applyFont="1" applyFill="1" applyBorder="1"/>
    <xf numFmtId="0" fontId="0" fillId="0" borderId="12" xfId="0" applyBorder="1"/>
    <xf numFmtId="0" fontId="0" fillId="0" borderId="0" xfId="0" applyBorder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0" fillId="0" borderId="0" xfId="0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3" xfId="0" applyNumberFormat="1" applyBorder="1"/>
    <xf numFmtId="0" fontId="0" fillId="0" borderId="0" xfId="0" applyNumberFormat="1" applyBorder="1"/>
    <xf numFmtId="0" fontId="0" fillId="0" borderId="14" xfId="0" applyNumberFormat="1" applyBorder="1"/>
    <xf numFmtId="0" fontId="0" fillId="0" borderId="11" xfId="0" applyNumberFormat="1" applyBorder="1"/>
    <xf numFmtId="0" fontId="0" fillId="0" borderId="11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3" borderId="0" xfId="0" applyFill="1" applyAlignment="1">
      <alignment horizontal="right" wrapText="1"/>
    </xf>
    <xf numFmtId="0" fontId="10" fillId="3" borderId="0" xfId="1" applyFill="1" applyAlignment="1" applyProtection="1">
      <alignment horizontal="right" wrapText="1"/>
    </xf>
    <xf numFmtId="0" fontId="0" fillId="3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Black Rockfish Biomass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Black Rockfish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1"/>
          <c:dPt>
            <c:idx val="3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1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plus>
              <c:numRef>
                <c:f>'old pivot table and graphs'!$AD$73:$AD$81</c:f>
                <c:numCache>
                  <c:formatCode>General</c:formatCode>
                  <c:ptCount val="9"/>
                  <c:pt idx="0">
                    <c:v>1281.469914210114</c:v>
                  </c:pt>
                  <c:pt idx="1">
                    <c:v>297.1182912022061</c:v>
                  </c:pt>
                  <c:pt idx="2">
                    <c:v>231.6775064545011</c:v>
                  </c:pt>
                  <c:pt idx="3">
                    <c:v>136.0509946191693</c:v>
                  </c:pt>
                  <c:pt idx="4">
                    <c:v>0.0</c:v>
                  </c:pt>
                  <c:pt idx="5">
                    <c:v>179.5142719005533</c:v>
                  </c:pt>
                  <c:pt idx="6">
                    <c:v>1295.674139094537</c:v>
                  </c:pt>
                  <c:pt idx="7">
                    <c:v>1722.443797895628</c:v>
                  </c:pt>
                  <c:pt idx="8">
                    <c:v>239.0076017234422</c:v>
                  </c:pt>
                </c:numCache>
              </c:numRef>
            </c:plus>
            <c:minus>
              <c:numRef>
                <c:f>'old pivot table and graphs'!$AD$73:$AD$81</c:f>
                <c:numCache>
                  <c:formatCode>General</c:formatCode>
                  <c:ptCount val="9"/>
                  <c:pt idx="0">
                    <c:v>1281.469914210114</c:v>
                  </c:pt>
                  <c:pt idx="1">
                    <c:v>297.1182912022061</c:v>
                  </c:pt>
                  <c:pt idx="2">
                    <c:v>231.6775064545011</c:v>
                  </c:pt>
                  <c:pt idx="3">
                    <c:v>136.0509946191693</c:v>
                  </c:pt>
                  <c:pt idx="4">
                    <c:v>0.0</c:v>
                  </c:pt>
                  <c:pt idx="5">
                    <c:v>179.5142719005533</c:v>
                  </c:pt>
                  <c:pt idx="6">
                    <c:v>1295.674139094537</c:v>
                  </c:pt>
                  <c:pt idx="7">
                    <c:v>1722.443797895628</c:v>
                  </c:pt>
                  <c:pt idx="8">
                    <c:v>239.0076017234422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'old pivot table and graphs'!$Z$73:$Z$81</c:f>
              <c:strCache>
                <c:ptCount val="9"/>
                <c:pt idx="0">
                  <c:v>Blue/Pras/Ex</c:v>
                </c:pt>
                <c:pt idx="1">
                  <c:v>GFI</c:v>
                </c:pt>
                <c:pt idx="2">
                  <c:v>SepHaines</c:v>
                </c:pt>
                <c:pt idx="3">
                  <c:v>Bart/Shot</c:v>
                </c:pt>
                <c:pt idx="4">
                  <c:v>Chetarpe</c:v>
                </c:pt>
                <c:pt idx="5">
                  <c:v>LAC</c:v>
                </c:pt>
                <c:pt idx="6">
                  <c:v>Grassy</c:v>
                </c:pt>
                <c:pt idx="7">
                  <c:v>Mortons</c:v>
                </c:pt>
                <c:pt idx="8">
                  <c:v>Spring</c:v>
                </c:pt>
              </c:strCache>
            </c:strRef>
          </c:cat>
          <c:val>
            <c:numRef>
              <c:f>'old pivot table and graphs'!$AA$73:$AA$81</c:f>
              <c:numCache>
                <c:formatCode>General</c:formatCode>
                <c:ptCount val="9"/>
                <c:pt idx="0">
                  <c:v>2020.81953125</c:v>
                </c:pt>
                <c:pt idx="1">
                  <c:v>524.03828125</c:v>
                </c:pt>
                <c:pt idx="2">
                  <c:v>315.7856770833334</c:v>
                </c:pt>
                <c:pt idx="3">
                  <c:v>291.6415625</c:v>
                </c:pt>
                <c:pt idx="4">
                  <c:v>0.0</c:v>
                </c:pt>
                <c:pt idx="5">
                  <c:v>260.8377604166667</c:v>
                </c:pt>
                <c:pt idx="6">
                  <c:v>2376.936979166667</c:v>
                </c:pt>
                <c:pt idx="7">
                  <c:v>3885.084598214286</c:v>
                </c:pt>
                <c:pt idx="8">
                  <c:v>790.7966796875</c:v>
                </c:pt>
              </c:numCache>
            </c:numRef>
          </c:val>
        </c:ser>
        <c:axId val="483084472"/>
        <c:axId val="472461800"/>
      </c:barChart>
      <c:catAx>
        <c:axId val="483084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72461800"/>
        <c:crosses val="autoZero"/>
        <c:auto val="1"/>
        <c:lblAlgn val="ctr"/>
        <c:lblOffset val="100"/>
      </c:catAx>
      <c:valAx>
        <c:axId val="472461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(g/180m3)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483084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chemeClr val="bg1"/>
    </a:solidFill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Copper Rockfish Biomass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1"/>
          <c:dPt>
            <c:idx val="3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1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plus>
              <c:numRef>
                <c:f>'old pivot table and graphs'!$AG$73:$AG$81</c:f>
                <c:numCache>
                  <c:formatCode>General</c:formatCode>
                  <c:ptCount val="9"/>
                  <c:pt idx="0">
                    <c:v>33.22265625</c:v>
                  </c:pt>
                  <c:pt idx="1">
                    <c:v>120.3422309284107</c:v>
                  </c:pt>
                  <c:pt idx="2">
                    <c:v>0.0</c:v>
                  </c:pt>
                  <c:pt idx="3">
                    <c:v>61.26331425446558</c:v>
                  </c:pt>
                  <c:pt idx="4">
                    <c:v>0.0</c:v>
                  </c:pt>
                  <c:pt idx="5">
                    <c:v>87.08837363869087</c:v>
                  </c:pt>
                  <c:pt idx="6">
                    <c:v>107.8345705404744</c:v>
                  </c:pt>
                  <c:pt idx="7">
                    <c:v>301.5063638585436</c:v>
                  </c:pt>
                  <c:pt idx="8">
                    <c:v>1.285046205394966</c:v>
                  </c:pt>
                </c:numCache>
              </c:numRef>
            </c:plus>
            <c:minus>
              <c:numRef>
                <c:f>'old pivot table and graphs'!$AG$73:$AG$81</c:f>
                <c:numCache>
                  <c:formatCode>General</c:formatCode>
                  <c:ptCount val="9"/>
                  <c:pt idx="0">
                    <c:v>33.22265625</c:v>
                  </c:pt>
                  <c:pt idx="1">
                    <c:v>120.3422309284107</c:v>
                  </c:pt>
                  <c:pt idx="2">
                    <c:v>0.0</c:v>
                  </c:pt>
                  <c:pt idx="3">
                    <c:v>61.26331425446558</c:v>
                  </c:pt>
                  <c:pt idx="4">
                    <c:v>0.0</c:v>
                  </c:pt>
                  <c:pt idx="5">
                    <c:v>87.08837363869087</c:v>
                  </c:pt>
                  <c:pt idx="6">
                    <c:v>107.8345705404744</c:v>
                  </c:pt>
                  <c:pt idx="7">
                    <c:v>301.5063638585436</c:v>
                  </c:pt>
                  <c:pt idx="8">
                    <c:v>1.285046205394966</c:v>
                  </c:pt>
                </c:numCache>
              </c:numRef>
            </c:minus>
          </c:errBars>
          <c:cat>
            <c:strRef>
              <c:f>'old pivot table and graphs'!$Z$73:$Z$81</c:f>
              <c:strCache>
                <c:ptCount val="9"/>
                <c:pt idx="0">
                  <c:v>Blue/Pras/Ex</c:v>
                </c:pt>
                <c:pt idx="1">
                  <c:v>GFI</c:v>
                </c:pt>
                <c:pt idx="2">
                  <c:v>SepHaines</c:v>
                </c:pt>
                <c:pt idx="3">
                  <c:v>Bart/Shot</c:v>
                </c:pt>
                <c:pt idx="4">
                  <c:v>Chetarpe</c:v>
                </c:pt>
                <c:pt idx="5">
                  <c:v>LAC</c:v>
                </c:pt>
                <c:pt idx="6">
                  <c:v>Grassy</c:v>
                </c:pt>
                <c:pt idx="7">
                  <c:v>Mortons</c:v>
                </c:pt>
                <c:pt idx="8">
                  <c:v>Spring</c:v>
                </c:pt>
              </c:strCache>
            </c:strRef>
          </c:cat>
          <c:val>
            <c:numRef>
              <c:f>'old pivot table and graphs'!$AE$73:$AE$81</c:f>
              <c:numCache>
                <c:formatCode>General</c:formatCode>
                <c:ptCount val="9"/>
                <c:pt idx="0">
                  <c:v>33.22265625</c:v>
                </c:pt>
                <c:pt idx="1">
                  <c:v>233.4700520833334</c:v>
                </c:pt>
                <c:pt idx="2">
                  <c:v>0.0</c:v>
                </c:pt>
                <c:pt idx="3">
                  <c:v>94.1574375</c:v>
                </c:pt>
                <c:pt idx="4">
                  <c:v>0.0</c:v>
                </c:pt>
                <c:pt idx="5">
                  <c:v>131.71703125</c:v>
                </c:pt>
                <c:pt idx="6">
                  <c:v>125.1166145833333</c:v>
                </c:pt>
                <c:pt idx="7">
                  <c:v>534.2378125000001</c:v>
                </c:pt>
                <c:pt idx="8">
                  <c:v>2.89625</c:v>
                </c:pt>
              </c:numCache>
            </c:numRef>
          </c:val>
        </c:ser>
        <c:axId val="482924280"/>
        <c:axId val="482927720"/>
      </c:barChart>
      <c:catAx>
        <c:axId val="482924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82927720"/>
        <c:crosses val="autoZero"/>
        <c:auto val="1"/>
        <c:lblAlgn val="ctr"/>
        <c:lblOffset val="100"/>
      </c:catAx>
      <c:valAx>
        <c:axId val="482927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(g/180m3)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482924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Kelp</a:t>
            </a:r>
            <a:r>
              <a:rPr lang="en-US" baseline="0"/>
              <a:t> Greenling </a:t>
            </a:r>
            <a:r>
              <a:rPr lang="en-US"/>
              <a:t>Biomass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1"/>
          <c:dPt>
            <c:idx val="3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1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1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invertIfNegative val="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plus>
              <c:numRef>
                <c:f>'old pivot table and graphs'!$AJ$73:$AJ$81</c:f>
                <c:numCache>
                  <c:formatCode>General</c:formatCode>
                  <c:ptCount val="9"/>
                  <c:pt idx="0">
                    <c:v>119.5261379303357</c:v>
                  </c:pt>
                  <c:pt idx="1">
                    <c:v>137.398490655198</c:v>
                  </c:pt>
                  <c:pt idx="2">
                    <c:v>244.9110031071266</c:v>
                  </c:pt>
                  <c:pt idx="3">
                    <c:v>330.3409534599253</c:v>
                  </c:pt>
                  <c:pt idx="4">
                    <c:v>278.0830925845702</c:v>
                  </c:pt>
                  <c:pt idx="5">
                    <c:v>72.55007030096611</c:v>
                  </c:pt>
                  <c:pt idx="6">
                    <c:v>584.2604324772337</c:v>
                  </c:pt>
                  <c:pt idx="7">
                    <c:v>445.3715514256306</c:v>
                  </c:pt>
                  <c:pt idx="8">
                    <c:v>509.4004573531874</c:v>
                  </c:pt>
                </c:numCache>
              </c:numRef>
            </c:plus>
            <c:minus>
              <c:numRef>
                <c:f>'old pivot table and graphs'!$AJ$73:$AJ$81</c:f>
                <c:numCache>
                  <c:formatCode>General</c:formatCode>
                  <c:ptCount val="9"/>
                  <c:pt idx="0">
                    <c:v>119.5261379303357</c:v>
                  </c:pt>
                  <c:pt idx="1">
                    <c:v>137.398490655198</c:v>
                  </c:pt>
                  <c:pt idx="2">
                    <c:v>244.9110031071266</c:v>
                  </c:pt>
                  <c:pt idx="3">
                    <c:v>330.3409534599253</c:v>
                  </c:pt>
                  <c:pt idx="4">
                    <c:v>278.0830925845702</c:v>
                  </c:pt>
                  <c:pt idx="5">
                    <c:v>72.55007030096611</c:v>
                  </c:pt>
                  <c:pt idx="6">
                    <c:v>584.2604324772337</c:v>
                  </c:pt>
                  <c:pt idx="7">
                    <c:v>445.3715514256306</c:v>
                  </c:pt>
                  <c:pt idx="8">
                    <c:v>509.4004573531874</c:v>
                  </c:pt>
                </c:numCache>
              </c:numRef>
            </c:minus>
          </c:errBars>
          <c:cat>
            <c:strRef>
              <c:f>'old pivot table and graphs'!$Z$73:$Z$81</c:f>
              <c:strCache>
                <c:ptCount val="9"/>
                <c:pt idx="0">
                  <c:v>Blue/Pras/Ex</c:v>
                </c:pt>
                <c:pt idx="1">
                  <c:v>GFI</c:v>
                </c:pt>
                <c:pt idx="2">
                  <c:v>SepHaines</c:v>
                </c:pt>
                <c:pt idx="3">
                  <c:v>Bart/Shot</c:v>
                </c:pt>
                <c:pt idx="4">
                  <c:v>Chetarpe</c:v>
                </c:pt>
                <c:pt idx="5">
                  <c:v>LAC</c:v>
                </c:pt>
                <c:pt idx="6">
                  <c:v>Grassy</c:v>
                </c:pt>
                <c:pt idx="7">
                  <c:v>Mortons</c:v>
                </c:pt>
                <c:pt idx="8">
                  <c:v>Spring</c:v>
                </c:pt>
              </c:strCache>
            </c:strRef>
          </c:cat>
          <c:val>
            <c:numRef>
              <c:f>'old pivot table and graphs'!$AH$73:$AH$81</c:f>
              <c:numCache>
                <c:formatCode>General</c:formatCode>
                <c:ptCount val="9"/>
                <c:pt idx="0">
                  <c:v>261.378325</c:v>
                </c:pt>
                <c:pt idx="1">
                  <c:v>1231.9203</c:v>
                </c:pt>
                <c:pt idx="2">
                  <c:v>502.88355</c:v>
                </c:pt>
                <c:pt idx="3">
                  <c:v>1082.729</c:v>
                </c:pt>
                <c:pt idx="4">
                  <c:v>729.3758375</c:v>
                </c:pt>
                <c:pt idx="5">
                  <c:v>801.0510083333334</c:v>
                </c:pt>
                <c:pt idx="6">
                  <c:v>2854.311729166667</c:v>
                </c:pt>
                <c:pt idx="7">
                  <c:v>7084.785489285714</c:v>
                </c:pt>
                <c:pt idx="8">
                  <c:v>2504.0462171875</c:v>
                </c:pt>
              </c:numCache>
            </c:numRef>
          </c:val>
        </c:ser>
        <c:axId val="482733864"/>
        <c:axId val="482737304"/>
      </c:barChart>
      <c:catAx>
        <c:axId val="482733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82737304"/>
        <c:crosses val="autoZero"/>
        <c:auto val="1"/>
        <c:lblAlgn val="ctr"/>
        <c:lblOffset val="100"/>
      </c:catAx>
      <c:valAx>
        <c:axId val="482737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(g/180m3)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482733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98476728367069"/>
                  <c:y val="-0.249029600466608"/>
                </c:manualLayout>
              </c:layout>
              <c:numFmt formatCode="General" sourceLinked="0"/>
            </c:trendlineLbl>
          </c:trendline>
          <c:xVal>
            <c:numRef>
              <c:f>'old pivot table and graphs'!$S$12:$S$65</c:f>
              <c:numCache>
                <c:formatCode>General</c:formatCode>
                <c:ptCount val="54"/>
                <c:pt idx="0">
                  <c:v>5701.615625</c:v>
                </c:pt>
                <c:pt idx="1">
                  <c:v>6622.637500000001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600.7421875000001</c:v>
                </c:pt>
                <c:pt idx="8">
                  <c:v>0.0</c:v>
                </c:pt>
                <c:pt idx="9">
                  <c:v>349.7984375</c:v>
                </c:pt>
                <c:pt idx="10">
                  <c:v>2364.9</c:v>
                </c:pt>
                <c:pt idx="11">
                  <c:v>1229.609375</c:v>
                </c:pt>
                <c:pt idx="12">
                  <c:v>1421.2828125</c:v>
                </c:pt>
                <c:pt idx="13">
                  <c:v>432.2203125</c:v>
                </c:pt>
                <c:pt idx="14">
                  <c:v>41.2109375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509.175625</c:v>
                </c:pt>
                <c:pt idx="19">
                  <c:v>300.86</c:v>
                </c:pt>
                <c:pt idx="20">
                  <c:v>724.3234375</c:v>
                </c:pt>
                <c:pt idx="21">
                  <c:v>0.0</c:v>
                </c:pt>
                <c:pt idx="22">
                  <c:v>394.6359375</c:v>
                </c:pt>
                <c:pt idx="23">
                  <c:v>0.0</c:v>
                </c:pt>
                <c:pt idx="24">
                  <c:v>395.6225</c:v>
                </c:pt>
                <c:pt idx="25">
                  <c:v>0.0</c:v>
                </c:pt>
                <c:pt idx="26">
                  <c:v>542.9709375</c:v>
                </c:pt>
                <c:pt idx="27">
                  <c:v>1138.80875</c:v>
                </c:pt>
                <c:pt idx="28">
                  <c:v>277.9265625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6597.7015625</c:v>
                </c:pt>
                <c:pt idx="35">
                  <c:v>6344.2396875</c:v>
                </c:pt>
                <c:pt idx="36">
                  <c:v>1057.450625</c:v>
                </c:pt>
                <c:pt idx="37">
                  <c:v>580.39125</c:v>
                </c:pt>
                <c:pt idx="38">
                  <c:v>432.5384375</c:v>
                </c:pt>
                <c:pt idx="39">
                  <c:v>12015.790625</c:v>
                </c:pt>
                <c:pt idx="40">
                  <c:v>6839.355625</c:v>
                </c:pt>
                <c:pt idx="41">
                  <c:v>1032.58125</c:v>
                </c:pt>
                <c:pt idx="42">
                  <c:v>9125.3915625</c:v>
                </c:pt>
                <c:pt idx="43">
                  <c:v>382.4134375</c:v>
                </c:pt>
                <c:pt idx="44">
                  <c:v>1519.616875</c:v>
                </c:pt>
                <c:pt idx="45">
                  <c:v>20.1075</c:v>
                </c:pt>
                <c:pt idx="46">
                  <c:v>164.84375</c:v>
                </c:pt>
                <c:pt idx="47">
                  <c:v>360.3484375</c:v>
                </c:pt>
                <c:pt idx="48">
                  <c:v>1236.328125</c:v>
                </c:pt>
                <c:pt idx="49">
                  <c:v>1281.1965625</c:v>
                </c:pt>
                <c:pt idx="50">
                  <c:v>4.48</c:v>
                </c:pt>
                <c:pt idx="51">
                  <c:v>1821.19375</c:v>
                </c:pt>
                <c:pt idx="52">
                  <c:v>1239.4846875</c:v>
                </c:pt>
                <c:pt idx="53">
                  <c:v>241.668125</c:v>
                </c:pt>
              </c:numCache>
            </c:numRef>
          </c:xVal>
          <c:yVal>
            <c:numRef>
              <c:f>'old pivot table and graphs'!$R$12:$R$65</c:f>
              <c:numCache>
                <c:formatCode>General</c:formatCode>
                <c:ptCount val="54"/>
                <c:pt idx="0">
                  <c:v>0.0</c:v>
                </c:pt>
                <c:pt idx="1">
                  <c:v>543.50595</c:v>
                </c:pt>
                <c:pt idx="2">
                  <c:v>334.425</c:v>
                </c:pt>
                <c:pt idx="3">
                  <c:v>28.938</c:v>
                </c:pt>
                <c:pt idx="4">
                  <c:v>656.0502</c:v>
                </c:pt>
                <c:pt idx="5">
                  <c:v>5.3508</c:v>
                </c:pt>
                <c:pt idx="6">
                  <c:v>1437.1695</c:v>
                </c:pt>
                <c:pt idx="7">
                  <c:v>1457.38125</c:v>
                </c:pt>
                <c:pt idx="8">
                  <c:v>1316.1096</c:v>
                </c:pt>
                <c:pt idx="9">
                  <c:v>1438.4838</c:v>
                </c:pt>
                <c:pt idx="10">
                  <c:v>585.3744</c:v>
                </c:pt>
                <c:pt idx="11">
                  <c:v>1157.00325</c:v>
                </c:pt>
                <c:pt idx="12">
                  <c:v>641.16585</c:v>
                </c:pt>
                <c:pt idx="13">
                  <c:v>71.0112</c:v>
                </c:pt>
                <c:pt idx="14">
                  <c:v>1637.7777</c:v>
                </c:pt>
                <c:pt idx="15">
                  <c:v>208.37505</c:v>
                </c:pt>
                <c:pt idx="16">
                  <c:v>42.9468</c:v>
                </c:pt>
                <c:pt idx="17">
                  <c:v>416.0246999999999</c:v>
                </c:pt>
                <c:pt idx="18">
                  <c:v>853.125</c:v>
                </c:pt>
                <c:pt idx="19">
                  <c:v>535.51875</c:v>
                </c:pt>
                <c:pt idx="20">
                  <c:v>30.46875</c:v>
                </c:pt>
                <c:pt idx="21">
                  <c:v>177.69375</c:v>
                </c:pt>
                <c:pt idx="22">
                  <c:v>1887.84375</c:v>
                </c:pt>
                <c:pt idx="23">
                  <c:v>386.85465</c:v>
                </c:pt>
                <c:pt idx="24">
                  <c:v>408.0375</c:v>
                </c:pt>
                <c:pt idx="25">
                  <c:v>83.60625</c:v>
                </c:pt>
                <c:pt idx="26">
                  <c:v>532.59375</c:v>
                </c:pt>
                <c:pt idx="27">
                  <c:v>122.0622</c:v>
                </c:pt>
                <c:pt idx="28">
                  <c:v>219.5349</c:v>
                </c:pt>
                <c:pt idx="29">
                  <c:v>1303.33125</c:v>
                </c:pt>
                <c:pt idx="30">
                  <c:v>1110.91305</c:v>
                </c:pt>
                <c:pt idx="31">
                  <c:v>80.2971</c:v>
                </c:pt>
                <c:pt idx="32">
                  <c:v>1121.25</c:v>
                </c:pt>
                <c:pt idx="33">
                  <c:v>2054.4693</c:v>
                </c:pt>
                <c:pt idx="34">
                  <c:v>2180.83125</c:v>
                </c:pt>
                <c:pt idx="35">
                  <c:v>1147.0875</c:v>
                </c:pt>
                <c:pt idx="36">
                  <c:v>4229.30625</c:v>
                </c:pt>
                <c:pt idx="37">
                  <c:v>1028.4261</c:v>
                </c:pt>
                <c:pt idx="38">
                  <c:v>36.3636</c:v>
                </c:pt>
                <c:pt idx="39">
                  <c:v>3716.7</c:v>
                </c:pt>
                <c:pt idx="40">
                  <c:v>4235.30445</c:v>
                </c:pt>
                <c:pt idx="41">
                  <c:v>2591.73915</c:v>
                </c:pt>
                <c:pt idx="42">
                  <c:v>2218.125</c:v>
                </c:pt>
                <c:pt idx="43">
                  <c:v>2493.0789</c:v>
                </c:pt>
                <c:pt idx="44">
                  <c:v>2626.40625</c:v>
                </c:pt>
                <c:pt idx="45">
                  <c:v>536.3982</c:v>
                </c:pt>
                <c:pt idx="46">
                  <c:v>1037.64375</c:v>
                </c:pt>
                <c:pt idx="47">
                  <c:v>4943.975399999999</c:v>
                </c:pt>
                <c:pt idx="48">
                  <c:v>1368.65625</c:v>
                </c:pt>
                <c:pt idx="49">
                  <c:v>1502.6349</c:v>
                </c:pt>
                <c:pt idx="50">
                  <c:v>11.3724</c:v>
                </c:pt>
                <c:pt idx="51">
                  <c:v>2201.59485</c:v>
                </c:pt>
                <c:pt idx="52">
                  <c:v>1231.81695</c:v>
                </c:pt>
                <c:pt idx="53">
                  <c:v>1385.1318</c:v>
                </c:pt>
              </c:numCache>
            </c:numRef>
          </c:yVal>
        </c:ser>
        <c:axId val="482759080"/>
        <c:axId val="482764904"/>
      </c:scatterChart>
      <c:valAx>
        <c:axId val="482759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Rockfish Biomass (g/180m3)</a:t>
                </a:r>
              </a:p>
            </c:rich>
          </c:tx>
        </c:title>
        <c:numFmt formatCode="General" sourceLinked="1"/>
        <c:tickLblPos val="nextTo"/>
        <c:crossAx val="482764904"/>
        <c:crosses val="autoZero"/>
        <c:crossBetween val="midCat"/>
      </c:valAx>
      <c:valAx>
        <c:axId val="482764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Kelp Greenling Biomass (g/180m3)</a:t>
                </a:r>
              </a:p>
            </c:rich>
          </c:tx>
        </c:title>
        <c:numFmt formatCode="General" sourceLinked="1"/>
        <c:tickLblPos val="nextTo"/>
        <c:crossAx val="48275908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cat>
            <c:strRef>
              <c:f>'fish transect biomass'!$AV$16:$AV$24</c:f>
              <c:strCache>
                <c:ptCount val="9"/>
                <c:pt idx="0">
                  <c:v>gfi</c:v>
                </c:pt>
                <c:pt idx="1">
                  <c:v>prasexe</c:v>
                </c:pt>
                <c:pt idx="2">
                  <c:v>sephaines</c:v>
                </c:pt>
                <c:pt idx="3">
                  <c:v>bartshot</c:v>
                </c:pt>
                <c:pt idx="4">
                  <c:v>chetarpe</c:v>
                </c:pt>
                <c:pt idx="5">
                  <c:v>lac</c:v>
                </c:pt>
                <c:pt idx="6">
                  <c:v>grassy</c:v>
                </c:pt>
                <c:pt idx="7">
                  <c:v>mortons</c:v>
                </c:pt>
                <c:pt idx="8">
                  <c:v>spring</c:v>
                </c:pt>
              </c:strCache>
            </c:strRef>
          </c:cat>
          <c:val>
            <c:numRef>
              <c:f>'fish transect biomass'!$BB$16:$BB$24</c:f>
              <c:numCache>
                <c:formatCode>General</c:formatCode>
                <c:ptCount val="9"/>
                <c:pt idx="0">
                  <c:v>0.0320308613720462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0.0132933449424454</c:v>
                </c:pt>
                <c:pt idx="6">
                  <c:v>18.83666961985383</c:v>
                </c:pt>
                <c:pt idx="7">
                  <c:v>9.520012204371605</c:v>
                </c:pt>
                <c:pt idx="8">
                  <c:v>2.960264892932532</c:v>
                </c:pt>
              </c:numCache>
            </c:numRef>
          </c:val>
        </c:ser>
        <c:axId val="482876280"/>
        <c:axId val="482879304"/>
      </c:barChart>
      <c:catAx>
        <c:axId val="482876280"/>
        <c:scaling>
          <c:orientation val="minMax"/>
        </c:scaling>
        <c:axPos val="l"/>
        <c:tickLblPos val="nextTo"/>
        <c:crossAx val="482879304"/>
        <c:crosses val="autoZero"/>
        <c:auto val="1"/>
        <c:lblAlgn val="ctr"/>
        <c:lblOffset val="100"/>
      </c:catAx>
      <c:valAx>
        <c:axId val="482879304"/>
        <c:scaling>
          <c:orientation val="minMax"/>
        </c:scaling>
        <c:axPos val="b"/>
        <c:numFmt formatCode="General" sourceLinked="1"/>
        <c:tickLblPos val="nextTo"/>
        <c:crossAx val="48287628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clustered"/>
        <c:ser>
          <c:idx val="0"/>
          <c:order val="0"/>
          <c:tx>
            <c:v>Small Demersal Fishes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dPt>
            <c:idx val="3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plus>
              <c:numRef>
                <c:f>'fish data from quadrats'!$AT$9:$AT$17</c:f>
                <c:numCache>
                  <c:formatCode>General</c:formatCode>
                  <c:ptCount val="9"/>
                  <c:pt idx="0">
                    <c:v>15.94144172690725</c:v>
                  </c:pt>
                  <c:pt idx="1">
                    <c:v>50.67367686461566</c:v>
                  </c:pt>
                  <c:pt idx="2">
                    <c:v>50.23537682740295</c:v>
                  </c:pt>
                  <c:pt idx="3">
                    <c:v>8.273437053093415</c:v>
                  </c:pt>
                  <c:pt idx="4">
                    <c:v>23.65691053578294</c:v>
                  </c:pt>
                  <c:pt idx="5">
                    <c:v>61.56669706434838</c:v>
                  </c:pt>
                  <c:pt idx="6">
                    <c:v>51.07557782922602</c:v>
                  </c:pt>
                  <c:pt idx="7">
                    <c:v>29.98990571052139</c:v>
                  </c:pt>
                  <c:pt idx="8">
                    <c:v>142.4200235878637</c:v>
                  </c:pt>
                </c:numCache>
              </c:numRef>
            </c:plus>
            <c:minus>
              <c:numRef>
                <c:f>'fish data from quadrats'!$AT$9:$AT$17</c:f>
                <c:numCache>
                  <c:formatCode>General</c:formatCode>
                  <c:ptCount val="9"/>
                  <c:pt idx="0">
                    <c:v>15.94144172690725</c:v>
                  </c:pt>
                  <c:pt idx="1">
                    <c:v>50.67367686461566</c:v>
                  </c:pt>
                  <c:pt idx="2">
                    <c:v>50.23537682740295</c:v>
                  </c:pt>
                  <c:pt idx="3">
                    <c:v>8.273437053093415</c:v>
                  </c:pt>
                  <c:pt idx="4">
                    <c:v>23.65691053578294</c:v>
                  </c:pt>
                  <c:pt idx="5">
                    <c:v>61.56669706434838</c:v>
                  </c:pt>
                  <c:pt idx="6">
                    <c:v>51.07557782922602</c:v>
                  </c:pt>
                  <c:pt idx="7">
                    <c:v>29.98990571052139</c:v>
                  </c:pt>
                  <c:pt idx="8">
                    <c:v>142.4200235878637</c:v>
                  </c:pt>
                </c:numCache>
              </c:numRef>
            </c:minus>
          </c:errBars>
          <c:cat>
            <c:strRef>
              <c:f>'fish data from quadrats'!$AP$9:$AP$17</c:f>
              <c:strCache>
                <c:ptCount val="9"/>
                <c:pt idx="0">
                  <c:v>Blue/Pras/Ex</c:v>
                </c:pt>
                <c:pt idx="1">
                  <c:v>GFI</c:v>
                </c:pt>
                <c:pt idx="2">
                  <c:v>Sep-Haines</c:v>
                </c:pt>
                <c:pt idx="3">
                  <c:v>Bartlett/Shot</c:v>
                </c:pt>
                <c:pt idx="4">
                  <c:v>Chetarpe</c:v>
                </c:pt>
                <c:pt idx="5">
                  <c:v>LAC</c:v>
                </c:pt>
                <c:pt idx="6">
                  <c:v>Grassy Island</c:v>
                </c:pt>
                <c:pt idx="7">
                  <c:v>Spring Island</c:v>
                </c:pt>
                <c:pt idx="8">
                  <c:v>Thorton Island</c:v>
                </c:pt>
              </c:strCache>
            </c:strRef>
          </c:cat>
          <c:val>
            <c:numRef>
              <c:f>'fish data from quadrats'!$AQ$9:$AQ$17</c:f>
              <c:numCache>
                <c:formatCode>General</c:formatCode>
                <c:ptCount val="9"/>
                <c:pt idx="0">
                  <c:v>25.27965814138673</c:v>
                </c:pt>
                <c:pt idx="1">
                  <c:v>136.510150756527</c:v>
                </c:pt>
                <c:pt idx="2">
                  <c:v>122.406764166409</c:v>
                </c:pt>
                <c:pt idx="3">
                  <c:v>14.63559175574377</c:v>
                </c:pt>
                <c:pt idx="4">
                  <c:v>44.54034932015206</c:v>
                </c:pt>
                <c:pt idx="5">
                  <c:v>111.9527694978188</c:v>
                </c:pt>
                <c:pt idx="6">
                  <c:v>96.0626995473913</c:v>
                </c:pt>
                <c:pt idx="7">
                  <c:v>60.67117978804324</c:v>
                </c:pt>
                <c:pt idx="8">
                  <c:v>265.4364082022342</c:v>
                </c:pt>
              </c:numCache>
            </c:numRef>
          </c:val>
        </c:ser>
        <c:axId val="472818552"/>
        <c:axId val="472769192"/>
      </c:barChart>
      <c:catAx>
        <c:axId val="472818552"/>
        <c:scaling>
          <c:orientation val="minMax"/>
        </c:scaling>
        <c:axPos val="b"/>
        <c:tickLblPos val="nextTo"/>
        <c:crossAx val="472769192"/>
        <c:crosses val="autoZero"/>
        <c:auto val="1"/>
        <c:lblAlgn val="ctr"/>
        <c:lblOffset val="100"/>
      </c:catAx>
      <c:valAx>
        <c:axId val="472769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(g/180m3)</a:t>
                </a:r>
              </a:p>
            </c:rich>
          </c:tx>
        </c:title>
        <c:numFmt formatCode="General" sourceLinked="1"/>
        <c:tickLblPos val="nextTo"/>
        <c:crossAx val="47281855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v>Lingcod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13877077865267"/>
                  <c:y val="-0.120945975503062"/>
                </c:manualLayout>
              </c:layout>
              <c:numFmt formatCode="General" sourceLinked="0"/>
            </c:trendlineLbl>
          </c:trendline>
          <c:xVal>
            <c:numRef>
              <c:f>Sheet3!$E$2:$E$11</c:f>
              <c:numCache>
                <c:formatCode>General</c:formatCode>
                <c:ptCount val="10"/>
                <c:pt idx="0">
                  <c:v>56.9</c:v>
                </c:pt>
                <c:pt idx="1">
                  <c:v>65.6</c:v>
                </c:pt>
                <c:pt idx="2">
                  <c:v>53.3</c:v>
                </c:pt>
                <c:pt idx="3">
                  <c:v>65.0</c:v>
                </c:pt>
                <c:pt idx="4">
                  <c:v>45.6</c:v>
                </c:pt>
                <c:pt idx="5">
                  <c:v>43.2</c:v>
                </c:pt>
                <c:pt idx="6">
                  <c:v>48.5</c:v>
                </c:pt>
                <c:pt idx="7">
                  <c:v>56.5</c:v>
                </c:pt>
                <c:pt idx="8">
                  <c:v>46.7</c:v>
                </c:pt>
                <c:pt idx="9">
                  <c:v>33.6</c:v>
                </c:pt>
              </c:numCache>
            </c:numRef>
          </c:xVal>
          <c:yVal>
            <c:numRef>
              <c:f>Sheet3!$G$2:$G$11</c:f>
              <c:numCache>
                <c:formatCode>General</c:formatCode>
                <c:ptCount val="10"/>
                <c:pt idx="0">
                  <c:v>1700.0</c:v>
                </c:pt>
                <c:pt idx="1">
                  <c:v>2780.0</c:v>
                </c:pt>
                <c:pt idx="2">
                  <c:v>1510.0</c:v>
                </c:pt>
                <c:pt idx="3">
                  <c:v>3650.0</c:v>
                </c:pt>
                <c:pt idx="4">
                  <c:v>840.0</c:v>
                </c:pt>
                <c:pt idx="5">
                  <c:v>660.0</c:v>
                </c:pt>
                <c:pt idx="6">
                  <c:v>1050.0</c:v>
                </c:pt>
                <c:pt idx="7">
                  <c:v>1760.0</c:v>
                </c:pt>
                <c:pt idx="8">
                  <c:v>850.0</c:v>
                </c:pt>
                <c:pt idx="9">
                  <c:v>590.0</c:v>
                </c:pt>
              </c:numCache>
            </c:numRef>
          </c:yVal>
        </c:ser>
        <c:axId val="482456456"/>
        <c:axId val="482450168"/>
      </c:scatterChart>
      <c:valAx>
        <c:axId val="482456456"/>
        <c:scaling>
          <c:orientation val="minMax"/>
        </c:scaling>
        <c:axPos val="b"/>
        <c:numFmt formatCode="General" sourceLinked="1"/>
        <c:tickLblPos val="nextTo"/>
        <c:crossAx val="482450168"/>
        <c:crosses val="autoZero"/>
        <c:crossBetween val="midCat"/>
      </c:valAx>
      <c:valAx>
        <c:axId val="482450168"/>
        <c:scaling>
          <c:orientation val="minMax"/>
        </c:scaling>
        <c:axPos val="l"/>
        <c:numFmt formatCode="General" sourceLinked="1"/>
        <c:tickLblPos val="nextTo"/>
        <c:crossAx val="48245645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571500</xdr:colOff>
      <xdr:row>42</xdr:row>
      <xdr:rowOff>25400</xdr:rowOff>
    </xdr:from>
    <xdr:to>
      <xdr:col>30</xdr:col>
      <xdr:colOff>533400</xdr:colOff>
      <xdr:row>66</xdr:row>
      <xdr:rowOff>12700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37</xdr:col>
      <xdr:colOff>635000</xdr:colOff>
      <xdr:row>65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42</xdr:row>
      <xdr:rowOff>0</xdr:rowOff>
    </xdr:from>
    <xdr:to>
      <xdr:col>45</xdr:col>
      <xdr:colOff>0</xdr:colOff>
      <xdr:row>65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50800</xdr:colOff>
      <xdr:row>16</xdr:row>
      <xdr:rowOff>114300</xdr:rowOff>
    </xdr:from>
    <xdr:to>
      <xdr:col>38</xdr:col>
      <xdr:colOff>228600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609600</xdr:colOff>
      <xdr:row>25</xdr:row>
      <xdr:rowOff>101600</xdr:rowOff>
    </xdr:from>
    <xdr:to>
      <xdr:col>48</xdr:col>
      <xdr:colOff>12700</xdr:colOff>
      <xdr:row>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12700</xdr:colOff>
      <xdr:row>19</xdr:row>
      <xdr:rowOff>127000</xdr:rowOff>
    </xdr:from>
    <xdr:to>
      <xdr:col>46</xdr:col>
      <xdr:colOff>457200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10</xdr:row>
      <xdr:rowOff>12700</xdr:rowOff>
    </xdr:from>
    <xdr:to>
      <xdr:col>12</xdr:col>
      <xdr:colOff>558800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 Martone" refreshedDate="38751.453321759262" refreshedVersion="3" recordCount="54">
  <cacheSource type="worksheet">
    <worksheetSource ref="M11:S65" sheet="old pivot table and graphs"/>
  </cacheSource>
  <cacheFields count="7">
    <cacheField name="Region" numFmtId="0">
      <sharedItems count="3">
        <s v="Barkley Sound"/>
        <s v="Clayquot Sound"/>
        <s v="Kyuquot Sound"/>
      </sharedItems>
    </cacheField>
    <cacheField name="Location" numFmtId="0">
      <sharedItems count="9">
        <s v="Bluestone/Prasiola/Execution"/>
        <s v="George Fraser Island"/>
        <s v="Seppings-Haines"/>
        <s v="Bartlett/Shot"/>
        <s v="LAC"/>
        <s v="Chetarpe"/>
        <s v="Grassy Island"/>
        <s v="Mortons"/>
        <s v="Spring Island"/>
      </sharedItems>
    </cacheField>
    <cacheField name="Transec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BRF Biomass (kg/180m3)" numFmtId="0">
      <sharedItems containsSemiMixedTypes="0" containsString="0" containsNumber="1" minValue="0" maxValue="12015.790625"/>
    </cacheField>
    <cacheField name="CRF Biomass (kg/180m3)" numFmtId="0">
      <sharedItems containsSemiMixedTypes="0" containsString="0" containsNumber="1" minValue="0" maxValue="2128.7634375000002" count="22">
        <n v="0"/>
        <n v="199.33593750000003"/>
        <n v="600.74218750000011"/>
        <n v="169.9271875"/>
        <n v="300.86"/>
        <n v="282.53968750000001"/>
        <n v="501.76000000000005"/>
        <n v="6.0025000000000004"/>
        <n v="5.6000000000000005"/>
        <n v="3.3600000000000003"/>
        <n v="662.8146875000001"/>
        <n v="51.572500000000005"/>
        <n v="27.352500000000003"/>
        <n v="925.09156250000012"/>
        <n v="2128.7634375000002"/>
        <n v="11.515000000000001"/>
        <n v="654.18718750000016"/>
        <n v="20.107500000000002"/>
        <n v="3.6575000000000002"/>
        <n v="4.4800000000000004"/>
        <n v="10.080000000000002"/>
        <n v="4.9525000000000006"/>
      </sharedItems>
    </cacheField>
    <cacheField name="KG biomass (kg/180m3)" numFmtId="0">
      <sharedItems containsSemiMixedTypes="0" containsString="0" containsNumber="1" minValue="0" maxValue="4943.9753999999994"/>
    </cacheField>
    <cacheField name="Rockfish Biomass (kg/180m3)" numFmtId="0">
      <sharedItems containsSemiMixedTypes="0" containsString="0" containsNumber="1" minValue="0" maxValue="12015.79062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becca Martone" refreshedDate="38673.863668981481" refreshedVersion="3" recordCount="57">
  <cacheSource type="worksheet">
    <worksheetSource ref="M11:R68" sheet="old pivot table and graphs"/>
  </cacheSource>
  <cacheFields count="6">
    <cacheField name="Region" numFmtId="0">
      <sharedItems containsBlank="1" count="4">
        <s v="Barkley Sound"/>
        <s v="Clayquot Sound"/>
        <s v="Kyuquot Sound"/>
        <m/>
      </sharedItems>
    </cacheField>
    <cacheField name="Location" numFmtId="0">
      <sharedItems containsBlank="1" count="10">
        <s v="Bluestone/Prasiola/Execution"/>
        <s v="George Fraser Island"/>
        <s v="Seppings-Haines"/>
        <s v="Bartlett/Shot"/>
        <s v="LAC"/>
        <s v="Chetarpe"/>
        <s v="Grassy Island"/>
        <s v="Mortons"/>
        <s v="Spring Island"/>
        <m/>
      </sharedItems>
    </cacheField>
    <cacheField name="Transec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BRF Biomass" numFmtId="0">
      <sharedItems containsString="0" containsBlank="1" containsNumber="1" minValue="0" maxValue="12015.790625"/>
    </cacheField>
    <cacheField name="CRF Biomass" numFmtId="0">
      <sharedItems containsString="0" containsBlank="1" containsNumber="1" minValue="0" maxValue="2128.7634375000002" count="23">
        <n v="0"/>
        <n v="199.33593750000003"/>
        <n v="600.74218750000011"/>
        <n v="169.9271875"/>
        <n v="300.86"/>
        <n v="282.53968750000001"/>
        <n v="501.76000000000005"/>
        <n v="6.0025000000000004"/>
        <n v="5.6000000000000005"/>
        <n v="3.3600000000000003"/>
        <n v="662.8146875000001"/>
        <n v="51.572500000000005"/>
        <n v="27.352500000000003"/>
        <n v="925.09156250000012"/>
        <n v="2128.7634375000002"/>
        <n v="11.515000000000001"/>
        <n v="654.18718750000016"/>
        <n v="20.107500000000002"/>
        <n v="3.6575000000000002"/>
        <n v="4.4800000000000004"/>
        <n v="10.080000000000002"/>
        <n v="4.9525000000000006"/>
        <m/>
      </sharedItems>
    </cacheField>
    <cacheField name="KG biomass" numFmtId="0">
      <sharedItems containsString="0" containsBlank="1" containsNumber="1" minValue="0" maxValue="4943.975399999999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edBy="Rebecca Martone" refreshedDate="39367.593344907407" refreshedVersion="3" recordCount="286">
  <cacheSource type="worksheet">
    <worksheetSource ref="A2:AC35" sheet="fish data"/>
  </cacheSource>
  <cacheFields count="26">
    <cacheField name="date" numFmtId="15">
      <sharedItems containsSemiMixedTypes="0" containsNonDate="0" containsDate="1" containsString="0" minDate="2013-05-28T00:00:00" maxDate="2013-08-27T00:00:00" count="20">
        <d v="2013-05-28T00:00:00"/>
        <d v="2013-05-29T00:00:00"/>
        <d v="2013-05-30T00:00:00"/>
        <d v="2013-06-30T00:00:00"/>
        <d v="2013-07-01T00:00:00"/>
        <d v="2013-07-02T00:00:00"/>
        <d v="2013-07-03T00:00:00"/>
        <d v="2013-07-04T00:00:00"/>
        <d v="2013-07-05T00:00:00"/>
        <d v="2013-07-23T00:00:00"/>
        <d v="2013-07-24T00:00:00"/>
        <d v="2013-07-25T00:00:00"/>
        <d v="2013-08-19T00:00:00"/>
        <d v="2013-08-20T00:00:00"/>
        <d v="2013-08-21T00:00:00"/>
        <d v="2013-08-22T00:00:00"/>
        <d v="2013-08-23T00:00:00"/>
        <d v="2013-08-24T00:00:00"/>
        <d v="2013-08-26T00:00:00"/>
        <d v="2013-08-27T00:00:00"/>
      </sharedItems>
    </cacheField>
    <cacheField name="region" numFmtId="0">
      <sharedItems count="4">
        <s v="Kyuquot"/>
        <s v="Barkley Sound"/>
        <s v="Clayquot Sound"/>
        <s v="Kyuquot Sound"/>
      </sharedItems>
    </cacheField>
    <cacheField name="location" numFmtId="0">
      <sharedItems count="11">
        <s v="Grassy Island"/>
        <s v="Spring Island"/>
        <s v="Thornton Island"/>
        <s v="Bluestone/Prasiola/Execution"/>
        <s v="George Fraser Island"/>
        <s v="Seppings-Haines"/>
        <s v="Bartlett/Shot"/>
        <s v="LAC"/>
        <s v="Chetarpe"/>
        <s v="Mortons"/>
        <s v="Prasiola/Execution" u="1"/>
      </sharedItems>
    </cacheField>
    <cacheField name="site" numFmtId="0">
      <sharedItems count="18">
        <s v="KGI1"/>
        <s v="Kamils"/>
        <s v="Morton"/>
        <s v="Prasiola Pt"/>
        <s v="Execution"/>
        <s v="GFI"/>
        <s v="SepHaines"/>
        <s v="Bluestone"/>
        <s v="Bartlett"/>
        <s v="Shot"/>
        <s v="LAC1 DOM 11"/>
        <s v="LAC 2 Salmon Alley"/>
        <s v="Chetarpe 1"/>
        <s v="Chetarpe 2"/>
        <s v="Grassy"/>
        <s v="Grassy 4"/>
        <s v="Spring 5"/>
        <s v="Smurf 4"/>
      </sharedItems>
    </cacheField>
    <cacheField name="Diver" numFmtId="0">
      <sharedItems count="3">
        <s v="SJD"/>
        <s v="RGM"/>
        <s v="SF"/>
      </sharedItems>
    </cacheField>
    <cacheField name="Visibility (ft)" numFmtId="0">
      <sharedItems containsBlank="1" containsMixedTypes="1" containsNumber="1" containsInteger="1" minValue="4" maxValue="20" count="11">
        <n v="20"/>
        <n v="15"/>
        <n v="7"/>
        <n v="5"/>
        <n v="10"/>
        <n v="12"/>
        <m/>
        <n v="6"/>
        <s v="8 to 10"/>
        <n v="8"/>
        <n v="4"/>
      </sharedItems>
    </cacheField>
    <cacheField name="Depth (m)" numFmtId="0">
      <sharedItems containsMixedTypes="1" containsNumber="1" minValue="5" maxValue="24"/>
    </cacheField>
    <cacheField name="transect #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eplicat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 u="1"/>
      </sharedItems>
    </cacheField>
    <cacheField name="Length of Transect (m)" numFmtId="0">
      <sharedItems count="3">
        <s v="30 x 2 x 3m"/>
        <s v="30 x 2"/>
        <s v="27 x 2"/>
      </sharedItems>
    </cacheField>
    <cacheField name="Transect Level" numFmtId="0">
      <sharedItems count="1">
        <s v="0-4m"/>
      </sharedItems>
    </cacheField>
    <cacheField name="group1" numFmtId="0">
      <sharedItems containsBlank="1" count="19">
        <s v="kg"/>
        <s v="ts"/>
        <s v="lc"/>
        <s v="brf"/>
        <s v="sculp"/>
        <s v="perch"/>
        <s v="crf"/>
        <s v="mammal"/>
        <s v="warbonnet"/>
        <s v="cabezon"/>
        <s v="painted green"/>
        <s v="other rf"/>
        <s v="goby"/>
        <s v="gunnel"/>
        <s v="bil"/>
        <m/>
        <s v="kelpfish"/>
        <s v="ril"/>
        <s v="pipefish"/>
      </sharedItems>
    </cacheField>
    <cacheField name="group2" numFmtId="0">
      <sharedItems containsBlank="1" count="9">
        <s v="kg"/>
        <s v="small pelagic"/>
        <s v="lc"/>
        <s v="rf"/>
        <s v="small demersal"/>
        <s v="perch"/>
        <s v="mammal"/>
        <s v="large demersal"/>
        <m/>
      </sharedItems>
    </cacheField>
    <cacheField name="Fish taxa" numFmtId="0">
      <sharedItems containsBlank="1" count="42">
        <s v="KGF"/>
        <s v="TS"/>
        <s v="KGM"/>
        <s v="LC"/>
        <s v="BRF"/>
        <s v="Sculpin spp."/>
        <s v="Striped Perch"/>
        <s v="CRF"/>
        <s v="Harbor seal"/>
        <s v="Artedius harringtoni"/>
        <s v="Pile Perch"/>
        <s v="Rockfish recruit"/>
        <s v="greenling juvenile (Kelp or white spotted)"/>
        <s v="padded sculpin"/>
        <s v="Grunt Sculpin"/>
        <s v="KGJ"/>
        <s v="Mosshead warbonnet"/>
        <s v="cabezon"/>
        <s v="longfin Sculpin"/>
        <s v="shiner perch"/>
        <s v="Painted greenling"/>
        <s v="YTR"/>
        <s v="BEG"/>
        <s v="Penpoint gunnel"/>
        <s v="Brown Irish Lord"/>
        <m/>
        <s v="unidentified kelp fish"/>
        <s v="Red Irish Lord"/>
        <s v="Silver surfperch"/>
        <s v="pipefish"/>
        <s v="Crescent gunnel"/>
        <s v="Warbonnet"/>
        <s v="MS"/>
        <s v="Vermillion rockfish"/>
        <s v="China RF"/>
        <s v="Kelp perch"/>
        <s v="Blue rf"/>
        <s v="unidentified rockfish"/>
        <s v="KG"/>
        <s v="Rainbow goby" u="1"/>
        <s v="small red sculpin" u="1"/>
        <s v="Black surf perch" u="1"/>
      </sharedItems>
    </cacheField>
    <cacheField name="&lt;10cm (specify size)" numFmtId="0">
      <sharedItems containsBlank="1" containsMixedTypes="1" containsNumber="1" containsInteger="1" minValue="0" maxValue="8"/>
    </cacheField>
    <cacheField name="10-15cm" numFmtId="0">
      <sharedItems containsBlank="1" containsMixedTypes="1" containsNumber="1" containsInteger="1" minValue="0" maxValue="30"/>
    </cacheField>
    <cacheField name="15-20cm" numFmtId="0">
      <sharedItems containsBlank="1" containsMixedTypes="1" containsNumber="1" containsInteger="1" minValue="0" maxValue="9" count="12">
        <n v="0"/>
        <m/>
        <n v="1"/>
        <n v="2"/>
        <n v="3"/>
        <n v="4"/>
        <n v="9"/>
        <n v="6"/>
        <s v="18cm"/>
        <s v="2 plus 1 x 15cm"/>
        <s v="15, 15"/>
        <s v="15cm"/>
      </sharedItems>
    </cacheField>
    <cacheField name="20-25cm" numFmtId="0">
      <sharedItems containsBlank="1" containsMixedTypes="1" containsNumber="1" containsInteger="1" minValue="0" maxValue="10" count="10">
        <n v="2"/>
        <m/>
        <n v="1"/>
        <n v="6"/>
        <n v="3"/>
        <s v="20cm"/>
        <s v="3 count; 18cm, 25cm"/>
        <n v="4"/>
        <n v="10"/>
        <n v="0"/>
      </sharedItems>
    </cacheField>
    <cacheField name="25-30cm" numFmtId="0">
      <sharedItems containsBlank="1" containsMixedTypes="1" containsNumber="1" containsInteger="1" minValue="0" maxValue="7" count="9">
        <n v="0"/>
        <m/>
        <n v="1"/>
        <n v="7"/>
        <n v="2"/>
        <n v="3"/>
        <s v="26cm"/>
        <s v="1 count; 27cm"/>
        <n v="5"/>
      </sharedItems>
    </cacheField>
    <cacheField name="30-35cm" numFmtId="0">
      <sharedItems containsString="0" containsBlank="1" containsNumber="1" containsInteger="1" minValue="0" maxValue="3" count="5">
        <n v="0"/>
        <m/>
        <n v="1"/>
        <n v="3"/>
        <n v="2"/>
      </sharedItems>
    </cacheField>
    <cacheField name="35-40cm" numFmtId="0">
      <sharedItems containsString="0" containsBlank="1" containsNumber="1" containsInteger="1" minValue="0" maxValue="3" count="5">
        <n v="1"/>
        <m/>
        <n v="0"/>
        <n v="2"/>
        <n v="3"/>
      </sharedItems>
    </cacheField>
    <cacheField name="40-45cm" numFmtId="0">
      <sharedItems containsBlank="1" containsMixedTypes="1" containsNumber="1" containsInteger="1" minValue="0" maxValue="2" count="5">
        <n v="0"/>
        <m/>
        <n v="2"/>
        <n v="1"/>
        <s v="45cm"/>
      </sharedItems>
    </cacheField>
    <cacheField name="45-50cm" numFmtId="0">
      <sharedItems containsString="0" containsBlank="1" containsNumber="1" containsInteger="1" minValue="0" maxValue="0" count="2">
        <n v="0"/>
        <m/>
      </sharedItems>
    </cacheField>
    <cacheField name="&gt;50cm (specify size)" numFmtId="0">
      <sharedItems containsBlank="1" containsMixedTypes="1" containsNumber="1" containsInteger="1" minValue="0" maxValue="65" count="9">
        <n v="0"/>
        <m/>
        <s v="1 x 1.5m"/>
        <s v="1 x 55cm"/>
        <s v="55cm"/>
        <s v="50cm"/>
        <n v="65"/>
        <s v="60cm"/>
        <s v="65cm"/>
      </sharedItems>
    </cacheField>
    <cacheField name="Notes" numFmtId="0">
      <sharedItems containsBlank="1" count="7">
        <m/>
        <s v="sand, shell, gravel, lots of young nereocystis, costaria costata and Cymathere triplicata"/>
        <s v="Could be CRF"/>
        <s v="check with stefan"/>
        <s v="not in transect CRF 2 x ~35cm"/>
        <s v="sand/cobble"/>
        <s v="Macrocystis integrifolia bed"/>
      </sharedItems>
    </cacheField>
    <cacheField name="Biomass (kg per 180m3)" numFmtId="0">
      <sharedItems containsString="0" containsBlank="1" containsNumber="1" minValue="2.155573722985105E-2" maxValue="12015.790625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ebecca Martone" refreshedDate="40266.661469907405" refreshedVersion="3" recordCount="54">
  <cacheSource type="worksheet">
    <worksheetSource ref="A1:AM55" sheet="fish transect biomass"/>
  </cacheSource>
  <cacheFields count="39">
    <cacheField name="region" numFmtId="0">
      <sharedItems count="3">
        <s v="bs"/>
        <s v="cs"/>
        <s v="ks"/>
      </sharedItems>
    </cacheField>
    <cacheField name="location" numFmtId="0">
      <sharedItems count="9">
        <s v="prasexe"/>
        <s v="gfi"/>
        <s v="sephaines"/>
        <s v="bartshot"/>
        <s v="chetarpe"/>
        <s v="lac"/>
        <s v="grassy"/>
        <s v="mortons"/>
        <s v="spring"/>
      </sharedItems>
    </cacheField>
    <cacheField name="transec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id" numFmtId="0">
      <sharedItems containsSemiMixedTypes="0" containsString="0" containsNumber="1" containsInteger="1" minValue="1" maxValue="54"/>
    </cacheField>
    <cacheField name="bil" numFmtId="0">
      <sharedItems containsSemiMixedTypes="0" containsString="0" containsNumber="1" minValue="0" maxValue="117.25820068180396" count="3">
        <n v="0"/>
        <n v="117.25820068180396"/>
        <n v="83.831187519855675"/>
      </sharedItems>
    </cacheField>
    <cacheField name="brf_total" numFmtId="0">
      <sharedItems containsSemiMixedTypes="0" containsString="0" containsNumber="1" minValue="0" maxValue="12015.790625"/>
    </cacheField>
    <cacheField name="brf_adult" numFmtId="0">
      <sharedItems containsSemiMixedTypes="0" containsString="0" containsNumber="1" minValue="0" maxValue="7935.9078124999996" count="18">
        <n v="5577.9828125000004"/>
        <n v="6340.8796875000007"/>
        <n v="0"/>
        <n v="226.16562500000001"/>
        <n v="1063.5718750000001"/>
        <n v="339.24843750000002"/>
        <n v="724.32343750000007"/>
        <n v="353.42500000000001"/>
        <n v="113.0828125"/>
        <n v="3500.0442625000001"/>
        <n v="2096.1531250000003"/>
        <n v="240.34218749999999"/>
        <n v="7935.9078124999996"/>
        <n v="4430.0109375000002"/>
        <n v="1032.58125"/>
        <n v="6912.8875000000007"/>
        <n v="1697.5609374999999"/>
        <n v="71.212500000000006"/>
      </sharedItems>
    </cacheField>
    <cacheField name="brf_juv" numFmtId="0">
      <sharedItems containsSemiMixedTypes="0" containsString="0" containsNumber="1" minValue="0" maxValue="4244.7265625" count="26">
        <n v="123.6328125"/>
        <n v="82.421875"/>
        <n v="0"/>
        <n v="123.63281249999997"/>
        <n v="700.5859375"/>
        <n v="1030.2734375"/>
        <n v="1195.1171875"/>
        <n v="206.05468749999997"/>
        <n v="41.2109375"/>
        <n v="41.210937499999943"/>
        <n v="906.64062500000011"/>
        <n v="164.84375"/>
        <n v="3092.0572999999999"/>
        <n v="4244.7265625"/>
        <n v="288.4765625"/>
        <n v="164.84375000000003"/>
        <n v="4079.8828125"/>
        <n v="1484.2531249999993"/>
        <n v="83.740624999998545"/>
        <n v="370.8984375"/>
        <n v="865.4296875"/>
        <n v="247.265625"/>
        <n v="1236.328125"/>
        <n v="1277.5390625"/>
        <n v="989.06249999999989"/>
        <n v="165.50312499999998"/>
      </sharedItems>
    </cacheField>
    <cacheField name="cabezon" numFmtId="0">
      <sharedItems containsSemiMixedTypes="0" containsString="0" containsNumber="1" minValue="0" maxValue="2940.4774656398595" count="6">
        <n v="0"/>
        <n v="2940.4774656398595"/>
        <n v="117.25820068180396"/>
        <n v="270.42871391866606"/>
        <n v="170.63338631495762"/>
        <n v="76.637066856170094"/>
      </sharedItems>
    </cacheField>
    <cacheField name="crf_total" numFmtId="0">
      <sharedItems containsSemiMixedTypes="0" containsString="0" containsNumber="1" minValue="0" maxValue="2128.7634375000002" count="22">
        <n v="0"/>
        <n v="199.33593750000003"/>
        <n v="600.74218750000011"/>
        <n v="169.9271875"/>
        <n v="300.86"/>
        <n v="282.53968750000001"/>
        <n v="501.76000000000005"/>
        <n v="6.0025000000000004"/>
        <n v="5.6000000000000005"/>
        <n v="3.3600000000000003"/>
        <n v="662.8146875000001"/>
        <n v="51.572500000000005"/>
        <n v="27.352500000000003"/>
        <n v="925.09156250000012"/>
        <n v="2128.7634375000002"/>
        <n v="11.515000000000001"/>
        <n v="654.18718750000016"/>
        <n v="20.107500000000002"/>
        <n v="3.6575000000000002"/>
        <n v="4.4800000000000004"/>
        <n v="10.080000000000002"/>
        <n v="4.9525000000000006"/>
      </sharedItems>
    </cacheField>
    <cacheField name="crf_adult" numFmtId="0">
      <sharedItems containsSemiMixedTypes="0" containsString="0" containsNumber="1" minValue="0" maxValue="2124.3359375000005" count="5">
        <n v="0"/>
        <n v="199.33593750000003"/>
        <n v="600.74218750000011"/>
        <n v="922.85156250000011"/>
        <n v="2124.3359375000005"/>
      </sharedItems>
    </cacheField>
    <cacheField name="crf_juv" numFmtId="0">
      <sharedItems containsSemiMixedTypes="0" containsString="0" containsNumber="1" minValue="0" maxValue="501.76000000000005" count="20">
        <n v="0"/>
        <n v="169.9271875"/>
        <n v="300.86"/>
        <n v="282.53968750000001"/>
        <n v="501.76000000000005"/>
        <n v="6.0025000000000004"/>
        <n v="5.6000000000000005"/>
        <n v="3.3600000000000003"/>
        <n v="62.072499999999991"/>
        <n v="51.572500000000005"/>
        <n v="27.352500000000003"/>
        <n v="2.2400000000000091"/>
        <n v="4.4274999999997817"/>
        <n v="11.515000000000001"/>
        <n v="53.44500000000005"/>
        <n v="20.107500000000002"/>
        <n v="3.6575000000000002"/>
        <n v="4.4800000000000004"/>
        <n v="10.080000000000002"/>
        <n v="4.9525000000000006"/>
      </sharedItems>
    </cacheField>
    <cacheField name="goby" numFmtId="0">
      <sharedItems containsSemiMixedTypes="0" containsString="0" containsNumber="1" minValue="0" maxValue="13.660901685981113" count="2">
        <n v="0"/>
        <n v="13.660901685981113"/>
      </sharedItems>
    </cacheField>
    <cacheField name="gunnel" numFmtId="0">
      <sharedItems containsSemiMixedTypes="0" containsString="0" containsNumber="1" minValue="0" maxValue="51.803045807752774" count="3">
        <n v="0"/>
        <n v="51.803045807752774"/>
        <n v="12.373223770999775"/>
      </sharedItems>
    </cacheField>
    <cacheField name="kelpfish" numFmtId="0">
      <sharedItems containsSemiMixedTypes="0" containsString="0" containsNumber="1" minValue="0" maxValue="0.95924364182691069" count="2">
        <n v="0"/>
        <n v="0.95924364182691069"/>
      </sharedItems>
    </cacheField>
    <cacheField name="kg" numFmtId="0">
      <sharedItems containsSemiMixedTypes="0" containsString="0" containsNumber="1" minValue="0" maxValue="4943.9753999999994"/>
    </cacheField>
    <cacheField name="lc" numFmtId="0">
      <sharedItems containsSemiMixedTypes="0" containsString="0" containsNumber="1" minValue="0" maxValue="3570.125" count="11">
        <n v="0"/>
        <n v="446.265625"/>
        <n v="1625"/>
        <n v="1184.625"/>
        <n v="2162.875"/>
        <n v="148.078125"/>
        <n v="716.625"/>
        <n v="685.546875"/>
        <n v="997.953125"/>
        <n v="2808"/>
        <n v="3570.125"/>
      </sharedItems>
    </cacheField>
    <cacheField name="other rf" numFmtId="0">
      <sharedItems containsSemiMixedTypes="0" containsString="0" containsNumber="1" minValue="0" maxValue="4090.1906375672297" count="12">
        <n v="0"/>
        <n v="698.88733925985878"/>
        <n v="1107.1802407315226"/>
        <n v="8.8535261319409582"/>
        <n v="4090.1906375672297"/>
        <n v="74.468581379745785"/>
        <n v="2989.2344609433121"/>
        <n v="92.100986023923937"/>
        <n v="23.586352454153225"/>
        <n v="149.95752389323175"/>
        <n v="21.542583849997314"/>
        <n v="64.789952488383747"/>
      </sharedItems>
    </cacheField>
    <cacheField name="other rf adult" numFmtId="0">
      <sharedItems containsSemiMixedTypes="0" containsString="0" containsNumber="1" minValue="0" maxValue="2971.3886019282509" count="5">
        <n v="0"/>
        <n v="78.924104890014817"/>
        <n v="1098.4028866902954"/>
        <n v="2717.4851014709748"/>
        <n v="2971.3886019282509"/>
      </sharedItems>
    </cacheField>
    <cacheField name="other rf juv" numFmtId="0">
      <sharedItems containsSemiMixedTypes="0" containsString="0" containsNumber="1" minValue="0" maxValue="1372.7055360962549" count="12">
        <n v="0"/>
        <n v="619.96323436984392"/>
        <n v="8.7773540412272268"/>
        <n v="8.8535261319409582"/>
        <n v="1372.7055360962549"/>
        <n v="74.468581379745785"/>
        <n v="17.845859015061251"/>
        <n v="92.100986023923937"/>
        <n v="23.586352454153225"/>
        <n v="149.95752389323175"/>
        <n v="21.542583849997314"/>
        <n v="64.789952488383747"/>
      </sharedItems>
    </cacheField>
    <cacheField name="painted green" numFmtId="0">
      <sharedItems containsSemiMixedTypes="0" containsString="0" containsNumber="1" minValue="0" maxValue="442.61999999999995" count="2">
        <n v="0"/>
        <n v="442.61999999999995"/>
      </sharedItems>
    </cacheField>
    <cacheField name="perch" numFmtId="0">
      <sharedItems containsSemiMixedTypes="0" containsString="0" containsNumber="1" minValue="0" maxValue="9891.7969414807721" count="11">
        <n v="0"/>
        <n v="16.527331831867926"/>
        <n v="6.5348883560053395"/>
        <n v="9.5712083585606855"/>
        <n v="9891.7969414807721"/>
        <n v="1275.5755960928645"/>
        <n v="2395.0295887211205"/>
        <n v="798.34319624037357"/>
        <n v="6169.1974466499905"/>
        <n v="1029.269608781784"/>
        <n v="2841.8542972152309"/>
      </sharedItems>
    </cacheField>
    <cacheField name="pipefish" numFmtId="0">
      <sharedItems containsSemiMixedTypes="0" containsString="0" containsNumber="1" minValue="0" maxValue="2.6970616288786107" count="2">
        <n v="0"/>
        <n v="2.6970616288786107"/>
      </sharedItems>
    </cacheField>
    <cacheField name="ril" numFmtId="0">
      <sharedItems containsSemiMixedTypes="0" containsString="0" containsNumber="1" minValue="0" maxValue="423.76118373838494" count="5">
        <n v="0"/>
        <n v="423.76118373838494"/>
        <n v="323.3235356776064"/>
        <n v="399.96060253377652"/>
        <n v="83.831187519855675"/>
      </sharedItems>
    </cacheField>
    <cacheField name="sculp" numFmtId="0">
      <sharedItems containsSemiMixedTypes="0" containsString="0" containsNumber="1" minValue="0" maxValue="35.076680146717599" count="8">
        <n v="0"/>
        <n v="35.076680146717599"/>
        <n v="3.9832953736762806"/>
        <n v="20.893409163700582"/>
        <n v="17.431008943405651"/>
        <n v="8.594578612501893"/>
        <n v="2.8452518760507912"/>
        <n v="5.9937395818191179"/>
      </sharedItems>
    </cacheField>
    <cacheField name="ts" numFmtId="0">
      <sharedItems containsSemiMixedTypes="0" containsString="0" containsNumber="1" minValue="0" maxValue="107.66139215707673" count="15">
        <n v="107.66139215707673"/>
        <n v="0"/>
        <n v="0.22517970576739735"/>
        <n v="0.37171984601790925"/>
        <n v="14.679473997210593"/>
        <n v="40.242194977987964"/>
        <n v="0.50079345774267114"/>
        <n v="4.9945585719974277"/>
        <n v="9.0163251304029597"/>
        <n v="1.0286826803532687"/>
        <n v="1.3939494225671596"/>
        <n v="0.6969747112835798"/>
        <n v="0.38208213841692834"/>
        <n v="1.1151595380537278"/>
        <n v="2.6592821872697869"/>
      </sharedItems>
    </cacheField>
    <cacheField name="warbonnet" numFmtId="0">
      <sharedItems containsSemiMixedTypes="0" containsString="0" containsNumber="1" minValue="0" maxValue="51.803045807752774" count="4">
        <n v="0"/>
        <n v="4.4819649463912077"/>
        <n v="51.803045807752774"/>
        <n v="5.9757384313780317"/>
      </sharedItems>
    </cacheField>
    <cacheField name="small demersal" numFmtId="0">
      <sharedItems containsSemiMixedTypes="0" containsString="0" containsNumber="1" minValue="0" maxValue="442.61999999999995" count="15">
        <n v="0"/>
        <n v="35.076680146717599"/>
        <n v="3.9832953736762806"/>
        <n v="25.375374110091791"/>
        <n v="17.431008943405651"/>
        <n v="442.61999999999995"/>
        <n v="13.660901685981113"/>
        <n v="8.594578612501893"/>
        <n v="51.803045807752774"/>
        <n v="0.95924364182691069"/>
        <n v="12.373223770999775"/>
        <n v="4.4819649463912077"/>
        <n v="2.8452518760507912"/>
        <n v="5.9757384313780317"/>
        <n v="5.9937395818191179"/>
      </sharedItems>
    </cacheField>
    <cacheField name="small pelagic" numFmtId="0">
      <sharedItems containsSemiMixedTypes="0" containsString="0" containsNumber="1" minValue="0" maxValue="107.66139215707673" count="16">
        <n v="107.66139215707673"/>
        <n v="0"/>
        <n v="0.22517970576739735"/>
        <n v="0.37171984601790925"/>
        <n v="14.679473997210593"/>
        <n v="40.242194977987964"/>
        <n v="0.50079345774267114"/>
        <n v="2.6970616288786107"/>
        <n v="4.9945585719974277"/>
        <n v="9.0163251304029597"/>
        <n v="1.0286826803532687"/>
        <n v="1.3939494225671596"/>
        <n v="0.6969747112835798"/>
        <n v="0.38208213841692834"/>
        <n v="1.1151595380537278"/>
        <n v="2.6592821872697869"/>
      </sharedItems>
    </cacheField>
    <cacheField name="total rf" numFmtId="0">
      <sharedItems containsSemiMixedTypes="0" containsString="0" containsNumber="1" minValue="0" maxValue="12024.644151131941"/>
    </cacheField>
    <cacheField name="all large demersal" numFmtId="0">
      <sharedItems containsSemiMixedTypes="0" containsString="0" containsNumber="1" minValue="83.606250000000003" maxValue="14460.607812499999"/>
    </cacheField>
    <cacheField name="all small pelagic" numFmtId="0">
      <sharedItems containsSemiMixedTypes="0" containsString="0" containsNumber="1" minValue="0" maxValue="12998.470566611177"/>
    </cacheField>
    <cacheField name="adult rf" numFmtId="0">
      <sharedItems containsSemiMixedTypes="0" containsString="0" containsNumber="1" minValue="0" maxValue="9037.2234375000007" count="24">
        <n v="5577.9828125000004"/>
        <n v="6340.8796875000007"/>
        <n v="0"/>
        <n v="199.33593750000003"/>
        <n v="826.90781250000009"/>
        <n v="1743.238167390015"/>
        <n v="226.16562500000001"/>
        <n v="339.24843750000002"/>
        <n v="724.32343750000007"/>
        <n v="353.42500000000001"/>
        <n v="113.0828125"/>
        <n v="3500.0442625000001"/>
        <n v="2096.1531250000003"/>
        <n v="954.16718750000018"/>
        <n v="1338.7450741902953"/>
        <n v="240.34218749999999"/>
        <n v="7935.9078124999996"/>
        <n v="8070.347601470975"/>
        <n v="1032.58125"/>
        <n v="9037.2234375000007"/>
        <n v="2971.3886019282509"/>
        <n v="600.74218750000011"/>
        <n v="1697.5609374999999"/>
        <n v="71.212500000000006"/>
      </sharedItems>
    </cacheField>
    <cacheField name="juv rf" numFmtId="0">
      <sharedItems containsSemiMixedTypes="0" containsString="0" containsNumber="1" minValue="0" maxValue="4248.0865624999997"/>
    </cacheField>
    <cacheField name="other large demersal" numFmtId="0">
      <sharedItems containsSemiMixedTypes="0" containsString="0" containsNumber="1" minValue="0" maxValue="3570.125" count="19">
        <n v="0"/>
        <n v="446.265625"/>
        <n v="1625"/>
        <n v="117.25820068180396"/>
        <n v="1184.625"/>
        <n v="2940.4774656398595"/>
        <n v="2162.875"/>
        <n v="148.078125"/>
        <n v="270.42871391866606"/>
        <n v="170.63338631495762"/>
        <n v="1140.3861837383849"/>
        <n v="76.637066856170094"/>
        <n v="685.546875"/>
        <n v="323.3235356776064"/>
        <n v="399.96060253377652"/>
        <n v="83.831187519855675"/>
        <n v="997.953125"/>
        <n v="2808"/>
        <n v="3570.125"/>
      </sharedItems>
    </cacheField>
    <cacheField name="perch2" numFmtId="0">
      <sharedItems containsSemiMixedTypes="0" containsString="0" containsNumber="1" minValue="0" maxValue="9891.7969414807721" count="11">
        <n v="0"/>
        <n v="16.527331831867926"/>
        <n v="6.5348883560053395"/>
        <n v="9.5712083585606855"/>
        <n v="9891.7969414807721"/>
        <n v="1275.5755960928645"/>
        <n v="2395.0295887211205"/>
        <n v="798.34319624037357"/>
        <n v="6169.1974466499905"/>
        <n v="1029.269608781784"/>
        <n v="2841.8542972152309"/>
      </sharedItems>
    </cacheField>
    <cacheField name="kelp greenling" numFmtId="0">
      <sharedItems containsSemiMixedTypes="0" containsString="0" containsNumber="1" minValue="0" maxValue="4943.9753999999994"/>
    </cacheField>
    <cacheField name="Pelagic Reef Fishes (Ed Gregr model kg/m2)" numFmtId="0">
      <sharedItems containsSemiMixedTypes="0" containsString="0" containsNumber="1" minValue="0" maxValue="8.2506777221759794E-2" count="21">
        <n v="8.971782679756395E-4"/>
        <n v="0"/>
        <n v="1.8764975480616445E-6"/>
        <n v="3.0976653834825774E-6"/>
        <n v="2.6005671524232098E-4"/>
        <n v="5.4457402966711164E-5"/>
        <n v="3.3535162481656639E-4"/>
        <n v="4.1732788145222593E-6"/>
        <n v="7.9760069654672379E-5"/>
        <n v="2.2475513573988425E-5"/>
        <n v="4.1621321433311893E-5"/>
        <n v="8.2506777221759794E-2"/>
        <n v="1.0629796634107205E-2"/>
        <n v="1.9967152261678948E-2"/>
        <n v="1.1616245188059663E-5"/>
        <n v="6.6528599686697795E-3"/>
        <n v="5.1409978722083256E-2"/>
        <n v="8.5830548624422284E-3"/>
        <n v="3.1840178201410693E-6"/>
        <n v="9.2929961504477319E-6"/>
        <n v="2.3704279828354168E-2"/>
      </sharedItems>
    </cacheField>
    <cacheField name="Other Demersal Reef Fish (Ed Gregr Food Web kg/m2)" numFmtId="0">
      <sharedItems containsSemiMixedTypes="0" containsString="0" containsNumber="1" minValue="4.4589999999999992E-5" maxValue="0.1311778679260995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ebecca Martone" refreshedDate="40266.510185185187" refreshedVersion="3" recordCount="9">
  <cacheSource type="worksheet">
    <worksheetSource ref="AU15:BD24" sheet="fish transect biomass"/>
  </cacheSource>
  <cacheFields count="10">
    <cacheField name="region" numFmtId="0">
      <sharedItems count="3">
        <s v="bs"/>
        <s v="cs"/>
        <s v="ks"/>
      </sharedItems>
    </cacheField>
    <cacheField name="location" numFmtId="0">
      <sharedItems count="9">
        <s v="gfi"/>
        <s v="prasexe"/>
        <s v="sephaines"/>
        <s v="bartshot"/>
        <s v="chetarpe"/>
        <s v="lac"/>
        <s v="grassy"/>
        <s v="mortons"/>
        <s v="spring"/>
      </sharedItems>
    </cacheField>
    <cacheField name="area" numFmtId="0">
      <sharedItems containsSemiMixedTypes="0" containsString="0" containsNumber="1" containsInteger="1" minValue="480" maxValue="960" count="5">
        <n v="720"/>
        <n v="600"/>
        <n v="480"/>
        <n v="840"/>
        <n v="960"/>
      </sharedItems>
    </cacheField>
    <cacheField name="other large demersal" numFmtId="0">
      <sharedItems containsSemiMixedTypes="0" containsString="0" containsNumber="1" minValue="0.284388977191596" maxValue="8.7810453869047613" count="9">
        <n v="7.0879895356109159"/>
        <n v="4.6849289245580605"/>
        <n v="0.74411811055620836"/>
        <n v="0.284388977191596"/>
        <n v="3.963687761655323"/>
        <n v="1.0045613030713652"/>
        <n v="1.5024782118331328"/>
        <n v="8.7810453869047613"/>
        <n v="4.8457388672081834"/>
      </sharedItems>
    </cacheField>
    <cacheField name="small pelagic" numFmtId="0">
      <sharedItems containsSemiMixedTypes="0" containsString="0" containsNumber="1" minValue="0" maxValue="0.15035873848453063" count="9">
        <n v="2.0388158329459158E-2"/>
        <n v="0.15035873848453063"/>
        <n v="5.5891937469427729E-2"/>
        <n v="0"/>
        <n v="1.0433197036305649E-3"/>
        <n v="1.0682805834550052E-2"/>
        <n v="1.6582987070925082E-2"/>
        <n v="1.2845914877387002E-3"/>
        <n v="3.9317101305453277E-3"/>
      </sharedItems>
    </cacheField>
    <cacheField name="brf_adult" numFmtId="0">
      <sharedItems containsSemiMixedTypes="0" containsString="0" containsNumber="1" minValue="0" maxValue="24.180223214285714" count="8">
        <n v="1.7913020833333335"/>
        <n v="16.553975694444446"/>
        <n v="0.6282378472222222"/>
        <n v="2.3616614583333333"/>
        <n v="0"/>
        <n v="8.9309816145833345"/>
        <n v="24.180223214285714"/>
        <n v="2.2106233723958337"/>
      </sharedItems>
    </cacheField>
    <cacheField name="kg" numFmtId="0">
      <sharedItems containsSemiMixedTypes="0" containsString="0" containsNumber="1" minValue="2.200339375" maxValue="22.809960178571426" count="9">
        <n v="10.266002499999999"/>
        <n v="2.200339375"/>
        <n v="4.1906962500000002"/>
        <n v="5.8077499999999995"/>
        <n v="7.5328987500000002"/>
        <n v="2.434290625"/>
        <n v="14.876051666666667"/>
        <n v="22.809960178571426"/>
        <n v="14.252944062500001"/>
      </sharedItems>
    </cacheField>
    <cacheField name="perch" numFmtId="0">
      <sharedItems containsSemiMixedTypes="0" containsString="0" containsNumber="1" minValue="0" maxValue="18.836669619853829" count="6">
        <n v="3.20308613720462E-2"/>
        <n v="0"/>
        <n v="1.3293344942445396E-2"/>
        <n v="18.836669619853829"/>
        <n v="9.5200122043716053"/>
        <n v="2.9602648929325324"/>
      </sharedItems>
    </cacheField>
    <cacheField name="adult rf" numFmtId="0">
      <sharedItems containsSemiMixedTypes="0" containsString="0" containsNumber="1" minValue="0" maxValue="35.295465346308603" count="8">
        <n v="4.1233581317916874"/>
        <n v="16.553975694444446"/>
        <n v="0.6282378472222222"/>
        <n v="2.3616614583333333"/>
        <n v="0"/>
        <n v="11.290905328736521"/>
        <n v="35.295465346308603"/>
        <n v="2.2106233723958337"/>
      </sharedItems>
    </cacheField>
    <cacheField name="juv rf" numFmtId="0">
      <sharedItems containsSemiMixedTypes="0" containsString="0" containsNumber="1" minValue="0" maxValue="11.097291620196149" count="9">
        <n v="3.4367436414858945"/>
        <n v="0.28618706597222221"/>
        <n v="2.0033094618055554"/>
        <n v="0.85333020833333328"/>
        <n v="0"/>
        <n v="2.6430520833333335"/>
        <n v="11.097291620196149"/>
        <n v="10.059301416813096"/>
        <n v="4.7701274986559268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ebecca Martone" refreshedDate="39367.961435185185" refreshedVersion="3" recordCount="260">
  <cacheSource type="worksheet">
    <worksheetSource ref="A1:AC1048576" sheet="fish data"/>
  </cacheSource>
  <cacheFields count="29">
    <cacheField name="date" numFmtId="0">
      <sharedItems containsDate="1" containsString="0" containsBlank="1" minDate="2013-06-30T00:00:00" maxDate="2013-08-27T00:00:00" count="18">
        <d v="2013-06-30T00:00:00"/>
        <d v="2013-07-01T00:00:00"/>
        <d v="2013-07-02T00:00:00"/>
        <d v="2013-07-03T00:00:00"/>
        <d v="2013-07-04T00:00:00"/>
        <d v="2013-07-05T00:00:00"/>
        <d v="2013-07-23T00:00:00"/>
        <d v="2013-07-24T00:00:00"/>
        <d v="2013-07-25T00:00:00"/>
        <d v="2013-08-19T00:00:00"/>
        <d v="2013-08-20T00:00:00"/>
        <d v="2013-08-21T00:00:00"/>
        <d v="2013-08-22T00:00:00"/>
        <d v="2013-08-23T00:00:00"/>
        <d v="2013-08-24T00:00:00"/>
        <d v="2013-08-26T00:00:00"/>
        <d v="2013-08-27T00:00:00"/>
        <m/>
      </sharedItems>
    </cacheField>
    <cacheField name="region" numFmtId="0">
      <sharedItems containsBlank="1" count="5">
        <s v="Barkley Sound"/>
        <s v="Clayquot Sound"/>
        <s v="Kyuquot Sound"/>
        <m/>
        <s v="Kyuquot" u="1"/>
      </sharedItems>
    </cacheField>
    <cacheField name="location" numFmtId="0">
      <sharedItems containsBlank="1" count="11">
        <s v="Bluestone/Prasiola/Execution"/>
        <s v="George Fraser Island"/>
        <s v="Seppings-Haines"/>
        <s v="Bartlett/Shot"/>
        <s v="LAC"/>
        <s v="Chetarpe"/>
        <s v="Spring Island"/>
        <s v="Grassy Island"/>
        <s v="Mortons"/>
        <m/>
        <s v="Morton" u="1"/>
      </sharedItems>
    </cacheField>
    <cacheField name="site" numFmtId="0">
      <sharedItems containsBlank="1" count="18">
        <s v="Prasiola Pt"/>
        <s v="Execution"/>
        <s v="GFI"/>
        <s v="SepHaines"/>
        <s v="Bluestone"/>
        <s v="Bartlett"/>
        <s v="Shot"/>
        <s v="LAC1 DOM 11"/>
        <s v="LAC 2 Salmon Alley"/>
        <s v="Chetarpe 1"/>
        <s v="Chetarpe 2"/>
        <s v="Kamils"/>
        <s v="Grassy"/>
        <s v="Morton"/>
        <s v="Grassy 4"/>
        <s v="Spring 5"/>
        <s v="Smurf 4"/>
        <m/>
      </sharedItems>
    </cacheField>
    <cacheField name="Diver" numFmtId="0">
      <sharedItems containsBlank="1" count="4">
        <s v="SJD"/>
        <s v="RGM"/>
        <s v="SF"/>
        <m/>
      </sharedItems>
    </cacheField>
    <cacheField name="Visibility (ft)" numFmtId="0">
      <sharedItems containsBlank="1" containsMixedTypes="1" containsNumber="1" containsInteger="1" minValue="4" maxValue="20" count="11">
        <n v="5"/>
        <n v="10"/>
        <n v="12"/>
        <m/>
        <n v="6"/>
        <n v="7"/>
        <n v="20"/>
        <n v="15"/>
        <s v="8 to 10"/>
        <n v="8"/>
        <n v="4"/>
      </sharedItems>
    </cacheField>
    <cacheField name="Depth (m)" numFmtId="0">
      <sharedItems containsBlank="1" containsMixedTypes="1" containsNumber="1" minValue="5" maxValue="24"/>
    </cacheField>
    <cacheField name="transect #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Replicate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Length of Transect (m)" numFmtId="0">
      <sharedItems containsBlank="1" count="3">
        <s v="30 x 2"/>
        <s v="27 x 2"/>
        <m/>
      </sharedItems>
    </cacheField>
    <cacheField name="Transect Level" numFmtId="0">
      <sharedItems containsBlank="1" count="2">
        <s v="0-4m"/>
        <m/>
      </sharedItems>
    </cacheField>
    <cacheField name="group1" numFmtId="0">
      <sharedItems containsBlank="1" count="18">
        <s v="brf"/>
        <s v="ts"/>
        <s v="kg"/>
        <s v="sculp"/>
        <s v="lc"/>
        <s v="warbonnet"/>
        <s v="cabezon"/>
        <s v="crf"/>
        <s v="perch"/>
        <s v="painted green"/>
        <s v="other rf"/>
        <s v="goby"/>
        <s v="gunnel"/>
        <s v="bil"/>
        <m/>
        <s v="kelpfish"/>
        <s v="ril"/>
        <s v="pipefish"/>
      </sharedItems>
    </cacheField>
    <cacheField name="group2" numFmtId="0">
      <sharedItems containsBlank="1" count="9">
        <s v="rf"/>
        <s v="small pelagic"/>
        <s v="kg"/>
        <s v="small demersal"/>
        <s v="lc"/>
        <s v="large demersal"/>
        <s v="perch"/>
        <m/>
        <s v=" "/>
      </sharedItems>
    </cacheField>
    <cacheField name="Fish taxa" numFmtId="0">
      <sharedItems containsBlank="1"/>
    </cacheField>
    <cacheField name="density" numFmtId="0">
      <sharedItems containsString="0" containsBlank="1" containsNumber="1" containsInteger="1" minValue="0" maxValue="200"/>
    </cacheField>
    <cacheField name="adultdensity" numFmtId="0">
      <sharedItems containsString="0" containsBlank="1" containsNumber="1" containsInteger="1" minValue="0" maxValue="20" count="13">
        <n v="5"/>
        <n v="0"/>
        <n v="19"/>
        <n v="1"/>
        <n v="3"/>
        <n v="2"/>
        <n v="4"/>
        <n v="7"/>
        <n v="9"/>
        <n v="10"/>
        <n v="20"/>
        <n v="8"/>
        <m/>
      </sharedItems>
    </cacheField>
    <cacheField name="&lt;10cm (specify size)" numFmtId="0">
      <sharedItems containsBlank="1" containsMixedTypes="1" containsNumber="1" containsInteger="1" minValue="4" maxValue="8"/>
    </cacheField>
    <cacheField name="10-15cm" numFmtId="0">
      <sharedItems containsBlank="1" containsMixedTypes="1" containsNumber="1" containsInteger="1" minValue="0" maxValue="29"/>
    </cacheField>
    <cacheField name="15-20cm" numFmtId="0">
      <sharedItems containsBlank="1" containsMixedTypes="1" containsNumber="1" containsInteger="1" minValue="0" maxValue="9" count="12">
        <n v="1"/>
        <m/>
        <n v="9"/>
        <n v="3"/>
        <n v="2"/>
        <n v="6"/>
        <n v="4"/>
        <s v="18cm"/>
        <s v="2 plus 1 x 15cm"/>
        <s v="15, 15"/>
        <n v="0"/>
        <s v="15cm"/>
      </sharedItems>
    </cacheField>
    <cacheField name="20-25cm" numFmtId="0">
      <sharedItems containsBlank="1" containsMixedTypes="1" containsNumber="1" containsInteger="1" minValue="0" maxValue="10" count="9">
        <m/>
        <n v="3"/>
        <n v="1"/>
        <n v="2"/>
        <s v="20cm"/>
        <s v="3 count; 18cm, 25cm"/>
        <n v="4"/>
        <n v="10"/>
        <n v="0"/>
      </sharedItems>
    </cacheField>
    <cacheField name="25-30cm" numFmtId="0">
      <sharedItems containsBlank="1" containsMixedTypes="1" containsNumber="1" containsInteger="1" minValue="0" maxValue="5" count="8">
        <m/>
        <n v="3"/>
        <n v="1"/>
        <s v="26cm"/>
        <n v="2"/>
        <s v="1 count; 27cm"/>
        <n v="5"/>
        <n v="0"/>
      </sharedItems>
    </cacheField>
    <cacheField name="30-35cm" numFmtId="0">
      <sharedItems containsString="0" containsBlank="1" containsNumber="1" containsInteger="1" minValue="0" maxValue="3" count="5">
        <m/>
        <n v="3"/>
        <n v="1"/>
        <n v="2"/>
        <n v="0"/>
      </sharedItems>
    </cacheField>
    <cacheField name="35-40cm" numFmtId="0">
      <sharedItems containsString="0" containsBlank="1" containsNumber="1" containsInteger="1" minValue="1" maxValue="3" count="4">
        <n v="2"/>
        <m/>
        <n v="1"/>
        <n v="3"/>
      </sharedItems>
    </cacheField>
    <cacheField name="40-45cm" numFmtId="0">
      <sharedItems containsBlank="1" containsMixedTypes="1" containsNumber="1" containsInteger="1" minValue="1" maxValue="2" count="4">
        <n v="2"/>
        <m/>
        <n v="1"/>
        <s v="45cm"/>
      </sharedItems>
    </cacheField>
    <cacheField name="45-50cm" numFmtId="0">
      <sharedItems containsString="0" containsBlank="1" count="1">
        <m/>
      </sharedItems>
    </cacheField>
    <cacheField name="&gt;50cm (specify size)" numFmtId="0">
      <sharedItems containsBlank="1" containsMixedTypes="1" containsNumber="1" containsInteger="1" minValue="65" maxValue="65" count="6">
        <m/>
        <s v="55cm"/>
        <s v="50cm"/>
        <n v="65"/>
        <s v="60cm"/>
        <s v="65cm"/>
      </sharedItems>
    </cacheField>
    <cacheField name="Notes" numFmtId="0">
      <sharedItems containsBlank="1" count="5">
        <m/>
        <s v="check with stefan"/>
        <s v="not in transect CRF 2 x ~35cm"/>
        <s v="sand/cobble"/>
        <s v="Macrocystis integrifolia bed"/>
      </sharedItems>
    </cacheField>
    <cacheField name="adult biomass" numFmtId="0">
      <sharedItems containsString="0" containsBlank="1" containsNumber="1" minValue="0" maxValue="7935.9078124999996" count="27">
        <n v="5577.9828125000004"/>
        <m/>
        <n v="6340.8796875000007"/>
        <n v="199.33593750000003"/>
        <n v="226.16562500000001"/>
        <n v="600.74218750000011"/>
        <n v="1063.5718750000001"/>
        <n v="78.924104890014817"/>
        <n v="0"/>
        <n v="339.24843750000002"/>
        <n v="724.32343750000007"/>
        <n v="353.42500000000001"/>
        <n v="113.0828125"/>
        <n v="3500.0442625000001"/>
        <n v="1697.5609374999999"/>
        <n v="7935.9078124999996"/>
        <n v="4430.0109375000002"/>
        <n v="922.85156250000011"/>
        <n v="2717.4851014709748"/>
        <n v="1032.58125"/>
        <n v="6912.8875000000007"/>
        <n v="2124.3359375000005"/>
        <n v="2096.1531250000003"/>
        <n v="2971.3886019282509"/>
        <n v="240.34218749999999"/>
        <n v="71.212500000000006"/>
        <n v="1098.4028866902954"/>
      </sharedItems>
    </cacheField>
    <cacheField name="Biomass (kg per 180m3)" numFmtId="0">
      <sharedItems containsString="0" containsBlank="1" containsNumber="1" minValue="0.22517970576739735" maxValue="12015.790625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ebecca Martone" refreshedDate="38675.469710648147" refreshedVersion="3" recordCount="184">
  <cacheSource type="worksheet">
    <worksheetSource ref="AD7:AG191" sheet="fish data from quadrats"/>
  </cacheSource>
  <cacheFields count="4">
    <cacheField name="Region" numFmtId="0">
      <sharedItems count="3">
        <s v="BS"/>
        <s v="CS"/>
        <s v="KS"/>
      </sharedItems>
    </cacheField>
    <cacheField name="Site" numFmtId="0">
      <sharedItems count="9">
        <s v="Bluestone/Prasiola/Execution"/>
        <s v="George Fraser Island"/>
        <s v="Seppings-Haines"/>
        <s v="Bartlett/Shot"/>
        <s v="Chetarpe"/>
        <s v="LAC"/>
        <s v="Grassy Island"/>
        <s v="Spring Island"/>
        <s v="Thorton Island"/>
      </sharedItems>
    </cacheField>
    <cacheField name="Quadrat" numFmtId="0">
      <sharedItems containsSemiMixedTypes="0" containsString="0" containsNumber="1" containsInteger="1" minValue="1" maxValue="25" count="25">
        <n v="3"/>
        <n v="5"/>
        <n v="8"/>
        <n v="1"/>
        <n v="2"/>
        <n v="4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Biomass" numFmtId="0">
      <sharedItems containsSemiMixedTypes="0" containsString="0" containsNumber="1" minValue="0" maxValue="1946.5336701568417" count="30">
        <n v="126.3982904143277"/>
        <n v="75.838976472401924"/>
        <n v="278.0762377996183"/>
        <n v="0"/>
        <n v="404.4745226544328"/>
        <n v="505.59315053828436"/>
        <n v="707.83041186550076"/>
        <n v="606.71177842213592"/>
        <n v="682.55074933502465"/>
        <n v="278.07623224010507"/>
        <n v="227.51692385769252"/>
        <n v="379.19486568346986"/>
        <n v="657.27109792357498"/>
        <n v="353.91520315299374"/>
        <n v="631.99145763115177"/>
        <n v="176.95760435625351"/>
        <n v="353.91520871250702"/>
        <n v="101.11863344336481"/>
        <n v="1238.7032082557216"/>
        <n v="303.35589477058124"/>
        <n v="151.67794738529062"/>
        <n v="631.99145207163861"/>
        <n v="227.51691829817929"/>
        <n v="834.22869672031527"/>
        <n v="252.79658082865544"/>
        <n v="379.19487680249642"/>
        <n v="429.75419074442209"/>
        <n v="1643.1777531482076"/>
        <n v="1946.5336701568417"/>
        <n v="1617.8981072962713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ebecca Martone" refreshedDate="38675.461331018516" refreshedVersion="3" recordCount="110">
  <cacheSource type="worksheet">
    <worksheetSource ref="A1:W1048576" sheet="fish data from quadrats"/>
  </cacheSource>
  <cacheFields count="23">
    <cacheField name="Date" numFmtId="0">
      <sharedItems containsDate="1" containsString="0" containsBlank="1" minDate="2013-07-01T00:00:00" maxDate="2013-08-27T00:00:00" count="16">
        <d v="2013-08-23T00:00:00"/>
        <d v="2013-08-24T00:00:00"/>
        <d v="2013-08-21T00:00:00"/>
        <d v="2013-07-01T00:00:00"/>
        <d v="2013-07-25T00:00:00"/>
        <d v="2013-08-27T00:00:00"/>
        <d v="2013-07-02T00:00:00"/>
        <d v="2013-07-03T00:00:00"/>
        <d v="2013-07-04T00:00:00"/>
        <d v="2013-07-05T00:00:00"/>
        <d v="2013-07-23T00:00:00"/>
        <d v="2013-07-24T00:00:00"/>
        <d v="2013-08-20T00:00:00"/>
        <d v="2013-08-22T00:00:00"/>
        <d v="2013-08-26T00:00:00"/>
        <m/>
      </sharedItems>
    </cacheField>
    <cacheField name="Team" numFmtId="0">
      <sharedItems containsBlank="1" count="12">
        <s v="RGM + AC"/>
        <s v="RGM"/>
        <s v="JCN + MM"/>
        <s v="SCK + BH"/>
        <s v="JCN"/>
        <s v="JJ + SCK"/>
        <s v="JCN + SCK"/>
        <s v="JJ + SF"/>
        <s v="BH + JCN + SCK"/>
        <s v="RGM + JCN"/>
        <s v="SJD"/>
        <m/>
      </sharedItems>
    </cacheField>
    <cacheField name="Collector" numFmtId="0">
      <sharedItems containsBlank="1" count="17">
        <s v="RGM, AMC"/>
        <s v="RGM"/>
        <s v="MM, JCN"/>
        <s v="SCK, BH"/>
        <s v="JCN"/>
        <s v="JCN, MM"/>
        <s v="JJ, SCK"/>
        <s v="SCK, JJ"/>
        <s v="SCK, JCN"/>
        <s v="JJ"/>
        <s v="JJ, SF"/>
        <s v="JCN, SCK"/>
        <s v="SK, JCN"/>
        <s v="RGM, AC"/>
        <s v="RGM, JCN"/>
        <s v="SJD"/>
        <m/>
      </sharedItems>
    </cacheField>
    <cacheField name="Region" numFmtId="0">
      <sharedItems containsBlank="1" count="4">
        <s v="Kyuquot Sound"/>
        <s v="Barkley Sound"/>
        <s v="Clayquot Sound"/>
        <m/>
      </sharedItems>
    </cacheField>
    <cacheField name="Location" numFmtId="0">
      <sharedItems containsBlank="1" count="10">
        <s v="Grassy Island"/>
        <s v="Thorton Island"/>
        <s v="Spring Island"/>
        <s v="George Fraser Island"/>
        <s v="Chetarpe"/>
        <s v="Seppings-Haines"/>
        <s v="Bluestone/Prasiola/Execution"/>
        <s v="Bartlett/Shot"/>
        <s v="LAC"/>
        <m/>
      </sharedItems>
    </cacheField>
    <cacheField name="Site" numFmtId="0">
      <sharedItems containsBlank="1" count="14">
        <s v="Smurf 4"/>
        <s v="Morton"/>
        <s v="Kamils"/>
        <s v="GFI"/>
        <s v="Chetarpe 1"/>
        <s v="SepHaines"/>
        <s v="Bluestone"/>
        <s v="Bartlett"/>
        <s v="LAC 1"/>
        <s v="LAC 2 Salmon Alley"/>
        <s v="Chetarpe 2"/>
        <s v="Grassy"/>
        <s v="Spring 5"/>
        <m/>
      </sharedItems>
    </cacheField>
    <cacheField name="Dive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Visibility (ft)" numFmtId="0">
      <sharedItems containsString="0" containsBlank="1" containsNumber="1" containsInteger="1" minValue="4" maxValue="20" count="9">
        <m/>
        <n v="8"/>
        <n v="15"/>
        <n v="7"/>
        <n v="4"/>
        <n v="5"/>
        <n v="6"/>
        <n v="10"/>
        <n v="20"/>
      </sharedItems>
    </cacheField>
    <cacheField name="Dive Time" numFmtId="0">
      <sharedItems containsString="0" containsBlank="1" count="1">
        <m/>
      </sharedItems>
    </cacheField>
    <cacheField name="Start time" numFmtId="0">
      <sharedItems containsString="0" containsBlank="1" containsNumber="1" containsInteger="1" minValue="750" maxValue="1227" count="8">
        <m/>
        <n v="1000"/>
        <n v="1227"/>
        <n v="937"/>
        <n v="918"/>
        <n v="750"/>
        <n v="800"/>
        <n v="1040"/>
      </sharedItems>
    </cacheField>
    <cacheField name="End time" numFmtId="0">
      <sharedItems containsString="0" containsBlank="1" count="1">
        <m/>
      </sharedItems>
    </cacheField>
    <cacheField name="Low tide height and time?" numFmtId="0">
      <sharedItems containsString="0" containsBlank="1" count="1">
        <m/>
      </sharedItems>
    </cacheField>
    <cacheField name="Quadrat #" numFmtId="0">
      <sharedItems containsString="0" containsBlank="1" containsNumber="1" containsInteger="1" minValue="1" maxValue="8" count="9">
        <n v="3"/>
        <n v="1"/>
        <n v="2"/>
        <n v="7"/>
        <n v="5"/>
        <n v="4"/>
        <n v="6"/>
        <n v="8"/>
        <m/>
      </sharedItems>
    </cacheField>
    <cacheField name="Depth (ft)" numFmtId="0">
      <sharedItems containsString="0" containsBlank="1" containsNumber="1" containsInteger="1" minValue="11" maxValue="36" count="20">
        <n v="20"/>
        <m/>
        <n v="16"/>
        <n v="21"/>
        <n v="17"/>
        <n v="22"/>
        <n v="23"/>
        <n v="25"/>
        <n v="18"/>
        <n v="12"/>
        <n v="13"/>
        <n v="11"/>
        <n v="14"/>
        <n v="28"/>
        <n v="32"/>
        <n v="31"/>
        <n v="19"/>
        <n v="26"/>
        <n v="36"/>
        <n v="30"/>
      </sharedItems>
    </cacheField>
    <cacheField name="Depth (m)" numFmtId="0">
      <sharedItems containsString="0" containsBlank="1" containsNumber="1" minValue="4.5" maxValue="10.199999999999999" count="16">
        <m/>
        <n v="4.5"/>
        <n v="7.1"/>
        <n v="6.5"/>
        <n v="5.3"/>
        <n v="5.8"/>
        <n v="5.9"/>
        <n v="10.199999999999999"/>
        <n v="9.1"/>
        <n v="7.3"/>
        <n v="8.6"/>
        <n v="5"/>
        <n v="5.7"/>
        <n v="5.5"/>
        <n v="6.4"/>
        <n v="7"/>
      </sharedItems>
    </cacheField>
    <cacheField name="Species" numFmtId="0">
      <sharedItems containsBlank="1" count="7">
        <s v="longfin Sculpin"/>
        <s v="Grunt-like Sculpin"/>
        <s v="Goby"/>
        <s v="Gunnel"/>
        <s v="Longfin gunnel"/>
        <s v="Sculpin spp."/>
        <m/>
      </sharedItems>
    </cacheField>
    <cacheField name="Size (cm)" numFmtId="0">
      <sharedItems containsString="0" containsBlank="1" containsNumber="1" containsInteger="1" minValue="2" maxValue="24" count="16">
        <n v="9"/>
        <n v="11"/>
        <n v="6"/>
        <n v="4"/>
        <n v="15"/>
        <n v="14"/>
        <n v="20"/>
        <n v="10"/>
        <n v="12"/>
        <n v="5"/>
        <n v="3"/>
        <n v="7"/>
        <n v="24"/>
        <n v="8"/>
        <n v="2"/>
        <m/>
      </sharedItems>
    </cacheField>
    <cacheField name="Cryptic or Open" numFmtId="0">
      <sharedItems containsBlank="1" count="2">
        <m/>
        <s v="c"/>
      </sharedItems>
    </cacheField>
    <cacheField name="Number" numFmtId="0">
      <sharedItems containsString="0" containsBlank="1" containsNumber="1" containsInteger="1" minValue="1" maxValue="9" count="8">
        <n v="1"/>
        <n v="2"/>
        <n v="4"/>
        <n v="6"/>
        <n v="3"/>
        <n v="9"/>
        <n v="5"/>
        <m/>
      </sharedItems>
    </cacheField>
    <cacheField name="Biomass (g)" numFmtId="0">
      <sharedItems containsString="0" containsBlank="1" count="1">
        <m/>
      </sharedItems>
    </cacheField>
    <cacheField name="Percent cover" numFmtId="0">
      <sharedItems containsString="0" containsBlank="1" count="1">
        <m/>
      </sharedItems>
    </cacheField>
    <cacheField name="Notes" numFmtId="0">
      <sharedItems containsBlank="1" count="2">
        <m/>
        <s v="Check species in fishbook"/>
      </sharedItems>
    </cacheField>
    <cacheField name="Biomass (g)2" numFmtId="0">
      <sharedItems containsString="0" containsBlank="1" containsNumber="1" minValue="50.559319501439028" maxValue="606.71177286262275" count="16">
        <n v="227.51691829817929"/>
        <n v="278.07623224010507"/>
        <n v="151.67794738529062"/>
        <n v="101.11863344336481"/>
        <n v="379.19486012395663"/>
        <n v="353.91520315299374"/>
        <n v="505.59314497877108"/>
        <n v="252.79657526914218"/>
        <n v="303.35588921106796"/>
        <n v="126.3982904143277"/>
        <n v="75.838976472401924"/>
        <n v="176.95760435625351"/>
        <n v="606.71177286262275"/>
        <n v="202.2372613272164"/>
        <n v="50.55931950143902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5701.6156250000004"/>
    <x v="0"/>
    <n v="0"/>
    <n v="5701.6156250000004"/>
  </r>
  <r>
    <x v="0"/>
    <x v="0"/>
    <x v="1"/>
    <n v="6423.3015625000007"/>
    <x v="1"/>
    <n v="543.50594999999998"/>
    <n v="6622.6375000000007"/>
  </r>
  <r>
    <x v="0"/>
    <x v="0"/>
    <x v="2"/>
    <n v="0"/>
    <x v="0"/>
    <n v="334.42500000000001"/>
    <n v="0"/>
  </r>
  <r>
    <x v="0"/>
    <x v="0"/>
    <x v="3"/>
    <n v="0"/>
    <x v="0"/>
    <n v="28.937999999999999"/>
    <n v="0"/>
  </r>
  <r>
    <x v="0"/>
    <x v="0"/>
    <x v="4"/>
    <n v="0"/>
    <x v="0"/>
    <n v="656.05020000000002"/>
    <n v="0"/>
  </r>
  <r>
    <x v="0"/>
    <x v="0"/>
    <x v="5"/>
    <n v="0"/>
    <x v="0"/>
    <n v="5.3507999999999996"/>
    <n v="0"/>
  </r>
  <r>
    <x v="0"/>
    <x v="1"/>
    <x v="0"/>
    <n v="0"/>
    <x v="0"/>
    <n v="1437.1695"/>
    <n v="0"/>
  </r>
  <r>
    <x v="0"/>
    <x v="1"/>
    <x v="1"/>
    <n v="0"/>
    <x v="2"/>
    <n v="1457.3812499999999"/>
    <n v="600.74218750000011"/>
  </r>
  <r>
    <x v="0"/>
    <x v="1"/>
    <x v="2"/>
    <n v="0"/>
    <x v="0"/>
    <n v="1316.1096"/>
    <n v="0"/>
  </r>
  <r>
    <x v="0"/>
    <x v="1"/>
    <x v="3"/>
    <n v="349.79843749999998"/>
    <x v="0"/>
    <n v="1438.4838"/>
    <n v="349.79843749999998"/>
  </r>
  <r>
    <x v="0"/>
    <x v="1"/>
    <x v="4"/>
    <n v="1764.1578125000001"/>
    <x v="2"/>
    <n v="585.37440000000004"/>
    <n v="2364.9"/>
  </r>
  <r>
    <x v="0"/>
    <x v="1"/>
    <x v="5"/>
    <n v="1030.2734375"/>
    <x v="1"/>
    <n v="1157.00325"/>
    <n v="1229.609375"/>
  </r>
  <r>
    <x v="0"/>
    <x v="2"/>
    <x v="0"/>
    <n v="1421.2828125000001"/>
    <x v="0"/>
    <n v="641.16584999999998"/>
    <n v="1421.2828125000001"/>
  </r>
  <r>
    <x v="0"/>
    <x v="2"/>
    <x v="1"/>
    <n v="432.22031249999998"/>
    <x v="0"/>
    <n v="71.011200000000002"/>
    <n v="432.22031249999998"/>
  </r>
  <r>
    <x v="0"/>
    <x v="2"/>
    <x v="2"/>
    <n v="41.2109375"/>
    <x v="0"/>
    <n v="1637.7776999999999"/>
    <n v="41.2109375"/>
  </r>
  <r>
    <x v="0"/>
    <x v="2"/>
    <x v="3"/>
    <n v="0"/>
    <x v="0"/>
    <n v="208.37504999999999"/>
    <n v="0"/>
  </r>
  <r>
    <x v="0"/>
    <x v="2"/>
    <x v="4"/>
    <n v="0"/>
    <x v="0"/>
    <n v="42.946799999999996"/>
    <n v="0"/>
  </r>
  <r>
    <x v="0"/>
    <x v="2"/>
    <x v="5"/>
    <n v="0"/>
    <x v="0"/>
    <n v="416.02469999999994"/>
    <n v="0"/>
  </r>
  <r>
    <x v="1"/>
    <x v="3"/>
    <x v="0"/>
    <n v="339.24843750000002"/>
    <x v="3"/>
    <n v="853.125"/>
    <n v="509.17562500000003"/>
  </r>
  <r>
    <x v="1"/>
    <x v="3"/>
    <x v="1"/>
    <n v="0"/>
    <x v="4"/>
    <n v="535.51874999999995"/>
    <n v="300.86"/>
  </r>
  <r>
    <x v="1"/>
    <x v="3"/>
    <x v="2"/>
    <n v="724.32343750000007"/>
    <x v="0"/>
    <n v="30.46875"/>
    <n v="724.32343750000007"/>
  </r>
  <r>
    <x v="1"/>
    <x v="3"/>
    <x v="3"/>
    <n v="0"/>
    <x v="0"/>
    <n v="177.69374999999999"/>
    <n v="0"/>
  </r>
  <r>
    <x v="1"/>
    <x v="3"/>
    <x v="4"/>
    <n v="394.63593749999995"/>
    <x v="0"/>
    <n v="1887.84375"/>
    <n v="394.63593749999995"/>
  </r>
  <r>
    <x v="1"/>
    <x v="4"/>
    <x v="0"/>
    <n v="0"/>
    <x v="0"/>
    <n v="386.85464999999999"/>
    <n v="0"/>
  </r>
  <r>
    <x v="1"/>
    <x v="4"/>
    <x v="1"/>
    <n v="113.0828125"/>
    <x v="5"/>
    <n v="408.03749999999997"/>
    <n v="395.6225"/>
  </r>
  <r>
    <x v="1"/>
    <x v="4"/>
    <x v="2"/>
    <n v="0"/>
    <x v="0"/>
    <n v="83.606250000000003"/>
    <n v="0"/>
  </r>
  <r>
    <x v="1"/>
    <x v="4"/>
    <x v="3"/>
    <n v="41.2109375"/>
    <x v="6"/>
    <n v="532.59375"/>
    <n v="542.97093749999999"/>
  </r>
  <r>
    <x v="1"/>
    <x v="4"/>
    <x v="4"/>
    <n v="1132.8062500000001"/>
    <x v="7"/>
    <n v="122.0622"/>
    <n v="1138.8087500000001"/>
  </r>
  <r>
    <x v="1"/>
    <x v="4"/>
    <x v="5"/>
    <n v="277.92656249999999"/>
    <x v="0"/>
    <n v="219.53489999999999"/>
    <n v="277.92656249999999"/>
  </r>
  <r>
    <x v="1"/>
    <x v="5"/>
    <x v="0"/>
    <n v="0"/>
    <x v="0"/>
    <n v="1303.33125"/>
    <n v="0"/>
  </r>
  <r>
    <x v="1"/>
    <x v="5"/>
    <x v="1"/>
    <n v="0"/>
    <x v="0"/>
    <n v="1110.9130499999999"/>
    <n v="0"/>
  </r>
  <r>
    <x v="1"/>
    <x v="5"/>
    <x v="2"/>
    <n v="0"/>
    <x v="0"/>
    <n v="80.2971"/>
    <n v="0"/>
  </r>
  <r>
    <x v="1"/>
    <x v="5"/>
    <x v="3"/>
    <n v="0"/>
    <x v="0"/>
    <n v="1121.2499999999998"/>
    <n v="0"/>
  </r>
  <r>
    <x v="2"/>
    <x v="6"/>
    <x v="0"/>
    <n v="0"/>
    <x v="0"/>
    <n v="2054.4693000000002"/>
    <n v="0"/>
  </r>
  <r>
    <x v="2"/>
    <x v="6"/>
    <x v="1"/>
    <n v="6592.1015625"/>
    <x v="8"/>
    <n v="2180.8312500000002"/>
    <n v="6597.7015625000004"/>
  </r>
  <r>
    <x v="2"/>
    <x v="6"/>
    <x v="2"/>
    <n v="6340.8796874999998"/>
    <x v="9"/>
    <n v="1147.0875000000001"/>
    <n v="6344.2396874999995"/>
  </r>
  <r>
    <x v="2"/>
    <x v="6"/>
    <x v="3"/>
    <n v="394.63593749999995"/>
    <x v="10"/>
    <n v="4229.3062499999996"/>
    <n v="1057.4506249999999"/>
  </r>
  <r>
    <x v="2"/>
    <x v="6"/>
    <x v="4"/>
    <n v="528.81875000000002"/>
    <x v="11"/>
    <n v="1028.4261000000001"/>
    <n v="580.39125000000001"/>
  </r>
  <r>
    <x v="2"/>
    <x v="6"/>
    <x v="5"/>
    <n v="405.18593750000002"/>
    <x v="12"/>
    <n v="36.363599999999998"/>
    <n v="432.53843750000004"/>
  </r>
  <r>
    <x v="2"/>
    <x v="7"/>
    <x v="0"/>
    <n v="12015.790625"/>
    <x v="0"/>
    <n v="3716.7"/>
    <n v="12015.790625"/>
  </r>
  <r>
    <x v="2"/>
    <x v="7"/>
    <x v="1"/>
    <n v="5914.2640624999995"/>
    <x v="13"/>
    <n v="4235.3044499999996"/>
    <n v="6839.3556249999992"/>
  </r>
  <r>
    <x v="2"/>
    <x v="7"/>
    <x v="2"/>
    <n v="1032.58125"/>
    <x v="0"/>
    <n v="2591.7391499999999"/>
    <n v="1032.58125"/>
  </r>
  <r>
    <x v="2"/>
    <x v="7"/>
    <x v="3"/>
    <n v="6996.6281249999993"/>
    <x v="14"/>
    <n v="2218.125"/>
    <n v="9125.3915624999991"/>
  </r>
  <r>
    <x v="2"/>
    <x v="7"/>
    <x v="4"/>
    <n v="370.8984375"/>
    <x v="15"/>
    <n v="2493.0789"/>
    <n v="382.41343749999999"/>
  </r>
  <r>
    <x v="2"/>
    <x v="7"/>
    <x v="5"/>
    <n v="865.4296875"/>
    <x v="16"/>
    <n v="2626.40625"/>
    <n v="1519.6168750000002"/>
  </r>
  <r>
    <x v="2"/>
    <x v="7"/>
    <x v="6"/>
    <n v="0"/>
    <x v="17"/>
    <n v="536.39819999999997"/>
    <n v="20.107500000000002"/>
  </r>
  <r>
    <x v="2"/>
    <x v="8"/>
    <x v="0"/>
    <n v="164.84375"/>
    <x v="0"/>
    <n v="1037.64375"/>
    <n v="164.84375"/>
  </r>
  <r>
    <x v="2"/>
    <x v="8"/>
    <x v="1"/>
    <n v="360.34843749999999"/>
    <x v="0"/>
    <n v="4943.9753999999994"/>
    <n v="360.34843749999999"/>
  </r>
  <r>
    <x v="2"/>
    <x v="8"/>
    <x v="2"/>
    <n v="1236.328125"/>
    <x v="0"/>
    <n v="1368.65625"/>
    <n v="1236.328125"/>
  </r>
  <r>
    <x v="2"/>
    <x v="8"/>
    <x v="3"/>
    <n v="1277.5390625"/>
    <x v="18"/>
    <n v="1502.6349"/>
    <n v="1281.1965625"/>
  </r>
  <r>
    <x v="2"/>
    <x v="8"/>
    <x v="4"/>
    <n v="0"/>
    <x v="19"/>
    <n v="11.372399999999999"/>
    <n v="4.4800000000000004"/>
  </r>
  <r>
    <x v="2"/>
    <x v="8"/>
    <x v="5"/>
    <n v="1821.1937499999999"/>
    <x v="0"/>
    <n v="2201.5948500000004"/>
    <n v="1821.1937499999999"/>
  </r>
  <r>
    <x v="2"/>
    <x v="8"/>
    <x v="6"/>
    <n v="1229.4046874999999"/>
    <x v="20"/>
    <n v="1231.8169500000001"/>
    <n v="1239.4846874999998"/>
  </r>
  <r>
    <x v="2"/>
    <x v="8"/>
    <x v="7"/>
    <n v="236.71562499999999"/>
    <x v="21"/>
    <n v="1385.1318000000001"/>
    <n v="241.668124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x v="0"/>
    <n v="5701.6156250000004"/>
    <x v="0"/>
    <n v="0"/>
  </r>
  <r>
    <x v="0"/>
    <x v="0"/>
    <x v="1"/>
    <n v="6423.3015625000007"/>
    <x v="1"/>
    <n v="543.50594999999998"/>
  </r>
  <r>
    <x v="0"/>
    <x v="0"/>
    <x v="2"/>
    <n v="0"/>
    <x v="0"/>
    <n v="334.42500000000001"/>
  </r>
  <r>
    <x v="0"/>
    <x v="0"/>
    <x v="3"/>
    <n v="0"/>
    <x v="0"/>
    <n v="28.937999999999999"/>
  </r>
  <r>
    <x v="0"/>
    <x v="0"/>
    <x v="4"/>
    <n v="0"/>
    <x v="0"/>
    <n v="656.05020000000002"/>
  </r>
  <r>
    <x v="0"/>
    <x v="0"/>
    <x v="5"/>
    <n v="0"/>
    <x v="0"/>
    <n v="5.3507999999999996"/>
  </r>
  <r>
    <x v="0"/>
    <x v="1"/>
    <x v="0"/>
    <n v="0"/>
    <x v="0"/>
    <n v="1437.1695"/>
  </r>
  <r>
    <x v="0"/>
    <x v="1"/>
    <x v="1"/>
    <n v="0"/>
    <x v="2"/>
    <n v="1457.3812499999999"/>
  </r>
  <r>
    <x v="0"/>
    <x v="1"/>
    <x v="2"/>
    <n v="0"/>
    <x v="0"/>
    <n v="1316.1096"/>
  </r>
  <r>
    <x v="0"/>
    <x v="1"/>
    <x v="3"/>
    <n v="349.79843749999998"/>
    <x v="0"/>
    <n v="1438.4838"/>
  </r>
  <r>
    <x v="0"/>
    <x v="1"/>
    <x v="4"/>
    <n v="1764.1578125000001"/>
    <x v="2"/>
    <n v="585.37440000000004"/>
  </r>
  <r>
    <x v="0"/>
    <x v="1"/>
    <x v="5"/>
    <n v="1030.2734375"/>
    <x v="1"/>
    <n v="1157.00325"/>
  </r>
  <r>
    <x v="0"/>
    <x v="2"/>
    <x v="0"/>
    <n v="1421.2828125000001"/>
    <x v="0"/>
    <n v="641.16584999999998"/>
  </r>
  <r>
    <x v="0"/>
    <x v="2"/>
    <x v="1"/>
    <n v="432.22031249999998"/>
    <x v="0"/>
    <n v="71.011200000000002"/>
  </r>
  <r>
    <x v="0"/>
    <x v="2"/>
    <x v="2"/>
    <n v="41.2109375"/>
    <x v="0"/>
    <n v="1637.7776999999999"/>
  </r>
  <r>
    <x v="0"/>
    <x v="2"/>
    <x v="3"/>
    <n v="0"/>
    <x v="0"/>
    <n v="208.37504999999999"/>
  </r>
  <r>
    <x v="0"/>
    <x v="2"/>
    <x v="4"/>
    <n v="0"/>
    <x v="0"/>
    <n v="42.946799999999996"/>
  </r>
  <r>
    <x v="0"/>
    <x v="2"/>
    <x v="5"/>
    <n v="0"/>
    <x v="0"/>
    <n v="416.02469999999994"/>
  </r>
  <r>
    <x v="1"/>
    <x v="3"/>
    <x v="0"/>
    <n v="339.24843750000002"/>
    <x v="3"/>
    <n v="853.125"/>
  </r>
  <r>
    <x v="1"/>
    <x v="3"/>
    <x v="1"/>
    <n v="0"/>
    <x v="4"/>
    <n v="535.51874999999995"/>
  </r>
  <r>
    <x v="1"/>
    <x v="3"/>
    <x v="2"/>
    <n v="724.32343750000007"/>
    <x v="0"/>
    <n v="30.46875"/>
  </r>
  <r>
    <x v="1"/>
    <x v="3"/>
    <x v="3"/>
    <n v="0"/>
    <x v="0"/>
    <n v="177.69374999999999"/>
  </r>
  <r>
    <x v="1"/>
    <x v="3"/>
    <x v="4"/>
    <n v="394.63593749999995"/>
    <x v="0"/>
    <n v="1887.84375"/>
  </r>
  <r>
    <x v="1"/>
    <x v="4"/>
    <x v="0"/>
    <n v="0"/>
    <x v="0"/>
    <n v="386.85464999999999"/>
  </r>
  <r>
    <x v="1"/>
    <x v="4"/>
    <x v="1"/>
    <n v="113.0828125"/>
    <x v="5"/>
    <n v="408.03749999999997"/>
  </r>
  <r>
    <x v="1"/>
    <x v="4"/>
    <x v="2"/>
    <n v="0"/>
    <x v="0"/>
    <n v="83.606250000000003"/>
  </r>
  <r>
    <x v="1"/>
    <x v="4"/>
    <x v="3"/>
    <n v="41.2109375"/>
    <x v="6"/>
    <n v="532.59375"/>
  </r>
  <r>
    <x v="1"/>
    <x v="4"/>
    <x v="4"/>
    <n v="1132.8062500000001"/>
    <x v="7"/>
    <n v="122.0622"/>
  </r>
  <r>
    <x v="1"/>
    <x v="4"/>
    <x v="5"/>
    <n v="277.92656249999999"/>
    <x v="0"/>
    <n v="219.53489999999999"/>
  </r>
  <r>
    <x v="1"/>
    <x v="5"/>
    <x v="0"/>
    <n v="0"/>
    <x v="0"/>
    <n v="1303.33125"/>
  </r>
  <r>
    <x v="1"/>
    <x v="5"/>
    <x v="1"/>
    <n v="0"/>
    <x v="0"/>
    <n v="1110.9130499999999"/>
  </r>
  <r>
    <x v="1"/>
    <x v="5"/>
    <x v="2"/>
    <n v="0"/>
    <x v="0"/>
    <n v="80.2971"/>
  </r>
  <r>
    <x v="1"/>
    <x v="5"/>
    <x v="3"/>
    <n v="0"/>
    <x v="0"/>
    <n v="1121.2499999999998"/>
  </r>
  <r>
    <x v="2"/>
    <x v="6"/>
    <x v="0"/>
    <n v="0"/>
    <x v="0"/>
    <n v="2054.4693000000002"/>
  </r>
  <r>
    <x v="2"/>
    <x v="6"/>
    <x v="1"/>
    <n v="6592.1015625"/>
    <x v="8"/>
    <n v="2180.8312500000002"/>
  </r>
  <r>
    <x v="2"/>
    <x v="6"/>
    <x v="2"/>
    <n v="6340.8796874999998"/>
    <x v="9"/>
    <n v="1147.0875000000001"/>
  </r>
  <r>
    <x v="2"/>
    <x v="6"/>
    <x v="3"/>
    <n v="394.63593749999995"/>
    <x v="10"/>
    <n v="4229.3062499999996"/>
  </r>
  <r>
    <x v="2"/>
    <x v="6"/>
    <x v="4"/>
    <n v="528.81875000000002"/>
    <x v="11"/>
    <n v="1028.4261000000001"/>
  </r>
  <r>
    <x v="2"/>
    <x v="6"/>
    <x v="5"/>
    <n v="405.18593750000002"/>
    <x v="12"/>
    <n v="36.363599999999998"/>
  </r>
  <r>
    <x v="2"/>
    <x v="7"/>
    <x v="0"/>
    <n v="12015.790625"/>
    <x v="0"/>
    <n v="3716.7"/>
  </r>
  <r>
    <x v="2"/>
    <x v="7"/>
    <x v="1"/>
    <n v="5914.2640624999995"/>
    <x v="13"/>
    <n v="4235.3044499999996"/>
  </r>
  <r>
    <x v="2"/>
    <x v="7"/>
    <x v="2"/>
    <n v="1032.58125"/>
    <x v="0"/>
    <n v="2591.7391499999999"/>
  </r>
  <r>
    <x v="2"/>
    <x v="7"/>
    <x v="3"/>
    <n v="6996.6281249999993"/>
    <x v="14"/>
    <n v="2218.125"/>
  </r>
  <r>
    <x v="2"/>
    <x v="7"/>
    <x v="4"/>
    <n v="370.8984375"/>
    <x v="15"/>
    <n v="2493.0789"/>
  </r>
  <r>
    <x v="2"/>
    <x v="7"/>
    <x v="5"/>
    <n v="865.4296875"/>
    <x v="16"/>
    <n v="2626.40625"/>
  </r>
  <r>
    <x v="2"/>
    <x v="7"/>
    <x v="6"/>
    <n v="0"/>
    <x v="17"/>
    <n v="536.39819999999997"/>
  </r>
  <r>
    <x v="2"/>
    <x v="8"/>
    <x v="0"/>
    <n v="164.84375"/>
    <x v="0"/>
    <n v="1037.64375"/>
  </r>
  <r>
    <x v="2"/>
    <x v="8"/>
    <x v="1"/>
    <n v="360.34843749999999"/>
    <x v="0"/>
    <n v="4943.9753999999994"/>
  </r>
  <r>
    <x v="2"/>
    <x v="8"/>
    <x v="2"/>
    <n v="1236.328125"/>
    <x v="0"/>
    <n v="1368.65625"/>
  </r>
  <r>
    <x v="2"/>
    <x v="8"/>
    <x v="3"/>
    <n v="1277.5390625"/>
    <x v="18"/>
    <n v="1502.6349"/>
  </r>
  <r>
    <x v="2"/>
    <x v="8"/>
    <x v="4"/>
    <n v="0"/>
    <x v="19"/>
    <n v="11.372399999999999"/>
  </r>
  <r>
    <x v="2"/>
    <x v="8"/>
    <x v="5"/>
    <n v="1821.1937499999999"/>
    <x v="0"/>
    <n v="2201.5948500000004"/>
  </r>
  <r>
    <x v="2"/>
    <x v="8"/>
    <x v="6"/>
    <n v="1229.4046874999999"/>
    <x v="20"/>
    <n v="1231.8169500000001"/>
  </r>
  <r>
    <x v="2"/>
    <x v="8"/>
    <x v="7"/>
    <n v="236.71562499999999"/>
    <x v="21"/>
    <n v="1385.1318000000001"/>
  </r>
  <r>
    <x v="3"/>
    <x v="9"/>
    <x v="8"/>
    <m/>
    <x v="22"/>
    <m/>
  </r>
  <r>
    <x v="3"/>
    <x v="9"/>
    <x v="8"/>
    <m/>
    <x v="22"/>
    <m/>
  </r>
  <r>
    <x v="3"/>
    <x v="9"/>
    <x v="8"/>
    <m/>
    <x v="2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1"/>
    <x v="0"/>
    <n v="5701.6156250000004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5701.6156250000004"/>
    <n v="5577.9828125000004"/>
    <n v="231.29420465707673"/>
    <x v="0"/>
    <n v="123.6328125"/>
    <x v="0"/>
    <x v="0"/>
    <n v="0"/>
    <x v="0"/>
    <n v="4.7513463541666669E-2"/>
  </r>
  <r>
    <x v="0"/>
    <x v="0"/>
    <x v="1"/>
    <n v="2"/>
    <x v="0"/>
    <n v="6423.3015625000007"/>
    <x v="1"/>
    <x v="1"/>
    <x v="0"/>
    <x v="0"/>
    <x v="0"/>
    <x v="0"/>
    <x v="0"/>
    <x v="0"/>
    <x v="0"/>
    <n v="559.48034999999993"/>
    <x v="0"/>
    <x v="0"/>
    <x v="0"/>
    <x v="0"/>
    <x v="0"/>
    <x v="0"/>
    <x v="0"/>
    <x v="0"/>
    <x v="1"/>
    <x v="1"/>
    <x v="0"/>
    <x v="1"/>
    <x v="1"/>
    <n v="6423.3015625000007"/>
    <n v="6900.3600375000005"/>
    <n v="82.421875"/>
    <x v="1"/>
    <n v="82.421875"/>
    <x v="0"/>
    <x v="0"/>
    <n v="559.48034999999993"/>
    <x v="1"/>
    <n v="5.8189849270833337E-2"/>
  </r>
  <r>
    <x v="0"/>
    <x v="0"/>
    <x v="2"/>
    <n v="3"/>
    <x v="0"/>
    <n v="0"/>
    <x v="2"/>
    <x v="2"/>
    <x v="0"/>
    <x v="0"/>
    <x v="0"/>
    <x v="0"/>
    <x v="0"/>
    <x v="0"/>
    <x v="0"/>
    <n v="334.42500000000001"/>
    <x v="1"/>
    <x v="0"/>
    <x v="0"/>
    <x v="0"/>
    <x v="0"/>
    <x v="0"/>
    <x v="0"/>
    <x v="0"/>
    <x v="2"/>
    <x v="2"/>
    <x v="0"/>
    <x v="2"/>
    <x v="2"/>
    <n v="0"/>
    <n v="780.69062499999995"/>
    <n v="0.22517970576739735"/>
    <x v="2"/>
    <n v="0"/>
    <x v="1"/>
    <x v="0"/>
    <n v="334.42500000000001"/>
    <x v="2"/>
    <n v="2.7868750000000003E-3"/>
  </r>
  <r>
    <x v="0"/>
    <x v="0"/>
    <x v="3"/>
    <n v="4"/>
    <x v="0"/>
    <n v="0"/>
    <x v="2"/>
    <x v="2"/>
    <x v="0"/>
    <x v="0"/>
    <x v="0"/>
    <x v="0"/>
    <x v="0"/>
    <x v="0"/>
    <x v="0"/>
    <n v="28.937999999999999"/>
    <x v="2"/>
    <x v="0"/>
    <x v="0"/>
    <x v="0"/>
    <x v="0"/>
    <x v="0"/>
    <x v="0"/>
    <x v="0"/>
    <x v="0"/>
    <x v="1"/>
    <x v="0"/>
    <x v="0"/>
    <x v="1"/>
    <n v="0"/>
    <n v="1653.9380000000001"/>
    <n v="0"/>
    <x v="2"/>
    <n v="0"/>
    <x v="2"/>
    <x v="0"/>
    <n v="28.937999999999999"/>
    <x v="1"/>
    <n v="2.4114999999999998E-4"/>
  </r>
  <r>
    <x v="0"/>
    <x v="0"/>
    <x v="4"/>
    <n v="5"/>
    <x v="1"/>
    <n v="0"/>
    <x v="2"/>
    <x v="2"/>
    <x v="0"/>
    <x v="0"/>
    <x v="0"/>
    <x v="0"/>
    <x v="0"/>
    <x v="0"/>
    <x v="0"/>
    <n v="656.05020000000002"/>
    <x v="0"/>
    <x v="0"/>
    <x v="0"/>
    <x v="0"/>
    <x v="0"/>
    <x v="0"/>
    <x v="0"/>
    <x v="0"/>
    <x v="0"/>
    <x v="3"/>
    <x v="0"/>
    <x v="0"/>
    <x v="3"/>
    <n v="0"/>
    <n v="773.30840068180396"/>
    <n v="0.37171984601790925"/>
    <x v="2"/>
    <n v="0"/>
    <x v="3"/>
    <x v="0"/>
    <n v="656.05020000000002"/>
    <x v="3"/>
    <n v="6.4442366723483661E-3"/>
  </r>
  <r>
    <x v="0"/>
    <x v="0"/>
    <x v="5"/>
    <n v="6"/>
    <x v="0"/>
    <n v="0"/>
    <x v="2"/>
    <x v="2"/>
    <x v="0"/>
    <x v="0"/>
    <x v="0"/>
    <x v="0"/>
    <x v="0"/>
    <x v="0"/>
    <x v="0"/>
    <n v="5.3507999999999996"/>
    <x v="3"/>
    <x v="0"/>
    <x v="0"/>
    <x v="0"/>
    <x v="0"/>
    <x v="0"/>
    <x v="0"/>
    <x v="0"/>
    <x v="0"/>
    <x v="1"/>
    <x v="0"/>
    <x v="0"/>
    <x v="1"/>
    <n v="0"/>
    <n v="1189.9757999999999"/>
    <n v="0"/>
    <x v="2"/>
    <n v="0"/>
    <x v="4"/>
    <x v="0"/>
    <n v="5.3507999999999996"/>
    <x v="1"/>
    <n v="4.4589999999999992E-5"/>
  </r>
  <r>
    <x v="0"/>
    <x v="1"/>
    <x v="0"/>
    <n v="7"/>
    <x v="0"/>
    <n v="0"/>
    <x v="2"/>
    <x v="2"/>
    <x v="1"/>
    <x v="0"/>
    <x v="0"/>
    <x v="0"/>
    <x v="0"/>
    <x v="0"/>
    <x v="0"/>
    <n v="1437.1695"/>
    <x v="0"/>
    <x v="0"/>
    <x v="0"/>
    <x v="0"/>
    <x v="0"/>
    <x v="0"/>
    <x v="0"/>
    <x v="0"/>
    <x v="3"/>
    <x v="1"/>
    <x v="1"/>
    <x v="3"/>
    <x v="1"/>
    <n v="0"/>
    <n v="4377.6469656398594"/>
    <n v="0"/>
    <x v="2"/>
    <n v="0"/>
    <x v="5"/>
    <x v="0"/>
    <n v="1437.1695"/>
    <x v="1"/>
    <n v="3.6480391380332162E-2"/>
  </r>
  <r>
    <x v="0"/>
    <x v="1"/>
    <x v="1"/>
    <n v="8"/>
    <x v="0"/>
    <n v="0"/>
    <x v="2"/>
    <x v="2"/>
    <x v="0"/>
    <x v="1"/>
    <x v="1"/>
    <x v="0"/>
    <x v="0"/>
    <x v="0"/>
    <x v="0"/>
    <n v="1457.3812499999999"/>
    <x v="0"/>
    <x v="0"/>
    <x v="0"/>
    <x v="0"/>
    <x v="0"/>
    <x v="0"/>
    <x v="0"/>
    <x v="0"/>
    <x v="4"/>
    <x v="1"/>
    <x v="0"/>
    <x v="4"/>
    <x v="1"/>
    <n v="199.33593750000003"/>
    <n v="1656.7171874999999"/>
    <n v="0"/>
    <x v="3"/>
    <n v="0"/>
    <x v="0"/>
    <x v="0"/>
    <n v="1457.3812499999999"/>
    <x v="1"/>
    <n v="1.3805976562499999E-2"/>
  </r>
  <r>
    <x v="0"/>
    <x v="1"/>
    <x v="2"/>
    <n v="9"/>
    <x v="0"/>
    <n v="0"/>
    <x v="2"/>
    <x v="2"/>
    <x v="0"/>
    <x v="0"/>
    <x v="0"/>
    <x v="0"/>
    <x v="0"/>
    <x v="0"/>
    <x v="0"/>
    <n v="1316.1096"/>
    <x v="0"/>
    <x v="0"/>
    <x v="0"/>
    <x v="0"/>
    <x v="0"/>
    <x v="0"/>
    <x v="0"/>
    <x v="0"/>
    <x v="0"/>
    <x v="1"/>
    <x v="0"/>
    <x v="0"/>
    <x v="1"/>
    <n v="0"/>
    <n v="1316.1096"/>
    <n v="0"/>
    <x v="2"/>
    <n v="0"/>
    <x v="0"/>
    <x v="0"/>
    <n v="1316.1096"/>
    <x v="1"/>
    <n v="1.0967580000000001E-2"/>
  </r>
  <r>
    <x v="0"/>
    <x v="1"/>
    <x v="3"/>
    <n v="10"/>
    <x v="0"/>
    <n v="349.79843749999998"/>
    <x v="3"/>
    <x v="3"/>
    <x v="0"/>
    <x v="2"/>
    <x v="2"/>
    <x v="0"/>
    <x v="0"/>
    <x v="0"/>
    <x v="0"/>
    <n v="1438.4838"/>
    <x v="0"/>
    <x v="0"/>
    <x v="0"/>
    <x v="0"/>
    <x v="0"/>
    <x v="1"/>
    <x v="0"/>
    <x v="0"/>
    <x v="0"/>
    <x v="4"/>
    <x v="0"/>
    <x v="0"/>
    <x v="4"/>
    <n v="950.54062500000009"/>
    <n v="2265.3916125000001"/>
    <n v="154.83961832907849"/>
    <x v="4"/>
    <n v="123.63281249999997"/>
    <x v="0"/>
    <x v="1"/>
    <n v="1438.4838"/>
    <x v="4"/>
    <n v="1.9908536875000001E-2"/>
  </r>
  <r>
    <x v="0"/>
    <x v="1"/>
    <x v="4"/>
    <n v="11"/>
    <x v="0"/>
    <n v="1764.1578125000001"/>
    <x v="4"/>
    <x v="4"/>
    <x v="0"/>
    <x v="2"/>
    <x v="2"/>
    <x v="0"/>
    <x v="0"/>
    <x v="0"/>
    <x v="0"/>
    <n v="585.37440000000004"/>
    <x v="0"/>
    <x v="1"/>
    <x v="1"/>
    <x v="1"/>
    <x v="1"/>
    <x v="0"/>
    <x v="0"/>
    <x v="0"/>
    <x v="0"/>
    <x v="1"/>
    <x v="0"/>
    <x v="5"/>
    <x v="1"/>
    <n v="3063.787339259859"/>
    <n v="2771.232567390015"/>
    <n v="1320.549171869844"/>
    <x v="5"/>
    <n v="1320.549171869844"/>
    <x v="0"/>
    <x v="0"/>
    <n v="585.37440000000004"/>
    <x v="1"/>
    <n v="3.4098181160498821E-2"/>
  </r>
  <r>
    <x v="0"/>
    <x v="1"/>
    <x v="5"/>
    <n v="12"/>
    <x v="0"/>
    <n v="1030.2734375"/>
    <x v="2"/>
    <x v="5"/>
    <x v="0"/>
    <x v="1"/>
    <x v="1"/>
    <x v="0"/>
    <x v="0"/>
    <x v="0"/>
    <x v="0"/>
    <n v="1157.00325"/>
    <x v="4"/>
    <x v="0"/>
    <x v="0"/>
    <x v="0"/>
    <x v="0"/>
    <x v="2"/>
    <x v="0"/>
    <x v="0"/>
    <x v="0"/>
    <x v="1"/>
    <x v="0"/>
    <x v="0"/>
    <x v="1"/>
    <n v="1229.609375"/>
    <n v="3519.2141874999998"/>
    <n v="1036.8083258560052"/>
    <x v="3"/>
    <n v="1030.2734375"/>
    <x v="6"/>
    <x v="2"/>
    <n v="1157.00325"/>
    <x v="5"/>
    <n v="1.9888438541666664E-2"/>
  </r>
  <r>
    <x v="0"/>
    <x v="2"/>
    <x v="0"/>
    <n v="13"/>
    <x v="0"/>
    <n v="1421.2828125000001"/>
    <x v="3"/>
    <x v="6"/>
    <x v="0"/>
    <x v="0"/>
    <x v="0"/>
    <x v="0"/>
    <x v="0"/>
    <x v="0"/>
    <x v="0"/>
    <n v="641.16584999999998"/>
    <x v="0"/>
    <x v="0"/>
    <x v="0"/>
    <x v="0"/>
    <x v="0"/>
    <x v="0"/>
    <x v="0"/>
    <x v="0"/>
    <x v="0"/>
    <x v="1"/>
    <x v="0"/>
    <x v="0"/>
    <x v="1"/>
    <n v="1421.2828125000001"/>
    <n v="867.33147499999995"/>
    <n v="1195.1171875"/>
    <x v="6"/>
    <n v="1195.1171875"/>
    <x v="0"/>
    <x v="0"/>
    <n v="641.16584999999998"/>
    <x v="1"/>
    <n v="1.7187072187499999E-2"/>
  </r>
  <r>
    <x v="0"/>
    <x v="2"/>
    <x v="1"/>
    <n v="14"/>
    <x v="0"/>
    <n v="432.22031249999998"/>
    <x v="3"/>
    <x v="7"/>
    <x v="0"/>
    <x v="0"/>
    <x v="0"/>
    <x v="0"/>
    <x v="0"/>
    <x v="0"/>
    <x v="0"/>
    <n v="71.011200000000002"/>
    <x v="5"/>
    <x v="0"/>
    <x v="0"/>
    <x v="0"/>
    <x v="0"/>
    <x v="0"/>
    <x v="0"/>
    <x v="0"/>
    <x v="0"/>
    <x v="5"/>
    <x v="0"/>
    <x v="0"/>
    <x v="5"/>
    <n v="432.22031249999998"/>
    <n v="445.25495000000001"/>
    <n v="246.29688247798794"/>
    <x v="6"/>
    <n v="206.05468749999997"/>
    <x v="7"/>
    <x v="0"/>
    <n v="71.011200000000002"/>
    <x v="6"/>
    <n v="4.1935959375E-3"/>
  </r>
  <r>
    <x v="0"/>
    <x v="2"/>
    <x v="2"/>
    <n v="15"/>
    <x v="0"/>
    <n v="41.2109375"/>
    <x v="2"/>
    <x v="8"/>
    <x v="0"/>
    <x v="0"/>
    <x v="0"/>
    <x v="0"/>
    <x v="0"/>
    <x v="0"/>
    <x v="0"/>
    <n v="1637.7777000000001"/>
    <x v="0"/>
    <x v="0"/>
    <x v="0"/>
    <x v="0"/>
    <x v="0"/>
    <x v="0"/>
    <x v="0"/>
    <x v="0"/>
    <x v="0"/>
    <x v="1"/>
    <x v="0"/>
    <x v="0"/>
    <x v="1"/>
    <n v="41.2109375"/>
    <n v="1637.7777000000001"/>
    <n v="41.2109375"/>
    <x v="2"/>
    <n v="41.2109375"/>
    <x v="0"/>
    <x v="0"/>
    <n v="1637.7777000000001"/>
    <x v="1"/>
    <n v="1.3991571979166667E-2"/>
  </r>
  <r>
    <x v="0"/>
    <x v="2"/>
    <x v="3"/>
    <n v="16"/>
    <x v="0"/>
    <n v="0"/>
    <x v="2"/>
    <x v="2"/>
    <x v="0"/>
    <x v="0"/>
    <x v="0"/>
    <x v="0"/>
    <x v="1"/>
    <x v="0"/>
    <x v="0"/>
    <n v="208.37504999999999"/>
    <x v="0"/>
    <x v="0"/>
    <x v="0"/>
    <x v="0"/>
    <x v="0"/>
    <x v="0"/>
    <x v="0"/>
    <x v="0"/>
    <x v="0"/>
    <x v="1"/>
    <x v="0"/>
    <x v="6"/>
    <x v="1"/>
    <n v="0"/>
    <n v="208.37504999999999"/>
    <n v="0"/>
    <x v="2"/>
    <n v="0"/>
    <x v="0"/>
    <x v="0"/>
    <n v="208.37504999999999"/>
    <x v="1"/>
    <n v="1.7364587499999998E-3"/>
  </r>
  <r>
    <x v="0"/>
    <x v="2"/>
    <x v="4"/>
    <n v="17"/>
    <x v="0"/>
    <n v="0"/>
    <x v="2"/>
    <x v="2"/>
    <x v="2"/>
    <x v="0"/>
    <x v="0"/>
    <x v="0"/>
    <x v="0"/>
    <x v="0"/>
    <x v="0"/>
    <n v="42.946799999999996"/>
    <x v="0"/>
    <x v="0"/>
    <x v="0"/>
    <x v="0"/>
    <x v="0"/>
    <x v="0"/>
    <x v="0"/>
    <x v="0"/>
    <x v="5"/>
    <x v="1"/>
    <x v="0"/>
    <x v="7"/>
    <x v="1"/>
    <n v="0"/>
    <n v="160.20500068180394"/>
    <n v="0"/>
    <x v="2"/>
    <n v="0"/>
    <x v="3"/>
    <x v="0"/>
    <n v="42.946799999999996"/>
    <x v="1"/>
    <n v="1.3350416723483661E-3"/>
  </r>
  <r>
    <x v="0"/>
    <x v="2"/>
    <x v="5"/>
    <n v="18"/>
    <x v="0"/>
    <n v="0"/>
    <x v="2"/>
    <x v="2"/>
    <x v="3"/>
    <x v="0"/>
    <x v="0"/>
    <x v="0"/>
    <x v="0"/>
    <x v="1"/>
    <x v="0"/>
    <n v="416.02469999999994"/>
    <x v="0"/>
    <x v="0"/>
    <x v="0"/>
    <x v="0"/>
    <x v="0"/>
    <x v="0"/>
    <x v="0"/>
    <x v="0"/>
    <x v="0"/>
    <x v="1"/>
    <x v="0"/>
    <x v="8"/>
    <x v="1"/>
    <n v="0"/>
    <n v="686.453413918666"/>
    <n v="0"/>
    <x v="2"/>
    <n v="0"/>
    <x v="8"/>
    <x v="0"/>
    <n v="416.02469999999994"/>
    <x v="1"/>
    <n v="5.7204451159888836E-3"/>
  </r>
  <r>
    <x v="1"/>
    <x v="3"/>
    <x v="0"/>
    <n v="19"/>
    <x v="0"/>
    <n v="339.24843750000002"/>
    <x v="5"/>
    <x v="2"/>
    <x v="0"/>
    <x v="3"/>
    <x v="0"/>
    <x v="1"/>
    <x v="0"/>
    <x v="0"/>
    <x v="0"/>
    <n v="853.125"/>
    <x v="0"/>
    <x v="0"/>
    <x v="0"/>
    <x v="0"/>
    <x v="0"/>
    <x v="0"/>
    <x v="0"/>
    <x v="0"/>
    <x v="0"/>
    <x v="1"/>
    <x v="0"/>
    <x v="0"/>
    <x v="1"/>
    <n v="509.17562500000003"/>
    <n v="1192.3734374999999"/>
    <n v="169.9271875"/>
    <x v="7"/>
    <n v="169.9271875"/>
    <x v="0"/>
    <x v="0"/>
    <n v="853.125"/>
    <x v="1"/>
    <n v="1.1352505208333334E-2"/>
  </r>
  <r>
    <x v="1"/>
    <x v="3"/>
    <x v="1"/>
    <n v="20"/>
    <x v="0"/>
    <n v="0"/>
    <x v="2"/>
    <x v="2"/>
    <x v="0"/>
    <x v="4"/>
    <x v="0"/>
    <x v="2"/>
    <x v="0"/>
    <x v="0"/>
    <x v="0"/>
    <n v="535.51874999999995"/>
    <x v="0"/>
    <x v="0"/>
    <x v="0"/>
    <x v="0"/>
    <x v="0"/>
    <x v="0"/>
    <x v="0"/>
    <x v="0"/>
    <x v="0"/>
    <x v="1"/>
    <x v="0"/>
    <x v="0"/>
    <x v="1"/>
    <n v="300.86"/>
    <n v="535.51874999999995"/>
    <n v="300.86"/>
    <x v="2"/>
    <n v="300.86"/>
    <x v="0"/>
    <x v="0"/>
    <n v="535.51874999999995"/>
    <x v="1"/>
    <n v="6.9698229166666658E-3"/>
  </r>
  <r>
    <x v="1"/>
    <x v="3"/>
    <x v="2"/>
    <n v="21"/>
    <x v="0"/>
    <n v="724.32343750000007"/>
    <x v="6"/>
    <x v="2"/>
    <x v="0"/>
    <x v="0"/>
    <x v="0"/>
    <x v="0"/>
    <x v="0"/>
    <x v="0"/>
    <x v="1"/>
    <n v="30.46875"/>
    <x v="0"/>
    <x v="0"/>
    <x v="0"/>
    <x v="0"/>
    <x v="0"/>
    <x v="0"/>
    <x v="0"/>
    <x v="0"/>
    <x v="0"/>
    <x v="1"/>
    <x v="0"/>
    <x v="9"/>
    <x v="1"/>
    <n v="724.32343750000007"/>
    <n v="754.79218750000007"/>
    <n v="0"/>
    <x v="8"/>
    <n v="0"/>
    <x v="0"/>
    <x v="0"/>
    <n v="30.46875"/>
    <x v="1"/>
    <n v="6.297928592848558E-3"/>
  </r>
  <r>
    <x v="1"/>
    <x v="3"/>
    <x v="3"/>
    <n v="22"/>
    <x v="0"/>
    <n v="0"/>
    <x v="2"/>
    <x v="2"/>
    <x v="0"/>
    <x v="0"/>
    <x v="0"/>
    <x v="0"/>
    <x v="0"/>
    <x v="0"/>
    <x v="0"/>
    <n v="177.69374999999999"/>
    <x v="0"/>
    <x v="0"/>
    <x v="0"/>
    <x v="0"/>
    <x v="0"/>
    <x v="0"/>
    <x v="0"/>
    <x v="0"/>
    <x v="0"/>
    <x v="1"/>
    <x v="0"/>
    <x v="0"/>
    <x v="1"/>
    <n v="0"/>
    <n v="177.69374999999999"/>
    <n v="0"/>
    <x v="2"/>
    <n v="0"/>
    <x v="0"/>
    <x v="0"/>
    <n v="177.69374999999999"/>
    <x v="1"/>
    <n v="1.4807812499999999E-3"/>
  </r>
  <r>
    <x v="1"/>
    <x v="3"/>
    <x v="4"/>
    <n v="23"/>
    <x v="0"/>
    <n v="394.63593749999995"/>
    <x v="7"/>
    <x v="9"/>
    <x v="4"/>
    <x v="0"/>
    <x v="0"/>
    <x v="0"/>
    <x v="0"/>
    <x v="0"/>
    <x v="0"/>
    <n v="1887.84375"/>
    <x v="0"/>
    <x v="0"/>
    <x v="0"/>
    <x v="0"/>
    <x v="0"/>
    <x v="0"/>
    <x v="0"/>
    <x v="0"/>
    <x v="0"/>
    <x v="1"/>
    <x v="0"/>
    <x v="0"/>
    <x v="1"/>
    <n v="394.63593749999995"/>
    <n v="2411.9021363149577"/>
    <n v="41.210937499999943"/>
    <x v="9"/>
    <n v="41.210937499999943"/>
    <x v="9"/>
    <x v="0"/>
    <n v="1887.84375"/>
    <x v="1"/>
    <n v="2.0442608948457983E-2"/>
  </r>
  <r>
    <x v="1"/>
    <x v="4"/>
    <x v="0"/>
    <n v="24"/>
    <x v="0"/>
    <n v="0"/>
    <x v="2"/>
    <x v="2"/>
    <x v="0"/>
    <x v="0"/>
    <x v="0"/>
    <x v="0"/>
    <x v="0"/>
    <x v="0"/>
    <x v="0"/>
    <n v="1303.33125"/>
    <x v="6"/>
    <x v="0"/>
    <x v="0"/>
    <x v="0"/>
    <x v="0"/>
    <x v="0"/>
    <x v="0"/>
    <x v="1"/>
    <x v="0"/>
    <x v="1"/>
    <x v="0"/>
    <x v="0"/>
    <x v="1"/>
    <n v="0"/>
    <n v="2443.7174337383849"/>
    <n v="0"/>
    <x v="2"/>
    <n v="0"/>
    <x v="10"/>
    <x v="0"/>
    <n v="1303.33125"/>
    <x v="1"/>
    <n v="1.086109375E-2"/>
  </r>
  <r>
    <x v="1"/>
    <x v="4"/>
    <x v="1"/>
    <n v="25"/>
    <x v="0"/>
    <n v="0"/>
    <x v="2"/>
    <x v="2"/>
    <x v="5"/>
    <x v="0"/>
    <x v="0"/>
    <x v="0"/>
    <x v="0"/>
    <x v="0"/>
    <x v="0"/>
    <n v="1110.9130499999999"/>
    <x v="0"/>
    <x v="0"/>
    <x v="0"/>
    <x v="0"/>
    <x v="0"/>
    <x v="0"/>
    <x v="0"/>
    <x v="0"/>
    <x v="0"/>
    <x v="6"/>
    <x v="0"/>
    <x v="0"/>
    <x v="6"/>
    <n v="0"/>
    <n v="1187.55011685617"/>
    <n v="0.50079345774267114"/>
    <x v="2"/>
    <n v="0"/>
    <x v="11"/>
    <x v="0"/>
    <n v="1110.9130499999999"/>
    <x v="7"/>
    <n v="9.8962509738014168E-3"/>
  </r>
  <r>
    <x v="1"/>
    <x v="4"/>
    <x v="2"/>
    <n v="26"/>
    <x v="0"/>
    <n v="0"/>
    <x v="2"/>
    <x v="2"/>
    <x v="0"/>
    <x v="0"/>
    <x v="0"/>
    <x v="0"/>
    <x v="0"/>
    <x v="0"/>
    <x v="0"/>
    <n v="80.2971"/>
    <x v="7"/>
    <x v="0"/>
    <x v="0"/>
    <x v="0"/>
    <x v="0"/>
    <x v="0"/>
    <x v="0"/>
    <x v="0"/>
    <x v="0"/>
    <x v="1"/>
    <x v="0"/>
    <x v="0"/>
    <x v="1"/>
    <n v="0"/>
    <n v="765.843975"/>
    <n v="0"/>
    <x v="2"/>
    <n v="0"/>
    <x v="12"/>
    <x v="0"/>
    <n v="80.2971"/>
    <x v="1"/>
    <n v="6.6914250000000002E-4"/>
  </r>
  <r>
    <x v="1"/>
    <x v="4"/>
    <x v="3"/>
    <n v="27"/>
    <x v="0"/>
    <n v="0"/>
    <x v="2"/>
    <x v="2"/>
    <x v="0"/>
    <x v="0"/>
    <x v="0"/>
    <x v="0"/>
    <x v="0"/>
    <x v="0"/>
    <x v="0"/>
    <n v="1121.2499999999998"/>
    <x v="0"/>
    <x v="0"/>
    <x v="0"/>
    <x v="0"/>
    <x v="0"/>
    <x v="0"/>
    <x v="0"/>
    <x v="0"/>
    <x v="0"/>
    <x v="1"/>
    <x v="2"/>
    <x v="8"/>
    <x v="1"/>
    <n v="0"/>
    <n v="1121.2499999999998"/>
    <n v="0"/>
    <x v="2"/>
    <n v="0"/>
    <x v="0"/>
    <x v="0"/>
    <n v="1121.2499999999998"/>
    <x v="1"/>
    <n v="9.3437499999999996E-3"/>
  </r>
  <r>
    <x v="1"/>
    <x v="5"/>
    <x v="0"/>
    <n v="28"/>
    <x v="0"/>
    <n v="0"/>
    <x v="2"/>
    <x v="2"/>
    <x v="0"/>
    <x v="0"/>
    <x v="0"/>
    <x v="0"/>
    <x v="0"/>
    <x v="0"/>
    <x v="0"/>
    <n v="386.85464999999999"/>
    <x v="0"/>
    <x v="0"/>
    <x v="0"/>
    <x v="0"/>
    <x v="0"/>
    <x v="0"/>
    <x v="0"/>
    <x v="2"/>
    <x v="0"/>
    <x v="1"/>
    <x v="0"/>
    <x v="0"/>
    <x v="1"/>
    <n v="0"/>
    <n v="710.17818567760639"/>
    <n v="0"/>
    <x v="2"/>
    <n v="0"/>
    <x v="13"/>
    <x v="0"/>
    <n v="386.85464999999999"/>
    <x v="1"/>
    <n v="3.2237887499999996E-3"/>
  </r>
  <r>
    <x v="1"/>
    <x v="5"/>
    <x v="1"/>
    <n v="29"/>
    <x v="0"/>
    <n v="113.0828125"/>
    <x v="8"/>
    <x v="2"/>
    <x v="0"/>
    <x v="5"/>
    <x v="0"/>
    <x v="3"/>
    <x v="0"/>
    <x v="0"/>
    <x v="0"/>
    <n v="408.03749999999997"/>
    <x v="0"/>
    <x v="0"/>
    <x v="0"/>
    <x v="0"/>
    <x v="0"/>
    <x v="3"/>
    <x v="0"/>
    <x v="3"/>
    <x v="0"/>
    <x v="1"/>
    <x v="0"/>
    <x v="0"/>
    <x v="1"/>
    <n v="395.6225"/>
    <n v="921.08091503377648"/>
    <n v="292.1108958585607"/>
    <x v="10"/>
    <n v="282.53968750000001"/>
    <x v="14"/>
    <x v="3"/>
    <n v="408.03749999999997"/>
    <x v="8"/>
    <n v="6.6971666666666664E-3"/>
  </r>
  <r>
    <x v="1"/>
    <x v="5"/>
    <x v="2"/>
    <n v="30"/>
    <x v="0"/>
    <n v="0"/>
    <x v="2"/>
    <x v="2"/>
    <x v="0"/>
    <x v="0"/>
    <x v="0"/>
    <x v="0"/>
    <x v="0"/>
    <x v="2"/>
    <x v="0"/>
    <n v="83.606250000000003"/>
    <x v="0"/>
    <x v="0"/>
    <x v="0"/>
    <x v="0"/>
    <x v="0"/>
    <x v="0"/>
    <x v="1"/>
    <x v="0"/>
    <x v="0"/>
    <x v="1"/>
    <x v="0"/>
    <x v="10"/>
    <x v="7"/>
    <n v="0"/>
    <n v="83.606250000000003"/>
    <n v="2.6970616288786107"/>
    <x v="2"/>
    <n v="0"/>
    <x v="0"/>
    <x v="0"/>
    <n v="83.606250000000003"/>
    <x v="9"/>
    <n v="6.9671875000000007E-4"/>
  </r>
  <r>
    <x v="1"/>
    <x v="5"/>
    <x v="3"/>
    <n v="31"/>
    <x v="0"/>
    <n v="41.2109375"/>
    <x v="2"/>
    <x v="8"/>
    <x v="0"/>
    <x v="6"/>
    <x v="0"/>
    <x v="4"/>
    <x v="0"/>
    <x v="0"/>
    <x v="0"/>
    <n v="532.59375"/>
    <x v="0"/>
    <x v="0"/>
    <x v="0"/>
    <x v="0"/>
    <x v="0"/>
    <x v="0"/>
    <x v="0"/>
    <x v="0"/>
    <x v="0"/>
    <x v="7"/>
    <x v="0"/>
    <x v="0"/>
    <x v="8"/>
    <n v="542.97093749999999"/>
    <n v="532.59375"/>
    <n v="547.96549607199745"/>
    <x v="2"/>
    <n v="542.97093749999999"/>
    <x v="0"/>
    <x v="0"/>
    <n v="532.59375"/>
    <x v="10"/>
    <n v="8.9630390625000007E-3"/>
  </r>
  <r>
    <x v="1"/>
    <x v="5"/>
    <x v="4"/>
    <n v="32"/>
    <x v="0"/>
    <n v="1132.8062500000001"/>
    <x v="3"/>
    <x v="10"/>
    <x v="0"/>
    <x v="7"/>
    <x v="0"/>
    <x v="5"/>
    <x v="0"/>
    <x v="0"/>
    <x v="0"/>
    <n v="122.0622"/>
    <x v="0"/>
    <x v="0"/>
    <x v="0"/>
    <x v="0"/>
    <x v="0"/>
    <x v="0"/>
    <x v="0"/>
    <x v="0"/>
    <x v="0"/>
    <x v="1"/>
    <x v="0"/>
    <x v="0"/>
    <x v="1"/>
    <n v="1138.8087500000001"/>
    <n v="348.227825"/>
    <n v="912.64312500000017"/>
    <x v="6"/>
    <n v="912.64312500000017"/>
    <x v="0"/>
    <x v="0"/>
    <n v="122.0622"/>
    <x v="1"/>
    <n v="1.0507257916666669E-2"/>
  </r>
  <r>
    <x v="1"/>
    <x v="5"/>
    <x v="5"/>
    <n v="33"/>
    <x v="0"/>
    <n v="277.92656249999999"/>
    <x v="8"/>
    <x v="11"/>
    <x v="0"/>
    <x v="0"/>
    <x v="0"/>
    <x v="0"/>
    <x v="0"/>
    <x v="0"/>
    <x v="0"/>
    <n v="219.53489999999999"/>
    <x v="0"/>
    <x v="0"/>
    <x v="0"/>
    <x v="0"/>
    <x v="0"/>
    <x v="0"/>
    <x v="0"/>
    <x v="0"/>
    <x v="0"/>
    <x v="1"/>
    <x v="0"/>
    <x v="0"/>
    <x v="1"/>
    <n v="277.92656249999999"/>
    <n v="332.61771249999998"/>
    <n v="164.84375"/>
    <x v="10"/>
    <n v="164.84375"/>
    <x v="0"/>
    <x v="0"/>
    <n v="219.53489999999999"/>
    <x v="1"/>
    <n v="4.1455121875000004E-3"/>
  </r>
  <r>
    <x v="2"/>
    <x v="6"/>
    <x v="0"/>
    <n v="34"/>
    <x v="0"/>
    <n v="0"/>
    <x v="2"/>
    <x v="2"/>
    <x v="0"/>
    <x v="0"/>
    <x v="0"/>
    <x v="0"/>
    <x v="0"/>
    <x v="0"/>
    <x v="0"/>
    <n v="2054.4693000000002"/>
    <x v="0"/>
    <x v="0"/>
    <x v="0"/>
    <x v="0"/>
    <x v="0"/>
    <x v="0"/>
    <x v="0"/>
    <x v="4"/>
    <x v="0"/>
    <x v="1"/>
    <x v="0"/>
    <x v="0"/>
    <x v="1"/>
    <n v="0"/>
    <n v="2138.3004875198558"/>
    <n v="0"/>
    <x v="2"/>
    <n v="0"/>
    <x v="15"/>
    <x v="0"/>
    <n v="2054.4693000000002"/>
    <x v="1"/>
    <n v="1.7120577500000001E-2"/>
  </r>
  <r>
    <x v="2"/>
    <x v="6"/>
    <x v="1"/>
    <n v="35"/>
    <x v="0"/>
    <n v="6592.1015625"/>
    <x v="9"/>
    <x v="12"/>
    <x v="0"/>
    <x v="8"/>
    <x v="0"/>
    <x v="6"/>
    <x v="0"/>
    <x v="0"/>
    <x v="0"/>
    <n v="2180.8312500000002"/>
    <x v="0"/>
    <x v="0"/>
    <x v="0"/>
    <x v="0"/>
    <x v="0"/>
    <x v="4"/>
    <x v="0"/>
    <x v="0"/>
    <x v="0"/>
    <x v="8"/>
    <x v="0"/>
    <x v="0"/>
    <x v="9"/>
    <n v="6597.7015625000004"/>
    <n v="5680.8755125000007"/>
    <n v="12998.470566611177"/>
    <x v="11"/>
    <n v="3097.6572999999999"/>
    <x v="0"/>
    <x v="4"/>
    <n v="2180.8312500000002"/>
    <x v="11"/>
    <n v="7.3154440104166676E-2"/>
  </r>
  <r>
    <x v="2"/>
    <x v="6"/>
    <x v="2"/>
    <n v="36"/>
    <x v="0"/>
    <n v="6340.8796874999998"/>
    <x v="10"/>
    <x v="13"/>
    <x v="0"/>
    <x v="9"/>
    <x v="0"/>
    <x v="7"/>
    <x v="0"/>
    <x v="0"/>
    <x v="0"/>
    <n v="1147.0875000000001"/>
    <x v="0"/>
    <x v="0"/>
    <x v="0"/>
    <x v="0"/>
    <x v="0"/>
    <x v="5"/>
    <x v="0"/>
    <x v="0"/>
    <x v="0"/>
    <x v="1"/>
    <x v="0"/>
    <x v="0"/>
    <x v="1"/>
    <n v="6344.2396874999995"/>
    <n v="3243.2406250000004"/>
    <n v="5523.6621585928642"/>
    <x v="12"/>
    <n v="4248.0865624999997"/>
    <x v="0"/>
    <x v="5"/>
    <n v="1147.0875000000001"/>
    <x v="12"/>
    <n v="6.2427726562499987E-2"/>
  </r>
  <r>
    <x v="2"/>
    <x v="6"/>
    <x v="3"/>
    <n v="37"/>
    <x v="0"/>
    <n v="394.63593749999995"/>
    <x v="7"/>
    <x v="9"/>
    <x v="0"/>
    <x v="10"/>
    <x v="2"/>
    <x v="8"/>
    <x v="0"/>
    <x v="0"/>
    <x v="0"/>
    <n v="4263.5794499999993"/>
    <x v="0"/>
    <x v="0"/>
    <x v="0"/>
    <x v="0"/>
    <x v="0"/>
    <x v="6"/>
    <x v="0"/>
    <x v="0"/>
    <x v="0"/>
    <x v="9"/>
    <x v="0"/>
    <x v="0"/>
    <x v="10"/>
    <n v="1057.4506249999999"/>
    <n v="5217.7466374999995"/>
    <n v="2499.3417089014738"/>
    <x v="13"/>
    <n v="103.28343749999993"/>
    <x v="0"/>
    <x v="6"/>
    <n v="4263.5794499999993"/>
    <x v="13"/>
    <n v="4.4341917291666658E-2"/>
  </r>
  <r>
    <x v="2"/>
    <x v="6"/>
    <x v="4"/>
    <n v="38"/>
    <x v="0"/>
    <n v="528.81875000000002"/>
    <x v="11"/>
    <x v="14"/>
    <x v="0"/>
    <x v="11"/>
    <x v="0"/>
    <x v="9"/>
    <x v="0"/>
    <x v="0"/>
    <x v="0"/>
    <n v="1028.4261000000001"/>
    <x v="0"/>
    <x v="2"/>
    <x v="2"/>
    <x v="2"/>
    <x v="0"/>
    <x v="0"/>
    <x v="0"/>
    <x v="0"/>
    <x v="0"/>
    <x v="10"/>
    <x v="1"/>
    <x v="11"/>
    <x v="11"/>
    <n v="1687.5714907315228"/>
    <n v="2367.1711741902955"/>
    <n v="350.22036596379439"/>
    <x v="14"/>
    <n v="348.82641654122722"/>
    <x v="0"/>
    <x v="0"/>
    <n v="1028.4261000000001"/>
    <x v="14"/>
    <n v="2.2633313256096025E-2"/>
  </r>
  <r>
    <x v="2"/>
    <x v="6"/>
    <x v="5"/>
    <n v="39"/>
    <x v="0"/>
    <n v="405.18593750000002"/>
    <x v="11"/>
    <x v="15"/>
    <x v="0"/>
    <x v="12"/>
    <x v="0"/>
    <x v="10"/>
    <x v="0"/>
    <x v="0"/>
    <x v="0"/>
    <n v="36.363599999999998"/>
    <x v="8"/>
    <x v="0"/>
    <x v="0"/>
    <x v="0"/>
    <x v="1"/>
    <x v="0"/>
    <x v="0"/>
    <x v="0"/>
    <x v="0"/>
    <x v="6"/>
    <x v="0"/>
    <x v="5"/>
    <x v="6"/>
    <n v="432.53843750000004"/>
    <n v="1717.2789124999999"/>
    <n v="192.69704345774269"/>
    <x v="15"/>
    <n v="192.19625000000002"/>
    <x v="16"/>
    <x v="0"/>
    <n v="36.363599999999998"/>
    <x v="7"/>
    <n v="7.5960169791666667E-3"/>
  </r>
  <r>
    <x v="2"/>
    <x v="7"/>
    <x v="0"/>
    <n v="40"/>
    <x v="0"/>
    <n v="12015.790625"/>
    <x v="12"/>
    <x v="16"/>
    <x v="0"/>
    <x v="0"/>
    <x v="0"/>
    <x v="0"/>
    <x v="0"/>
    <x v="0"/>
    <x v="0"/>
    <n v="3716.7"/>
    <x v="9"/>
    <x v="3"/>
    <x v="0"/>
    <x v="3"/>
    <x v="0"/>
    <x v="7"/>
    <x v="0"/>
    <x v="0"/>
    <x v="0"/>
    <x v="1"/>
    <x v="0"/>
    <x v="0"/>
    <x v="1"/>
    <n v="12024.644151131941"/>
    <n v="14460.607812499999"/>
    <n v="4887.079534872315"/>
    <x v="16"/>
    <n v="4088.7363386319412"/>
    <x v="17"/>
    <x v="7"/>
    <n v="3716.7"/>
    <x v="15"/>
    <n v="0.13117786792609951"/>
  </r>
  <r>
    <x v="2"/>
    <x v="7"/>
    <x v="1"/>
    <n v="41"/>
    <x v="0"/>
    <n v="5914.2640624999995"/>
    <x v="13"/>
    <x v="17"/>
    <x v="0"/>
    <x v="13"/>
    <x v="3"/>
    <x v="11"/>
    <x v="0"/>
    <x v="0"/>
    <x v="0"/>
    <n v="4235.3044499999996"/>
    <x v="0"/>
    <x v="4"/>
    <x v="3"/>
    <x v="4"/>
    <x v="1"/>
    <x v="0"/>
    <x v="0"/>
    <x v="0"/>
    <x v="0"/>
    <x v="1"/>
    <x v="0"/>
    <x v="5"/>
    <x v="1"/>
    <n v="10929.54626256723"/>
    <n v="12748.272051470974"/>
    <n v="2859.198661096254"/>
    <x v="17"/>
    <n v="2859.198661096254"/>
    <x v="0"/>
    <x v="0"/>
    <n v="4235.3044499999996"/>
    <x v="1"/>
    <n v="0.13006225593806026"/>
  </r>
  <r>
    <x v="2"/>
    <x v="7"/>
    <x v="2"/>
    <n v="42"/>
    <x v="0"/>
    <n v="1032.58125"/>
    <x v="14"/>
    <x v="2"/>
    <x v="0"/>
    <x v="0"/>
    <x v="0"/>
    <x v="0"/>
    <x v="0"/>
    <x v="0"/>
    <x v="0"/>
    <n v="2591.7391499999999"/>
    <x v="10"/>
    <x v="0"/>
    <x v="0"/>
    <x v="0"/>
    <x v="0"/>
    <x v="0"/>
    <x v="0"/>
    <x v="0"/>
    <x v="0"/>
    <x v="1"/>
    <x v="0"/>
    <x v="0"/>
    <x v="1"/>
    <n v="1032.58125"/>
    <n v="7194.4453999999996"/>
    <n v="0"/>
    <x v="18"/>
    <n v="0"/>
    <x v="18"/>
    <x v="0"/>
    <n v="2591.7391499999999"/>
    <x v="1"/>
    <n v="3.0202669999999997E-2"/>
  </r>
  <r>
    <x v="2"/>
    <x v="7"/>
    <x v="3"/>
    <n v="43"/>
    <x v="0"/>
    <n v="6996.6281249999993"/>
    <x v="15"/>
    <x v="18"/>
    <x v="0"/>
    <x v="14"/>
    <x v="4"/>
    <x v="12"/>
    <x v="0"/>
    <x v="0"/>
    <x v="0"/>
    <n v="2218.125"/>
    <x v="0"/>
    <x v="5"/>
    <x v="0"/>
    <x v="5"/>
    <x v="0"/>
    <x v="8"/>
    <x v="0"/>
    <x v="0"/>
    <x v="0"/>
    <x v="1"/>
    <x v="0"/>
    <x v="0"/>
    <x v="1"/>
    <n v="9199.860143879745"/>
    <n v="11255.348437500001"/>
    <n v="6331.8341530297348"/>
    <x v="19"/>
    <n v="162.63670637974411"/>
    <x v="0"/>
    <x v="8"/>
    <n v="2218.125"/>
    <x v="16"/>
    <n v="9.5149876198997882E-2"/>
  </r>
  <r>
    <x v="2"/>
    <x v="7"/>
    <x v="4"/>
    <n v="44"/>
    <x v="0"/>
    <n v="370.8984375"/>
    <x v="2"/>
    <x v="19"/>
    <x v="0"/>
    <x v="15"/>
    <x v="0"/>
    <x v="13"/>
    <x v="0"/>
    <x v="0"/>
    <x v="0"/>
    <n v="2995.2039"/>
    <x v="0"/>
    <x v="6"/>
    <x v="4"/>
    <x v="6"/>
    <x v="0"/>
    <x v="0"/>
    <x v="0"/>
    <x v="0"/>
    <x v="0"/>
    <x v="1"/>
    <x v="0"/>
    <x v="0"/>
    <x v="1"/>
    <n v="3371.647898443312"/>
    <n v="5966.5925019282513"/>
    <n v="400.25929651506124"/>
    <x v="20"/>
    <n v="400.25929651506124"/>
    <x v="0"/>
    <x v="0"/>
    <n v="2995.2039"/>
    <x v="1"/>
    <n v="5.3057098320360936E-2"/>
  </r>
  <r>
    <x v="2"/>
    <x v="7"/>
    <x v="5"/>
    <n v="45"/>
    <x v="0"/>
    <n v="865.4296875"/>
    <x v="2"/>
    <x v="20"/>
    <x v="0"/>
    <x v="16"/>
    <x v="2"/>
    <x v="14"/>
    <x v="0"/>
    <x v="0"/>
    <x v="0"/>
    <n v="2711.5198500000001"/>
    <x v="0"/>
    <x v="0"/>
    <x v="0"/>
    <x v="0"/>
    <x v="0"/>
    <x v="9"/>
    <x v="0"/>
    <x v="0"/>
    <x v="0"/>
    <x v="11"/>
    <x v="0"/>
    <x v="0"/>
    <x v="12"/>
    <n v="1519.6168750000002"/>
    <n v="3312.2620375000001"/>
    <n v="1948.8412709930676"/>
    <x v="21"/>
    <n v="918.87468750000005"/>
    <x v="0"/>
    <x v="9"/>
    <n v="2711.5198500000001"/>
    <x v="17"/>
    <n v="3.5259472708333336E-2"/>
  </r>
  <r>
    <x v="2"/>
    <x v="7"/>
    <x v="6"/>
    <n v="46"/>
    <x v="0"/>
    <n v="0"/>
    <x v="2"/>
    <x v="2"/>
    <x v="0"/>
    <x v="17"/>
    <x v="0"/>
    <x v="15"/>
    <x v="0"/>
    <x v="0"/>
    <x v="0"/>
    <n v="691.77419999999995"/>
    <x v="8"/>
    <x v="0"/>
    <x v="0"/>
    <x v="0"/>
    <x v="0"/>
    <x v="0"/>
    <x v="0"/>
    <x v="0"/>
    <x v="0"/>
    <x v="12"/>
    <x v="0"/>
    <x v="0"/>
    <x v="13"/>
    <n v="20.107500000000002"/>
    <n v="1689.7273249999998"/>
    <n v="20.489582138416932"/>
    <x v="2"/>
    <n v="20.107500000000002"/>
    <x v="16"/>
    <x v="0"/>
    <n v="691.77419999999995"/>
    <x v="18"/>
    <n v="5.9323474999999999E-3"/>
  </r>
  <r>
    <x v="2"/>
    <x v="8"/>
    <x v="0"/>
    <n v="47"/>
    <x v="0"/>
    <n v="164.84375"/>
    <x v="2"/>
    <x v="11"/>
    <x v="0"/>
    <x v="0"/>
    <x v="0"/>
    <x v="0"/>
    <x v="0"/>
    <x v="0"/>
    <x v="0"/>
    <n v="1037.64375"/>
    <x v="0"/>
    <x v="0"/>
    <x v="0"/>
    <x v="0"/>
    <x v="0"/>
    <x v="0"/>
    <x v="0"/>
    <x v="0"/>
    <x v="6"/>
    <x v="13"/>
    <x v="0"/>
    <x v="12"/>
    <x v="14"/>
    <n v="164.84375"/>
    <n v="1037.64375"/>
    <n v="165.95890953805372"/>
    <x v="2"/>
    <n v="164.84375"/>
    <x v="0"/>
    <x v="0"/>
    <n v="1037.64375"/>
    <x v="19"/>
    <n v="1.0020729166666666E-2"/>
  </r>
  <r>
    <x v="2"/>
    <x v="8"/>
    <x v="1"/>
    <n v="48"/>
    <x v="0"/>
    <n v="360.34843749999999"/>
    <x v="8"/>
    <x v="21"/>
    <x v="0"/>
    <x v="0"/>
    <x v="0"/>
    <x v="0"/>
    <x v="0"/>
    <x v="0"/>
    <x v="0"/>
    <n v="4943.9753999999994"/>
    <x v="8"/>
    <x v="0"/>
    <x v="0"/>
    <x v="0"/>
    <x v="0"/>
    <x v="10"/>
    <x v="0"/>
    <x v="0"/>
    <x v="0"/>
    <x v="14"/>
    <x v="0"/>
    <x v="0"/>
    <x v="15"/>
    <n v="360.34843749999999"/>
    <n v="6055.0113374999992"/>
    <n v="3091.7792044025005"/>
    <x v="10"/>
    <n v="247.265625"/>
    <x v="16"/>
    <x v="10"/>
    <n v="4943.9753999999994"/>
    <x v="20"/>
    <n v="4.420269864583333E-2"/>
  </r>
  <r>
    <x v="2"/>
    <x v="8"/>
    <x v="2"/>
    <n v="49"/>
    <x v="0"/>
    <n v="1236.328125"/>
    <x v="2"/>
    <x v="22"/>
    <x v="0"/>
    <x v="0"/>
    <x v="0"/>
    <x v="0"/>
    <x v="0"/>
    <x v="0"/>
    <x v="0"/>
    <n v="1368.6562499999998"/>
    <x v="0"/>
    <x v="7"/>
    <x v="0"/>
    <x v="7"/>
    <x v="0"/>
    <x v="0"/>
    <x v="0"/>
    <x v="0"/>
    <x v="0"/>
    <x v="1"/>
    <x v="0"/>
    <x v="0"/>
    <x v="1"/>
    <n v="1328.429111023924"/>
    <n v="1368.6562499999998"/>
    <n v="1328.429111023924"/>
    <x v="2"/>
    <n v="1328.429111023924"/>
    <x v="0"/>
    <x v="0"/>
    <n v="1368.6562499999998"/>
    <x v="1"/>
    <n v="2.2475711341866031E-2"/>
  </r>
  <r>
    <x v="2"/>
    <x v="8"/>
    <x v="3"/>
    <n v="50"/>
    <x v="2"/>
    <n v="1277.5390625"/>
    <x v="2"/>
    <x v="23"/>
    <x v="0"/>
    <x v="18"/>
    <x v="0"/>
    <x v="16"/>
    <x v="0"/>
    <x v="0"/>
    <x v="0"/>
    <n v="1502.6349"/>
    <x v="0"/>
    <x v="8"/>
    <x v="0"/>
    <x v="8"/>
    <x v="0"/>
    <x v="0"/>
    <x v="0"/>
    <x v="0"/>
    <x v="0"/>
    <x v="1"/>
    <x v="0"/>
    <x v="0"/>
    <x v="1"/>
    <n v="1304.7829149541533"/>
    <n v="1586.4660875198556"/>
    <n v="1304.7829149541533"/>
    <x v="2"/>
    <n v="1304.7829149541533"/>
    <x v="15"/>
    <x v="0"/>
    <n v="1502.6349"/>
    <x v="1"/>
    <n v="2.4093741687283406E-2"/>
  </r>
  <r>
    <x v="2"/>
    <x v="8"/>
    <x v="4"/>
    <n v="51"/>
    <x v="0"/>
    <n v="0"/>
    <x v="2"/>
    <x v="2"/>
    <x v="0"/>
    <x v="19"/>
    <x v="0"/>
    <x v="17"/>
    <x v="0"/>
    <x v="0"/>
    <x v="0"/>
    <n v="11.372399999999999"/>
    <x v="10"/>
    <x v="9"/>
    <x v="0"/>
    <x v="9"/>
    <x v="0"/>
    <x v="0"/>
    <x v="0"/>
    <x v="0"/>
    <x v="0"/>
    <x v="1"/>
    <x v="0"/>
    <x v="0"/>
    <x v="1"/>
    <n v="154.43752389323174"/>
    <n v="3581.4974000000002"/>
    <n v="154.43752389323174"/>
    <x v="2"/>
    <n v="154.43752389323174"/>
    <x v="18"/>
    <x v="0"/>
    <n v="11.372399999999999"/>
    <x v="1"/>
    <n v="1.3817493657769311E-3"/>
  </r>
  <r>
    <x v="2"/>
    <x v="8"/>
    <x v="5"/>
    <n v="52"/>
    <x v="0"/>
    <n v="1821.1937499999999"/>
    <x v="16"/>
    <x v="0"/>
    <x v="0"/>
    <x v="0"/>
    <x v="0"/>
    <x v="0"/>
    <x v="0"/>
    <x v="0"/>
    <x v="0"/>
    <n v="2201.59485"/>
    <x v="0"/>
    <x v="0"/>
    <x v="0"/>
    <x v="0"/>
    <x v="0"/>
    <x v="0"/>
    <x v="0"/>
    <x v="0"/>
    <x v="0"/>
    <x v="1"/>
    <x v="3"/>
    <x v="13"/>
    <x v="1"/>
    <n v="1821.1937499999999"/>
    <n v="3899.1557874999999"/>
    <n v="123.6328125"/>
    <x v="22"/>
    <n v="123.6328125"/>
    <x v="0"/>
    <x v="0"/>
    <n v="2201.59485"/>
    <x v="1"/>
    <n v="3.3523238333333337E-2"/>
  </r>
  <r>
    <x v="2"/>
    <x v="8"/>
    <x v="6"/>
    <n v="53"/>
    <x v="0"/>
    <n v="1229.4046874999999"/>
    <x v="11"/>
    <x v="24"/>
    <x v="0"/>
    <x v="20"/>
    <x v="0"/>
    <x v="18"/>
    <x v="0"/>
    <x v="0"/>
    <x v="0"/>
    <n v="1231.8169500000001"/>
    <x v="0"/>
    <x v="10"/>
    <x v="0"/>
    <x v="10"/>
    <x v="0"/>
    <x v="0"/>
    <x v="0"/>
    <x v="0"/>
    <x v="7"/>
    <x v="1"/>
    <x v="0"/>
    <x v="14"/>
    <x v="1"/>
    <n v="1261.0272713499971"/>
    <n v="1472.1591375"/>
    <n v="1020.6850838499972"/>
    <x v="15"/>
    <n v="1020.6850838499972"/>
    <x v="0"/>
    <x v="0"/>
    <n v="1231.8169500000001"/>
    <x v="1"/>
    <n v="2.0773701844583308E-2"/>
  </r>
  <r>
    <x v="2"/>
    <x v="8"/>
    <x v="7"/>
    <n v="54"/>
    <x v="0"/>
    <n v="236.71562499999999"/>
    <x v="17"/>
    <x v="25"/>
    <x v="0"/>
    <x v="21"/>
    <x v="0"/>
    <x v="19"/>
    <x v="0"/>
    <x v="0"/>
    <x v="0"/>
    <n v="1385.1318000000001"/>
    <x v="0"/>
    <x v="11"/>
    <x v="0"/>
    <x v="11"/>
    <x v="0"/>
    <x v="0"/>
    <x v="0"/>
    <x v="0"/>
    <x v="0"/>
    <x v="1"/>
    <x v="0"/>
    <x v="0"/>
    <x v="1"/>
    <n v="306.45807748838376"/>
    <n v="1456.3443000000002"/>
    <n v="235.24557748838373"/>
    <x v="23"/>
    <n v="235.24557748838373"/>
    <x v="0"/>
    <x v="0"/>
    <n v="1385.1318000000001"/>
    <x v="1"/>
    <n v="1.409658231240319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1"/>
  </r>
  <r>
    <x v="0"/>
    <x v="2"/>
    <x v="0"/>
    <x v="2"/>
    <x v="2"/>
    <x v="2"/>
    <x v="2"/>
    <x v="1"/>
    <x v="2"/>
    <x v="2"/>
  </r>
  <r>
    <x v="1"/>
    <x v="3"/>
    <x v="1"/>
    <x v="3"/>
    <x v="3"/>
    <x v="3"/>
    <x v="3"/>
    <x v="1"/>
    <x v="3"/>
    <x v="3"/>
  </r>
  <r>
    <x v="1"/>
    <x v="4"/>
    <x v="2"/>
    <x v="4"/>
    <x v="4"/>
    <x v="4"/>
    <x v="4"/>
    <x v="1"/>
    <x v="4"/>
    <x v="4"/>
  </r>
  <r>
    <x v="1"/>
    <x v="5"/>
    <x v="0"/>
    <x v="5"/>
    <x v="5"/>
    <x v="2"/>
    <x v="5"/>
    <x v="2"/>
    <x v="2"/>
    <x v="5"/>
  </r>
  <r>
    <x v="2"/>
    <x v="6"/>
    <x v="0"/>
    <x v="6"/>
    <x v="6"/>
    <x v="5"/>
    <x v="6"/>
    <x v="3"/>
    <x v="5"/>
    <x v="6"/>
  </r>
  <r>
    <x v="2"/>
    <x v="7"/>
    <x v="3"/>
    <x v="7"/>
    <x v="7"/>
    <x v="6"/>
    <x v="7"/>
    <x v="4"/>
    <x v="6"/>
    <x v="7"/>
  </r>
  <r>
    <x v="2"/>
    <x v="8"/>
    <x v="4"/>
    <x v="8"/>
    <x v="8"/>
    <x v="7"/>
    <x v="8"/>
    <x v="5"/>
    <x v="7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60">
  <r>
    <x v="0"/>
    <x v="0"/>
    <x v="0"/>
    <x v="0"/>
    <x v="0"/>
    <x v="0"/>
    <s v="5 to 6"/>
    <x v="0"/>
    <x v="0"/>
    <x v="0"/>
    <x v="0"/>
    <x v="0"/>
    <x v="0"/>
    <s v="BRF"/>
    <n v="8"/>
    <x v="0"/>
    <m/>
    <n v="3"/>
    <x v="0"/>
    <x v="0"/>
    <x v="0"/>
    <x v="0"/>
    <x v="0"/>
    <x v="0"/>
    <x v="0"/>
    <x v="0"/>
    <x v="0"/>
    <x v="0"/>
    <n v="5701.6156250000004"/>
  </r>
  <r>
    <x v="0"/>
    <x v="0"/>
    <x v="0"/>
    <x v="0"/>
    <x v="0"/>
    <x v="0"/>
    <s v="5 to 6"/>
    <x v="0"/>
    <x v="0"/>
    <x v="0"/>
    <x v="0"/>
    <x v="1"/>
    <x v="1"/>
    <s v="TS"/>
    <n v="100"/>
    <x v="1"/>
    <m/>
    <s v="100 x 10cm"/>
    <x v="1"/>
    <x v="0"/>
    <x v="0"/>
    <x v="0"/>
    <x v="1"/>
    <x v="1"/>
    <x v="0"/>
    <x v="0"/>
    <x v="0"/>
    <x v="1"/>
    <n v="107.66139215707673"/>
  </r>
  <r>
    <x v="0"/>
    <x v="0"/>
    <x v="0"/>
    <x v="1"/>
    <x v="0"/>
    <x v="1"/>
    <n v="8.5"/>
    <x v="1"/>
    <x v="1"/>
    <x v="0"/>
    <x v="0"/>
    <x v="0"/>
    <x v="0"/>
    <s v="BRF"/>
    <n v="21"/>
    <x v="2"/>
    <m/>
    <n v="2"/>
    <x v="2"/>
    <x v="1"/>
    <x v="1"/>
    <x v="1"/>
    <x v="2"/>
    <x v="1"/>
    <x v="0"/>
    <x v="0"/>
    <x v="0"/>
    <x v="2"/>
    <n v="6423.3015625000007"/>
  </r>
  <r>
    <x v="0"/>
    <x v="0"/>
    <x v="0"/>
    <x v="1"/>
    <x v="0"/>
    <x v="1"/>
    <n v="8.5"/>
    <x v="1"/>
    <x v="1"/>
    <x v="0"/>
    <x v="0"/>
    <x v="2"/>
    <x v="2"/>
    <s v="greenling juvenile (Kelp or white spotted)"/>
    <n v="8"/>
    <x v="1"/>
    <n v="8"/>
    <m/>
    <x v="1"/>
    <x v="0"/>
    <x v="0"/>
    <x v="0"/>
    <x v="1"/>
    <x v="1"/>
    <x v="0"/>
    <x v="0"/>
    <x v="1"/>
    <x v="1"/>
    <n v="7.9871999999999996"/>
  </r>
  <r>
    <x v="0"/>
    <x v="0"/>
    <x v="0"/>
    <x v="1"/>
    <x v="0"/>
    <x v="1"/>
    <n v="8.5"/>
    <x v="1"/>
    <x v="1"/>
    <x v="0"/>
    <x v="0"/>
    <x v="2"/>
    <x v="2"/>
    <s v="greenling juvenile (Kelp or white spotted)"/>
    <n v="8"/>
    <x v="1"/>
    <n v="8"/>
    <m/>
    <x v="1"/>
    <x v="0"/>
    <x v="0"/>
    <x v="0"/>
    <x v="1"/>
    <x v="1"/>
    <x v="0"/>
    <x v="0"/>
    <x v="0"/>
    <x v="1"/>
    <n v="7.9871999999999996"/>
  </r>
  <r>
    <x v="0"/>
    <x v="0"/>
    <x v="0"/>
    <x v="1"/>
    <x v="0"/>
    <x v="1"/>
    <n v="8.5"/>
    <x v="1"/>
    <x v="1"/>
    <x v="0"/>
    <x v="0"/>
    <x v="2"/>
    <x v="2"/>
    <s v="greenling juvenile (Kelp or white spotted)"/>
    <n v="8"/>
    <x v="1"/>
    <n v="8"/>
    <m/>
    <x v="1"/>
    <x v="0"/>
    <x v="0"/>
    <x v="0"/>
    <x v="1"/>
    <x v="1"/>
    <x v="0"/>
    <x v="0"/>
    <x v="0"/>
    <x v="1"/>
    <n v="7.9871999999999996"/>
  </r>
  <r>
    <x v="0"/>
    <x v="0"/>
    <x v="0"/>
    <x v="1"/>
    <x v="0"/>
    <x v="1"/>
    <n v="8.5"/>
    <x v="1"/>
    <x v="1"/>
    <x v="0"/>
    <x v="0"/>
    <x v="2"/>
    <x v="2"/>
    <s v="KGM"/>
    <n v="1"/>
    <x v="3"/>
    <m/>
    <m/>
    <x v="1"/>
    <x v="0"/>
    <x v="0"/>
    <x v="2"/>
    <x v="1"/>
    <x v="1"/>
    <x v="0"/>
    <x v="0"/>
    <x v="0"/>
    <x v="1"/>
    <n v="535.51874999999995"/>
  </r>
  <r>
    <x v="0"/>
    <x v="0"/>
    <x v="0"/>
    <x v="1"/>
    <x v="0"/>
    <x v="1"/>
    <n v="8.5"/>
    <x v="1"/>
    <x v="1"/>
    <x v="0"/>
    <x v="0"/>
    <x v="3"/>
    <x v="3"/>
    <s v="Artedius harringtoni"/>
    <n v="6"/>
    <x v="1"/>
    <n v="6"/>
    <m/>
    <x v="1"/>
    <x v="0"/>
    <x v="0"/>
    <x v="0"/>
    <x v="1"/>
    <x v="1"/>
    <x v="0"/>
    <x v="0"/>
    <x v="0"/>
    <x v="1"/>
    <n v="2.4853372876419679"/>
  </r>
  <r>
    <x v="0"/>
    <x v="0"/>
    <x v="0"/>
    <x v="1"/>
    <x v="0"/>
    <x v="1"/>
    <n v="8.5"/>
    <x v="1"/>
    <x v="1"/>
    <x v="0"/>
    <x v="0"/>
    <x v="3"/>
    <x v="3"/>
    <s v="Artedius harringtoni"/>
    <n v="10"/>
    <x v="1"/>
    <m/>
    <n v="10"/>
    <x v="1"/>
    <x v="0"/>
    <x v="0"/>
    <x v="0"/>
    <x v="1"/>
    <x v="1"/>
    <x v="0"/>
    <x v="0"/>
    <x v="0"/>
    <x v="1"/>
    <n v="11.864310647007688"/>
  </r>
  <r>
    <x v="0"/>
    <x v="0"/>
    <x v="0"/>
    <x v="1"/>
    <x v="0"/>
    <x v="1"/>
    <n v="8.5"/>
    <x v="1"/>
    <x v="1"/>
    <x v="0"/>
    <x v="0"/>
    <x v="3"/>
    <x v="3"/>
    <s v="padded sculpin"/>
    <n v="12"/>
    <x v="1"/>
    <m/>
    <n v="12"/>
    <x v="1"/>
    <x v="0"/>
    <x v="0"/>
    <x v="0"/>
    <x v="1"/>
    <x v="1"/>
    <x v="0"/>
    <x v="0"/>
    <x v="0"/>
    <x v="1"/>
    <n v="20.727032212067943"/>
  </r>
  <r>
    <x v="0"/>
    <x v="0"/>
    <x v="0"/>
    <x v="1"/>
    <x v="0"/>
    <x v="1"/>
    <n v="8.5"/>
    <x v="2"/>
    <x v="2"/>
    <x v="0"/>
    <x v="0"/>
    <x v="2"/>
    <x v="2"/>
    <s v="KGF"/>
    <n v="1"/>
    <x v="3"/>
    <m/>
    <m/>
    <x v="0"/>
    <x v="0"/>
    <x v="0"/>
    <x v="0"/>
    <x v="1"/>
    <x v="1"/>
    <x v="0"/>
    <x v="0"/>
    <x v="0"/>
    <x v="1"/>
    <n v="83.606250000000003"/>
  </r>
  <r>
    <x v="0"/>
    <x v="0"/>
    <x v="0"/>
    <x v="1"/>
    <x v="0"/>
    <x v="1"/>
    <n v="8.5"/>
    <x v="2"/>
    <x v="2"/>
    <x v="0"/>
    <x v="0"/>
    <x v="3"/>
    <x v="3"/>
    <s v="Grunt Sculpin"/>
    <n v="7"/>
    <x v="1"/>
    <n v="7"/>
    <m/>
    <x v="1"/>
    <x v="0"/>
    <x v="0"/>
    <x v="0"/>
    <x v="1"/>
    <x v="1"/>
    <x v="0"/>
    <x v="0"/>
    <x v="0"/>
    <x v="1"/>
    <n v="3.9832953736762806"/>
  </r>
  <r>
    <x v="0"/>
    <x v="0"/>
    <x v="0"/>
    <x v="1"/>
    <x v="0"/>
    <x v="1"/>
    <n v="8.5"/>
    <x v="2"/>
    <x v="2"/>
    <x v="0"/>
    <x v="0"/>
    <x v="1"/>
    <x v="1"/>
    <s v="TS"/>
    <n v="13"/>
    <x v="1"/>
    <s v="13 x 3 cm"/>
    <m/>
    <x v="1"/>
    <x v="0"/>
    <x v="0"/>
    <x v="0"/>
    <x v="1"/>
    <x v="1"/>
    <x v="0"/>
    <x v="0"/>
    <x v="0"/>
    <x v="1"/>
    <n v="0.22517970576739735"/>
  </r>
  <r>
    <x v="0"/>
    <x v="0"/>
    <x v="0"/>
    <x v="1"/>
    <x v="0"/>
    <x v="1"/>
    <n v="8.5"/>
    <x v="2"/>
    <x v="2"/>
    <x v="0"/>
    <x v="0"/>
    <x v="2"/>
    <x v="2"/>
    <s v="KGM"/>
    <n v="3"/>
    <x v="4"/>
    <m/>
    <m/>
    <x v="3"/>
    <x v="0"/>
    <x v="0"/>
    <x v="0"/>
    <x v="1"/>
    <x v="1"/>
    <x v="0"/>
    <x v="0"/>
    <x v="0"/>
    <x v="1"/>
    <n v="250.81875000000002"/>
  </r>
  <r>
    <x v="0"/>
    <x v="0"/>
    <x v="0"/>
    <x v="1"/>
    <x v="0"/>
    <x v="1"/>
    <n v="8.5"/>
    <x v="2"/>
    <x v="2"/>
    <x v="0"/>
    <x v="0"/>
    <x v="4"/>
    <x v="4"/>
    <s v="LC"/>
    <n v="1"/>
    <x v="3"/>
    <m/>
    <m/>
    <x v="1"/>
    <x v="0"/>
    <x v="0"/>
    <x v="2"/>
    <x v="1"/>
    <x v="1"/>
    <x v="0"/>
    <x v="0"/>
    <x v="0"/>
    <x v="1"/>
    <n v="446.265625"/>
  </r>
  <r>
    <x v="1"/>
    <x v="0"/>
    <x v="1"/>
    <x v="2"/>
    <x v="0"/>
    <x v="2"/>
    <s v="4.5 to 6.5"/>
    <x v="0"/>
    <x v="0"/>
    <x v="0"/>
    <x v="0"/>
    <x v="2"/>
    <x v="2"/>
    <s v="KGJ"/>
    <n v="5"/>
    <x v="1"/>
    <s v="9, 9, 8"/>
    <s v="2 x 10cm"/>
    <x v="1"/>
    <x v="0"/>
    <x v="0"/>
    <x v="0"/>
    <x v="1"/>
    <x v="1"/>
    <x v="0"/>
    <x v="0"/>
    <x v="0"/>
    <x v="1"/>
    <n v="61.932000000000002"/>
  </r>
  <r>
    <x v="1"/>
    <x v="0"/>
    <x v="1"/>
    <x v="2"/>
    <x v="0"/>
    <x v="2"/>
    <s v="4.5 to 6.5"/>
    <x v="0"/>
    <x v="0"/>
    <x v="0"/>
    <x v="0"/>
    <x v="5"/>
    <x v="3"/>
    <s v="Mosshead warbonnet"/>
    <n v="1"/>
    <x v="1"/>
    <m/>
    <s v="10cm"/>
    <x v="1"/>
    <x v="0"/>
    <x v="0"/>
    <x v="0"/>
    <x v="1"/>
    <x v="1"/>
    <x v="0"/>
    <x v="0"/>
    <x v="0"/>
    <x v="1"/>
    <n v="4.4819649463912077"/>
  </r>
  <r>
    <x v="1"/>
    <x v="0"/>
    <x v="1"/>
    <x v="2"/>
    <x v="0"/>
    <x v="2"/>
    <s v="4.5 to 6.5"/>
    <x v="0"/>
    <x v="0"/>
    <x v="0"/>
    <x v="0"/>
    <x v="3"/>
    <x v="3"/>
    <s v="Artedius harringtoni"/>
    <n v="7"/>
    <x v="1"/>
    <s v="8, 5, 4, 3, 3, 3"/>
    <s v="10cm"/>
    <x v="1"/>
    <x v="0"/>
    <x v="0"/>
    <x v="0"/>
    <x v="1"/>
    <x v="1"/>
    <x v="0"/>
    <x v="0"/>
    <x v="0"/>
    <x v="1"/>
    <n v="20.893409163700582"/>
  </r>
  <r>
    <x v="1"/>
    <x v="0"/>
    <x v="1"/>
    <x v="2"/>
    <x v="0"/>
    <x v="2"/>
    <s v="4.5 to 6.5"/>
    <x v="0"/>
    <x v="0"/>
    <x v="0"/>
    <x v="0"/>
    <x v="6"/>
    <x v="5"/>
    <s v="cabezon"/>
    <n v="1"/>
    <x v="3"/>
    <m/>
    <m/>
    <x v="1"/>
    <x v="0"/>
    <x v="0"/>
    <x v="0"/>
    <x v="1"/>
    <x v="1"/>
    <x v="0"/>
    <x v="1"/>
    <x v="0"/>
    <x v="1"/>
    <n v="2940.4774656398595"/>
  </r>
  <r>
    <x v="1"/>
    <x v="0"/>
    <x v="1"/>
    <x v="2"/>
    <x v="0"/>
    <x v="2"/>
    <s v="4.5 to 6.5"/>
    <x v="0"/>
    <x v="0"/>
    <x v="0"/>
    <x v="0"/>
    <x v="2"/>
    <x v="2"/>
    <s v="KGF"/>
    <n v="2"/>
    <x v="5"/>
    <m/>
    <m/>
    <x v="1"/>
    <x v="2"/>
    <x v="0"/>
    <x v="0"/>
    <x v="1"/>
    <x v="2"/>
    <x v="0"/>
    <x v="0"/>
    <x v="0"/>
    <x v="1"/>
    <n v="1375.2375"/>
  </r>
  <r>
    <x v="1"/>
    <x v="0"/>
    <x v="1"/>
    <x v="2"/>
    <x v="0"/>
    <x v="2"/>
    <s v="6 to 8"/>
    <x v="1"/>
    <x v="1"/>
    <x v="0"/>
    <x v="0"/>
    <x v="2"/>
    <x v="2"/>
    <s v="KGM"/>
    <n v="3"/>
    <x v="4"/>
    <m/>
    <m/>
    <x v="0"/>
    <x v="0"/>
    <x v="0"/>
    <x v="2"/>
    <x v="2"/>
    <x v="1"/>
    <x v="0"/>
    <x v="0"/>
    <x v="0"/>
    <x v="1"/>
    <n v="1441.78125"/>
  </r>
  <r>
    <x v="1"/>
    <x v="0"/>
    <x v="1"/>
    <x v="2"/>
    <x v="0"/>
    <x v="2"/>
    <s v="6 to 8"/>
    <x v="1"/>
    <x v="1"/>
    <x v="0"/>
    <x v="0"/>
    <x v="3"/>
    <x v="3"/>
    <s v="longfin Sculpin"/>
    <n v="5"/>
    <x v="1"/>
    <s v="6, 3, 6, 3"/>
    <s v="10cm"/>
    <x v="1"/>
    <x v="0"/>
    <x v="0"/>
    <x v="0"/>
    <x v="1"/>
    <x v="1"/>
    <x v="0"/>
    <x v="0"/>
    <x v="0"/>
    <x v="1"/>
    <n v="17.431008943405651"/>
  </r>
  <r>
    <x v="1"/>
    <x v="0"/>
    <x v="1"/>
    <x v="2"/>
    <x v="0"/>
    <x v="2"/>
    <s v="6 to 8"/>
    <x v="1"/>
    <x v="1"/>
    <x v="0"/>
    <x v="0"/>
    <x v="7"/>
    <x v="0"/>
    <s v="CRF"/>
    <n v="1"/>
    <x v="3"/>
    <m/>
    <m/>
    <x v="1"/>
    <x v="2"/>
    <x v="0"/>
    <x v="0"/>
    <x v="1"/>
    <x v="1"/>
    <x v="0"/>
    <x v="0"/>
    <x v="0"/>
    <x v="3"/>
    <n v="199.33593750000003"/>
  </r>
  <r>
    <x v="1"/>
    <x v="0"/>
    <x v="1"/>
    <x v="2"/>
    <x v="0"/>
    <x v="2"/>
    <s v="6 to 8"/>
    <x v="1"/>
    <x v="1"/>
    <x v="0"/>
    <x v="0"/>
    <x v="2"/>
    <x v="2"/>
    <s v="KGJ"/>
    <n v="1"/>
    <x v="1"/>
    <m/>
    <s v="10cm"/>
    <x v="1"/>
    <x v="0"/>
    <x v="0"/>
    <x v="0"/>
    <x v="1"/>
    <x v="1"/>
    <x v="0"/>
    <x v="0"/>
    <x v="0"/>
    <x v="1"/>
    <n v="15.6"/>
  </r>
  <r>
    <x v="1"/>
    <x v="0"/>
    <x v="1"/>
    <x v="2"/>
    <x v="0"/>
    <x v="3"/>
    <s v="6m"/>
    <x v="2"/>
    <x v="2"/>
    <x v="0"/>
    <x v="0"/>
    <x v="2"/>
    <x v="2"/>
    <s v="KGM"/>
    <n v="2"/>
    <x v="5"/>
    <m/>
    <m/>
    <x v="0"/>
    <x v="0"/>
    <x v="0"/>
    <x v="0"/>
    <x v="1"/>
    <x v="2"/>
    <x v="0"/>
    <x v="0"/>
    <x v="0"/>
    <x v="1"/>
    <n v="1281.1500000000001"/>
  </r>
  <r>
    <x v="1"/>
    <x v="0"/>
    <x v="1"/>
    <x v="2"/>
    <x v="0"/>
    <x v="3"/>
    <s v="6m"/>
    <x v="2"/>
    <x v="2"/>
    <x v="0"/>
    <x v="0"/>
    <x v="2"/>
    <x v="2"/>
    <s v="KGJ"/>
    <n v="3"/>
    <x v="1"/>
    <s v="8, 9"/>
    <s v="10cm"/>
    <x v="1"/>
    <x v="0"/>
    <x v="0"/>
    <x v="0"/>
    <x v="1"/>
    <x v="1"/>
    <x v="0"/>
    <x v="0"/>
    <x v="0"/>
    <x v="1"/>
    <n v="34.959600000000002"/>
  </r>
  <r>
    <x v="1"/>
    <x v="0"/>
    <x v="1"/>
    <x v="2"/>
    <x v="0"/>
    <x v="3"/>
    <s v="6m"/>
    <x v="3"/>
    <x v="3"/>
    <x v="0"/>
    <x v="0"/>
    <x v="0"/>
    <x v="0"/>
    <s v="BRF"/>
    <n v="5"/>
    <x v="5"/>
    <m/>
    <n v="3"/>
    <x v="4"/>
    <x v="0"/>
    <x v="0"/>
    <x v="0"/>
    <x v="1"/>
    <x v="1"/>
    <x v="0"/>
    <x v="0"/>
    <x v="0"/>
    <x v="4"/>
    <n v="349.79843749999998"/>
  </r>
  <r>
    <x v="1"/>
    <x v="0"/>
    <x v="1"/>
    <x v="2"/>
    <x v="0"/>
    <x v="3"/>
    <s v="6m"/>
    <x v="3"/>
    <x v="3"/>
    <x v="0"/>
    <x v="0"/>
    <x v="2"/>
    <x v="2"/>
    <s v="KGJ"/>
    <n v="11"/>
    <x v="1"/>
    <s v="8, 8, 7, 6, 7, 7, 7, 8 8, 8"/>
    <s v="10cm"/>
    <x v="1"/>
    <x v="0"/>
    <x v="0"/>
    <x v="0"/>
    <x v="1"/>
    <x v="1"/>
    <x v="0"/>
    <x v="0"/>
    <x v="0"/>
    <x v="1"/>
    <n v="80.308799999999991"/>
  </r>
  <r>
    <x v="1"/>
    <x v="0"/>
    <x v="1"/>
    <x v="2"/>
    <x v="0"/>
    <x v="3"/>
    <s v="6m"/>
    <x v="3"/>
    <x v="3"/>
    <x v="0"/>
    <x v="0"/>
    <x v="2"/>
    <x v="2"/>
    <s v="KGM"/>
    <n v="2"/>
    <x v="5"/>
    <m/>
    <m/>
    <x v="1"/>
    <x v="0"/>
    <x v="0"/>
    <x v="2"/>
    <x v="2"/>
    <x v="1"/>
    <x v="0"/>
    <x v="0"/>
    <x v="0"/>
    <x v="1"/>
    <n v="1358.175"/>
  </r>
  <r>
    <x v="1"/>
    <x v="0"/>
    <x v="1"/>
    <x v="2"/>
    <x v="0"/>
    <x v="3"/>
    <s v="6m"/>
    <x v="3"/>
    <x v="3"/>
    <x v="0"/>
    <x v="0"/>
    <x v="1"/>
    <x v="1"/>
    <s v="TS"/>
    <n v="2"/>
    <x v="5"/>
    <m/>
    <m/>
    <x v="4"/>
    <x v="0"/>
    <x v="0"/>
    <x v="0"/>
    <x v="1"/>
    <x v="1"/>
    <x v="0"/>
    <x v="0"/>
    <x v="0"/>
    <x v="1"/>
    <n v="14.679473997210593"/>
  </r>
  <r>
    <x v="1"/>
    <x v="0"/>
    <x v="1"/>
    <x v="2"/>
    <x v="0"/>
    <x v="3"/>
    <s v="6m"/>
    <x v="3"/>
    <x v="3"/>
    <x v="0"/>
    <x v="0"/>
    <x v="8"/>
    <x v="6"/>
    <s v="shiner perch"/>
    <n v="30"/>
    <x v="1"/>
    <m/>
    <s v="30 x ~10cm"/>
    <x v="1"/>
    <x v="0"/>
    <x v="0"/>
    <x v="0"/>
    <x v="1"/>
    <x v="1"/>
    <x v="0"/>
    <x v="0"/>
    <x v="0"/>
    <x v="1"/>
    <n v="16.527331831867926"/>
  </r>
  <r>
    <x v="1"/>
    <x v="0"/>
    <x v="1"/>
    <x v="2"/>
    <x v="0"/>
    <x v="3"/>
    <s v="6m"/>
    <x v="3"/>
    <x v="3"/>
    <x v="0"/>
    <x v="0"/>
    <x v="7"/>
    <x v="0"/>
    <s v="CRF"/>
    <n v="1"/>
    <x v="3"/>
    <m/>
    <m/>
    <x v="1"/>
    <x v="0"/>
    <x v="0"/>
    <x v="2"/>
    <x v="1"/>
    <x v="1"/>
    <x v="0"/>
    <x v="0"/>
    <x v="0"/>
    <x v="5"/>
    <n v="600.74218750000011"/>
  </r>
  <r>
    <x v="2"/>
    <x v="0"/>
    <x v="1"/>
    <x v="2"/>
    <x v="0"/>
    <x v="1"/>
    <n v="7.7"/>
    <x v="0"/>
    <x v="4"/>
    <x v="0"/>
    <x v="0"/>
    <x v="9"/>
    <x v="3"/>
    <s v="Painted greenling"/>
    <n v="1"/>
    <x v="3"/>
    <m/>
    <m/>
    <x v="0"/>
    <x v="0"/>
    <x v="0"/>
    <x v="0"/>
    <x v="1"/>
    <x v="1"/>
    <x v="0"/>
    <x v="0"/>
    <x v="0"/>
    <x v="1"/>
    <n v="442.61999999999995"/>
  </r>
  <r>
    <x v="2"/>
    <x v="0"/>
    <x v="1"/>
    <x v="2"/>
    <x v="0"/>
    <x v="1"/>
    <n v="7.7"/>
    <x v="0"/>
    <x v="4"/>
    <x v="0"/>
    <x v="0"/>
    <x v="2"/>
    <x v="2"/>
    <s v="KGJ"/>
    <n v="5"/>
    <x v="1"/>
    <s v="8, 8"/>
    <s v="10, 10, 10"/>
    <x v="1"/>
    <x v="0"/>
    <x v="0"/>
    <x v="0"/>
    <x v="1"/>
    <x v="1"/>
    <x v="0"/>
    <x v="0"/>
    <x v="0"/>
    <x v="1"/>
    <n v="62.7744"/>
  </r>
  <r>
    <x v="2"/>
    <x v="0"/>
    <x v="1"/>
    <x v="2"/>
    <x v="0"/>
    <x v="1"/>
    <n v="7.7"/>
    <x v="0"/>
    <x v="4"/>
    <x v="0"/>
    <x v="0"/>
    <x v="2"/>
    <x v="2"/>
    <s v="KGF"/>
    <n v="2"/>
    <x v="5"/>
    <m/>
    <m/>
    <x v="1"/>
    <x v="3"/>
    <x v="0"/>
    <x v="0"/>
    <x v="1"/>
    <x v="1"/>
    <x v="0"/>
    <x v="0"/>
    <x v="0"/>
    <x v="1"/>
    <n v="355.38749999999999"/>
  </r>
  <r>
    <x v="2"/>
    <x v="0"/>
    <x v="1"/>
    <x v="2"/>
    <x v="0"/>
    <x v="1"/>
    <n v="7.7"/>
    <x v="0"/>
    <x v="4"/>
    <x v="0"/>
    <x v="0"/>
    <x v="2"/>
    <x v="2"/>
    <s v="KGM"/>
    <n v="2"/>
    <x v="5"/>
    <m/>
    <m/>
    <x v="4"/>
    <x v="0"/>
    <x v="0"/>
    <x v="0"/>
    <x v="1"/>
    <x v="1"/>
    <x v="0"/>
    <x v="0"/>
    <x v="0"/>
    <x v="1"/>
    <n v="167.21250000000001"/>
  </r>
  <r>
    <x v="2"/>
    <x v="0"/>
    <x v="1"/>
    <x v="2"/>
    <x v="0"/>
    <x v="1"/>
    <n v="7.7"/>
    <x v="0"/>
    <x v="4"/>
    <x v="0"/>
    <x v="0"/>
    <x v="0"/>
    <x v="0"/>
    <s v="BRF"/>
    <n v="21"/>
    <x v="6"/>
    <m/>
    <s v="12cm, plus 16 count"/>
    <x v="3"/>
    <x v="0"/>
    <x v="0"/>
    <x v="2"/>
    <x v="1"/>
    <x v="1"/>
    <x v="0"/>
    <x v="0"/>
    <x v="0"/>
    <x v="6"/>
    <n v="1764.1578125000001"/>
  </r>
  <r>
    <x v="2"/>
    <x v="0"/>
    <x v="1"/>
    <x v="2"/>
    <x v="0"/>
    <x v="1"/>
    <n v="7.7"/>
    <x v="0"/>
    <x v="4"/>
    <x v="0"/>
    <x v="0"/>
    <x v="10"/>
    <x v="0"/>
    <s v="YTR"/>
    <n v="21"/>
    <x v="3"/>
    <m/>
    <s v="20 x 13cm"/>
    <x v="0"/>
    <x v="0"/>
    <x v="0"/>
    <x v="0"/>
    <x v="1"/>
    <x v="1"/>
    <x v="0"/>
    <x v="0"/>
    <x v="0"/>
    <x v="7"/>
    <n v="698.88733925985878"/>
  </r>
  <r>
    <x v="2"/>
    <x v="0"/>
    <x v="1"/>
    <x v="2"/>
    <x v="0"/>
    <x v="1"/>
    <n v="7.7"/>
    <x v="0"/>
    <x v="4"/>
    <x v="0"/>
    <x v="0"/>
    <x v="7"/>
    <x v="0"/>
    <s v="CRF"/>
    <n v="1"/>
    <x v="3"/>
    <m/>
    <m/>
    <x v="1"/>
    <x v="0"/>
    <x v="0"/>
    <x v="2"/>
    <x v="1"/>
    <x v="1"/>
    <x v="0"/>
    <x v="0"/>
    <x v="0"/>
    <x v="5"/>
    <n v="600.74218750000011"/>
  </r>
  <r>
    <x v="2"/>
    <x v="0"/>
    <x v="1"/>
    <x v="2"/>
    <x v="0"/>
    <x v="1"/>
    <n v="8"/>
    <x v="1"/>
    <x v="5"/>
    <x v="0"/>
    <x v="0"/>
    <x v="8"/>
    <x v="6"/>
    <s v="shiner perch"/>
    <n v="1"/>
    <x v="3"/>
    <m/>
    <m/>
    <x v="1"/>
    <x v="2"/>
    <x v="0"/>
    <x v="0"/>
    <x v="1"/>
    <x v="1"/>
    <x v="0"/>
    <x v="0"/>
    <x v="0"/>
    <x v="1"/>
    <n v="6.5348883560053395"/>
  </r>
  <r>
    <x v="2"/>
    <x v="0"/>
    <x v="1"/>
    <x v="2"/>
    <x v="0"/>
    <x v="1"/>
    <n v="8"/>
    <x v="1"/>
    <x v="5"/>
    <x v="0"/>
    <x v="0"/>
    <x v="0"/>
    <x v="0"/>
    <s v="BRF"/>
    <n v="25"/>
    <x v="1"/>
    <m/>
    <n v="25"/>
    <x v="1"/>
    <x v="0"/>
    <x v="0"/>
    <x v="0"/>
    <x v="1"/>
    <x v="1"/>
    <x v="0"/>
    <x v="0"/>
    <x v="0"/>
    <x v="8"/>
    <n v="1030.2734375"/>
  </r>
  <r>
    <x v="2"/>
    <x v="0"/>
    <x v="1"/>
    <x v="2"/>
    <x v="0"/>
    <x v="1"/>
    <n v="8"/>
    <x v="1"/>
    <x v="5"/>
    <x v="0"/>
    <x v="0"/>
    <x v="2"/>
    <x v="2"/>
    <s v="KGJ"/>
    <n v="6"/>
    <x v="1"/>
    <s v="7, 8, 8, 8, 8, 9"/>
    <m/>
    <x v="1"/>
    <x v="0"/>
    <x v="0"/>
    <x v="0"/>
    <x v="1"/>
    <x v="1"/>
    <x v="0"/>
    <x v="0"/>
    <x v="0"/>
    <x v="1"/>
    <n v="48.671999999999997"/>
  </r>
  <r>
    <x v="2"/>
    <x v="0"/>
    <x v="1"/>
    <x v="2"/>
    <x v="0"/>
    <x v="1"/>
    <n v="8"/>
    <x v="1"/>
    <x v="5"/>
    <x v="0"/>
    <x v="0"/>
    <x v="4"/>
    <x v="4"/>
    <s v="LC"/>
    <n v="1"/>
    <x v="3"/>
    <m/>
    <m/>
    <x v="1"/>
    <x v="0"/>
    <x v="0"/>
    <x v="0"/>
    <x v="1"/>
    <x v="1"/>
    <x v="0"/>
    <x v="1"/>
    <x v="0"/>
    <x v="1"/>
    <n v="2162.875"/>
  </r>
  <r>
    <x v="2"/>
    <x v="0"/>
    <x v="1"/>
    <x v="2"/>
    <x v="0"/>
    <x v="1"/>
    <n v="8"/>
    <x v="1"/>
    <x v="5"/>
    <x v="0"/>
    <x v="0"/>
    <x v="2"/>
    <x v="2"/>
    <s v="KGM"/>
    <n v="7"/>
    <x v="7"/>
    <m/>
    <m/>
    <x v="3"/>
    <x v="1"/>
    <x v="2"/>
    <x v="0"/>
    <x v="1"/>
    <x v="1"/>
    <x v="0"/>
    <x v="0"/>
    <x v="0"/>
    <x v="1"/>
    <n v="1108.33125"/>
  </r>
  <r>
    <x v="2"/>
    <x v="0"/>
    <x v="1"/>
    <x v="2"/>
    <x v="0"/>
    <x v="1"/>
    <n v="8"/>
    <x v="1"/>
    <x v="5"/>
    <x v="0"/>
    <x v="0"/>
    <x v="7"/>
    <x v="0"/>
    <s v="CRF"/>
    <n v="1"/>
    <x v="3"/>
    <m/>
    <m/>
    <x v="1"/>
    <x v="2"/>
    <x v="0"/>
    <x v="0"/>
    <x v="1"/>
    <x v="1"/>
    <x v="0"/>
    <x v="0"/>
    <x v="0"/>
    <x v="3"/>
    <n v="199.33593750000003"/>
  </r>
  <r>
    <x v="3"/>
    <x v="0"/>
    <x v="2"/>
    <x v="3"/>
    <x v="0"/>
    <x v="0"/>
    <s v="4m-3.5m"/>
    <x v="0"/>
    <x v="0"/>
    <x v="0"/>
    <x v="0"/>
    <x v="2"/>
    <x v="2"/>
    <s v="KGJ"/>
    <n v="9"/>
    <x v="1"/>
    <s v="9, 8"/>
    <s v="11, 10, 12, 11, 12, 10, 14"/>
    <x v="1"/>
    <x v="0"/>
    <x v="0"/>
    <x v="0"/>
    <x v="1"/>
    <x v="1"/>
    <x v="0"/>
    <x v="0"/>
    <x v="0"/>
    <x v="1"/>
    <n v="202.1721"/>
  </r>
  <r>
    <x v="3"/>
    <x v="0"/>
    <x v="2"/>
    <x v="3"/>
    <x v="0"/>
    <x v="0"/>
    <s v="4m-3.5m"/>
    <x v="0"/>
    <x v="0"/>
    <x v="0"/>
    <x v="0"/>
    <x v="2"/>
    <x v="2"/>
    <s v="KGF"/>
    <n v="2"/>
    <x v="5"/>
    <m/>
    <m/>
    <x v="0"/>
    <x v="2"/>
    <x v="0"/>
    <x v="0"/>
    <x v="1"/>
    <x v="1"/>
    <x v="0"/>
    <x v="0"/>
    <x v="0"/>
    <x v="1"/>
    <n v="261.3"/>
  </r>
  <r>
    <x v="3"/>
    <x v="0"/>
    <x v="2"/>
    <x v="3"/>
    <x v="0"/>
    <x v="0"/>
    <s v="4m-3.5m"/>
    <x v="0"/>
    <x v="0"/>
    <x v="0"/>
    <x v="0"/>
    <x v="0"/>
    <x v="0"/>
    <s v="BRF"/>
    <n v="31"/>
    <x v="5"/>
    <m/>
    <n v="29"/>
    <x v="4"/>
    <x v="0"/>
    <x v="0"/>
    <x v="0"/>
    <x v="1"/>
    <x v="1"/>
    <x v="0"/>
    <x v="0"/>
    <x v="0"/>
    <x v="4"/>
    <n v="1421.2828125000001"/>
  </r>
  <r>
    <x v="3"/>
    <x v="0"/>
    <x v="2"/>
    <x v="3"/>
    <x v="0"/>
    <x v="0"/>
    <s v="4m-3.5m"/>
    <x v="0"/>
    <x v="0"/>
    <x v="0"/>
    <x v="0"/>
    <x v="2"/>
    <x v="2"/>
    <s v="KGM"/>
    <n v="1"/>
    <x v="3"/>
    <m/>
    <m/>
    <x v="1"/>
    <x v="2"/>
    <x v="0"/>
    <x v="0"/>
    <x v="1"/>
    <x v="1"/>
    <x v="0"/>
    <x v="0"/>
    <x v="0"/>
    <x v="1"/>
    <n v="177.69374999999999"/>
  </r>
  <r>
    <x v="3"/>
    <x v="0"/>
    <x v="2"/>
    <x v="3"/>
    <x v="0"/>
    <x v="0"/>
    <s v="4.5m-5m"/>
    <x v="1"/>
    <x v="1"/>
    <x v="0"/>
    <x v="0"/>
    <x v="2"/>
    <x v="2"/>
    <s v="KGM"/>
    <n v="1"/>
    <x v="1"/>
    <m/>
    <s v="13cm"/>
    <x v="1"/>
    <x v="0"/>
    <x v="0"/>
    <x v="0"/>
    <x v="1"/>
    <x v="1"/>
    <x v="0"/>
    <x v="0"/>
    <x v="0"/>
    <x v="1"/>
    <n v="34.273199999999996"/>
  </r>
  <r>
    <x v="3"/>
    <x v="0"/>
    <x v="2"/>
    <x v="3"/>
    <x v="0"/>
    <x v="0"/>
    <s v="4.5m-5m"/>
    <x v="1"/>
    <x v="1"/>
    <x v="0"/>
    <x v="0"/>
    <x v="2"/>
    <x v="2"/>
    <s v="KGJ"/>
    <n v="3"/>
    <x v="1"/>
    <s v="8, 8"/>
    <s v="11cm"/>
    <x v="1"/>
    <x v="0"/>
    <x v="0"/>
    <x v="0"/>
    <x v="1"/>
    <x v="1"/>
    <x v="0"/>
    <x v="0"/>
    <x v="0"/>
    <x v="1"/>
    <n v="36.738"/>
  </r>
  <r>
    <x v="3"/>
    <x v="0"/>
    <x v="2"/>
    <x v="3"/>
    <x v="0"/>
    <x v="0"/>
    <s v="4.5m-5m"/>
    <x v="1"/>
    <x v="1"/>
    <x v="0"/>
    <x v="0"/>
    <x v="4"/>
    <x v="4"/>
    <s v="LC"/>
    <n v="1"/>
    <x v="3"/>
    <m/>
    <m/>
    <x v="1"/>
    <x v="2"/>
    <x v="0"/>
    <x v="0"/>
    <x v="1"/>
    <x v="1"/>
    <x v="0"/>
    <x v="0"/>
    <x v="0"/>
    <x v="1"/>
    <n v="148.078125"/>
  </r>
  <r>
    <x v="3"/>
    <x v="0"/>
    <x v="2"/>
    <x v="3"/>
    <x v="0"/>
    <x v="0"/>
    <s v="4.5m-5m"/>
    <x v="1"/>
    <x v="1"/>
    <x v="0"/>
    <x v="0"/>
    <x v="0"/>
    <x v="0"/>
    <s v="BRF"/>
    <n v="7"/>
    <x v="5"/>
    <m/>
    <n v="5"/>
    <x v="4"/>
    <x v="0"/>
    <x v="0"/>
    <x v="0"/>
    <x v="1"/>
    <x v="1"/>
    <x v="0"/>
    <x v="0"/>
    <x v="0"/>
    <x v="4"/>
    <n v="432.22031249999998"/>
  </r>
  <r>
    <x v="3"/>
    <x v="0"/>
    <x v="2"/>
    <x v="3"/>
    <x v="0"/>
    <x v="0"/>
    <s v="4.5m-5m"/>
    <x v="1"/>
    <x v="1"/>
    <x v="0"/>
    <x v="0"/>
    <x v="1"/>
    <x v="1"/>
    <s v="TS"/>
    <n v="20"/>
    <x v="1"/>
    <m/>
    <s v="20 x 12cm"/>
    <x v="1"/>
    <x v="0"/>
    <x v="0"/>
    <x v="0"/>
    <x v="1"/>
    <x v="1"/>
    <x v="0"/>
    <x v="0"/>
    <x v="0"/>
    <x v="1"/>
    <n v="40.242194977987964"/>
  </r>
  <r>
    <x v="3"/>
    <x v="0"/>
    <x v="2"/>
    <x v="3"/>
    <x v="0"/>
    <x v="0"/>
    <n v="5"/>
    <x v="2"/>
    <x v="2"/>
    <x v="0"/>
    <x v="0"/>
    <x v="2"/>
    <x v="2"/>
    <s v="KGM"/>
    <n v="3"/>
    <x v="4"/>
    <m/>
    <m/>
    <x v="4"/>
    <x v="2"/>
    <x v="0"/>
    <x v="0"/>
    <x v="1"/>
    <x v="1"/>
    <x v="0"/>
    <x v="0"/>
    <x v="0"/>
    <x v="1"/>
    <n v="344.90625"/>
  </r>
  <r>
    <x v="3"/>
    <x v="0"/>
    <x v="2"/>
    <x v="3"/>
    <x v="0"/>
    <x v="0"/>
    <n v="5"/>
    <x v="2"/>
    <x v="2"/>
    <x v="0"/>
    <x v="0"/>
    <x v="2"/>
    <x v="2"/>
    <s v="KGJ"/>
    <n v="9"/>
    <x v="1"/>
    <s v="8, 8"/>
    <s v="10, 10, 11, 10, 10, 11, 10"/>
    <x v="1"/>
    <x v="0"/>
    <x v="0"/>
    <x v="0"/>
    <x v="1"/>
    <x v="1"/>
    <x v="0"/>
    <x v="0"/>
    <x v="0"/>
    <x v="1"/>
    <n v="140.6652"/>
  </r>
  <r>
    <x v="3"/>
    <x v="0"/>
    <x v="2"/>
    <x v="3"/>
    <x v="0"/>
    <x v="0"/>
    <n v="5"/>
    <x v="2"/>
    <x v="2"/>
    <x v="0"/>
    <x v="0"/>
    <x v="2"/>
    <x v="2"/>
    <s v="KGF"/>
    <n v="5"/>
    <x v="0"/>
    <m/>
    <m/>
    <x v="0"/>
    <x v="1"/>
    <x v="0"/>
    <x v="2"/>
    <x v="1"/>
    <x v="1"/>
    <x v="0"/>
    <x v="0"/>
    <x v="0"/>
    <x v="1"/>
    <n v="1152.20625"/>
  </r>
  <r>
    <x v="3"/>
    <x v="0"/>
    <x v="2"/>
    <x v="3"/>
    <x v="0"/>
    <x v="0"/>
    <n v="5"/>
    <x v="2"/>
    <x v="2"/>
    <x v="0"/>
    <x v="0"/>
    <x v="0"/>
    <x v="0"/>
    <s v="BRF"/>
    <n v="1"/>
    <x v="1"/>
    <m/>
    <n v="1"/>
    <x v="1"/>
    <x v="0"/>
    <x v="0"/>
    <x v="0"/>
    <x v="1"/>
    <x v="1"/>
    <x v="0"/>
    <x v="0"/>
    <x v="0"/>
    <x v="8"/>
    <n v="41.2109375"/>
  </r>
  <r>
    <x v="3"/>
    <x v="0"/>
    <x v="2"/>
    <x v="3"/>
    <x v="0"/>
    <x v="0"/>
    <n v="5.5"/>
    <x v="3"/>
    <x v="3"/>
    <x v="0"/>
    <x v="0"/>
    <x v="2"/>
    <x v="2"/>
    <s v="KGJ"/>
    <n v="10"/>
    <x v="1"/>
    <s v="7, 7, 7, 8, 9"/>
    <s v="10, 12, 10, 10, 10"/>
    <x v="1"/>
    <x v="0"/>
    <x v="0"/>
    <x v="0"/>
    <x v="1"/>
    <x v="1"/>
    <x v="0"/>
    <x v="0"/>
    <x v="0"/>
    <x v="1"/>
    <n v="124.7688"/>
  </r>
  <r>
    <x v="3"/>
    <x v="0"/>
    <x v="2"/>
    <x v="3"/>
    <x v="0"/>
    <x v="0"/>
    <n v="5.5"/>
    <x v="3"/>
    <x v="3"/>
    <x v="0"/>
    <x v="0"/>
    <x v="11"/>
    <x v="3"/>
    <s v="BEG"/>
    <n v="1"/>
    <x v="1"/>
    <m/>
    <s v="12cm"/>
    <x v="1"/>
    <x v="0"/>
    <x v="0"/>
    <x v="0"/>
    <x v="1"/>
    <x v="1"/>
    <x v="0"/>
    <x v="0"/>
    <x v="0"/>
    <x v="1"/>
    <n v="13.660901685981113"/>
  </r>
  <r>
    <x v="3"/>
    <x v="0"/>
    <x v="2"/>
    <x v="3"/>
    <x v="0"/>
    <x v="0"/>
    <n v="5.5"/>
    <x v="3"/>
    <x v="3"/>
    <x v="0"/>
    <x v="0"/>
    <x v="2"/>
    <x v="2"/>
    <s v="KGF"/>
    <n v="1"/>
    <x v="3"/>
    <m/>
    <m/>
    <x v="0"/>
    <x v="0"/>
    <x v="0"/>
    <x v="0"/>
    <x v="1"/>
    <x v="1"/>
    <x v="0"/>
    <x v="0"/>
    <x v="0"/>
    <x v="1"/>
    <n v="83.606250000000003"/>
  </r>
  <r>
    <x v="4"/>
    <x v="0"/>
    <x v="2"/>
    <x v="3"/>
    <x v="0"/>
    <x v="4"/>
    <n v="8"/>
    <x v="0"/>
    <x v="4"/>
    <x v="0"/>
    <x v="0"/>
    <x v="2"/>
    <x v="2"/>
    <s v="KGJ"/>
    <n v="4"/>
    <x v="1"/>
    <s v="8, 9, 8"/>
    <s v="10cm"/>
    <x v="1"/>
    <x v="0"/>
    <x v="0"/>
    <x v="0"/>
    <x v="1"/>
    <x v="1"/>
    <x v="0"/>
    <x v="0"/>
    <x v="0"/>
    <x v="1"/>
    <n v="42.946799999999996"/>
  </r>
  <r>
    <x v="4"/>
    <x v="0"/>
    <x v="2"/>
    <x v="3"/>
    <x v="0"/>
    <x v="4"/>
    <n v="8"/>
    <x v="0"/>
    <x v="4"/>
    <x v="0"/>
    <x v="0"/>
    <x v="6"/>
    <x v="5"/>
    <s v="cabezon"/>
    <n v="1"/>
    <x v="3"/>
    <m/>
    <m/>
    <x v="1"/>
    <x v="4"/>
    <x v="0"/>
    <x v="0"/>
    <x v="1"/>
    <x v="1"/>
    <x v="0"/>
    <x v="0"/>
    <x v="0"/>
    <x v="1"/>
    <n v="117.25820068180396"/>
  </r>
  <r>
    <x v="4"/>
    <x v="0"/>
    <x v="2"/>
    <x v="3"/>
    <x v="0"/>
    <x v="4"/>
    <n v="8"/>
    <x v="0"/>
    <x v="4"/>
    <x v="0"/>
    <x v="0"/>
    <x v="3"/>
    <x v="3"/>
    <s v="Grunt Sculpin"/>
    <n v="1"/>
    <x v="1"/>
    <s v="9cm"/>
    <m/>
    <x v="1"/>
    <x v="0"/>
    <x v="0"/>
    <x v="0"/>
    <x v="1"/>
    <x v="1"/>
    <x v="0"/>
    <x v="0"/>
    <x v="0"/>
    <x v="1"/>
    <n v="8.594578612501893"/>
  </r>
  <r>
    <x v="4"/>
    <x v="0"/>
    <x v="2"/>
    <x v="3"/>
    <x v="0"/>
    <x v="4"/>
    <n v="8"/>
    <x v="1"/>
    <x v="5"/>
    <x v="0"/>
    <x v="0"/>
    <x v="2"/>
    <x v="2"/>
    <s v="KGJ"/>
    <n v="1"/>
    <x v="1"/>
    <s v="8cm"/>
    <m/>
    <x v="1"/>
    <x v="0"/>
    <x v="0"/>
    <x v="0"/>
    <x v="1"/>
    <x v="1"/>
    <x v="0"/>
    <x v="0"/>
    <x v="0"/>
    <x v="1"/>
    <n v="7.9871999999999996"/>
  </r>
  <r>
    <x v="4"/>
    <x v="0"/>
    <x v="2"/>
    <x v="3"/>
    <x v="0"/>
    <x v="4"/>
    <n v="8"/>
    <x v="1"/>
    <x v="5"/>
    <x v="0"/>
    <x v="0"/>
    <x v="2"/>
    <x v="2"/>
    <s v="KGM"/>
    <n v="2"/>
    <x v="5"/>
    <m/>
    <m/>
    <x v="0"/>
    <x v="0"/>
    <x v="2"/>
    <x v="0"/>
    <x v="1"/>
    <x v="1"/>
    <x v="0"/>
    <x v="0"/>
    <x v="0"/>
    <x v="1"/>
    <n v="408.03749999999997"/>
  </r>
  <r>
    <x v="4"/>
    <x v="0"/>
    <x v="2"/>
    <x v="3"/>
    <x v="0"/>
    <x v="4"/>
    <n v="8"/>
    <x v="1"/>
    <x v="5"/>
    <x v="0"/>
    <x v="0"/>
    <x v="12"/>
    <x v="3"/>
    <s v="Penpoint gunnel"/>
    <n v="1"/>
    <x v="3"/>
    <m/>
    <m/>
    <x v="1"/>
    <x v="2"/>
    <x v="0"/>
    <x v="0"/>
    <x v="1"/>
    <x v="1"/>
    <x v="0"/>
    <x v="0"/>
    <x v="0"/>
    <x v="1"/>
    <n v="51.803045807752774"/>
  </r>
  <r>
    <x v="4"/>
    <x v="0"/>
    <x v="2"/>
    <x v="3"/>
    <x v="0"/>
    <x v="4"/>
    <n v="8"/>
    <x v="1"/>
    <x v="5"/>
    <x v="0"/>
    <x v="0"/>
    <x v="6"/>
    <x v="5"/>
    <s v="cabezon"/>
    <n v="1"/>
    <x v="3"/>
    <m/>
    <m/>
    <x v="1"/>
    <x v="0"/>
    <x v="3"/>
    <x v="0"/>
    <x v="1"/>
    <x v="1"/>
    <x v="0"/>
    <x v="0"/>
    <x v="0"/>
    <x v="1"/>
    <n v="270.42871391866606"/>
  </r>
  <r>
    <x v="4"/>
    <x v="0"/>
    <x v="0"/>
    <x v="4"/>
    <x v="0"/>
    <x v="3"/>
    <n v="6"/>
    <x v="3"/>
    <x v="3"/>
    <x v="0"/>
    <x v="0"/>
    <x v="2"/>
    <x v="2"/>
    <s v="KGJ"/>
    <n v="3"/>
    <x v="1"/>
    <s v="7, 8"/>
    <s v="10cm"/>
    <x v="1"/>
    <x v="0"/>
    <x v="0"/>
    <x v="0"/>
    <x v="1"/>
    <x v="1"/>
    <x v="0"/>
    <x v="0"/>
    <x v="0"/>
    <x v="1"/>
    <n v="28.937999999999999"/>
  </r>
  <r>
    <x v="4"/>
    <x v="0"/>
    <x v="0"/>
    <x v="4"/>
    <x v="0"/>
    <x v="3"/>
    <n v="6"/>
    <x v="3"/>
    <x v="3"/>
    <x v="0"/>
    <x v="0"/>
    <x v="4"/>
    <x v="4"/>
    <s v="LC"/>
    <n v="1"/>
    <x v="3"/>
    <m/>
    <m/>
    <x v="1"/>
    <x v="0"/>
    <x v="0"/>
    <x v="0"/>
    <x v="1"/>
    <x v="1"/>
    <x v="0"/>
    <x v="2"/>
    <x v="0"/>
    <x v="1"/>
    <n v="1625"/>
  </r>
  <r>
    <x v="5"/>
    <x v="0"/>
    <x v="0"/>
    <x v="4"/>
    <x v="0"/>
    <x v="5"/>
    <n v="8"/>
    <x v="4"/>
    <x v="4"/>
    <x v="0"/>
    <x v="0"/>
    <x v="2"/>
    <x v="2"/>
    <s v="KGJ"/>
    <n v="4"/>
    <x v="1"/>
    <s v="8, 7, 8"/>
    <s v="10cm"/>
    <x v="1"/>
    <x v="0"/>
    <x v="0"/>
    <x v="0"/>
    <x v="1"/>
    <x v="1"/>
    <x v="0"/>
    <x v="0"/>
    <x v="0"/>
    <x v="1"/>
    <n v="36.925199999999997"/>
  </r>
  <r>
    <x v="5"/>
    <x v="0"/>
    <x v="0"/>
    <x v="4"/>
    <x v="0"/>
    <x v="5"/>
    <n v="8"/>
    <x v="4"/>
    <x v="4"/>
    <x v="0"/>
    <x v="0"/>
    <x v="2"/>
    <x v="2"/>
    <s v="KGM"/>
    <n v="2"/>
    <x v="5"/>
    <m/>
    <m/>
    <x v="0"/>
    <x v="0"/>
    <x v="0"/>
    <x v="2"/>
    <x v="1"/>
    <x v="1"/>
    <x v="0"/>
    <x v="0"/>
    <x v="0"/>
    <x v="1"/>
    <n v="619.125"/>
  </r>
  <r>
    <x v="5"/>
    <x v="0"/>
    <x v="0"/>
    <x v="4"/>
    <x v="0"/>
    <x v="5"/>
    <n v="8"/>
    <x v="4"/>
    <x v="4"/>
    <x v="0"/>
    <x v="0"/>
    <x v="1"/>
    <x v="1"/>
    <s v="TS"/>
    <n v="8"/>
    <x v="1"/>
    <s v="8 x 4cm"/>
    <m/>
    <x v="1"/>
    <x v="0"/>
    <x v="0"/>
    <x v="0"/>
    <x v="1"/>
    <x v="1"/>
    <x v="0"/>
    <x v="0"/>
    <x v="0"/>
    <x v="1"/>
    <n v="0.37171984601790925"/>
  </r>
  <r>
    <x v="5"/>
    <x v="0"/>
    <x v="0"/>
    <x v="4"/>
    <x v="0"/>
    <x v="5"/>
    <n v="8"/>
    <x v="4"/>
    <x v="4"/>
    <x v="0"/>
    <x v="0"/>
    <x v="13"/>
    <x v="5"/>
    <s v="Brown Irish Lord"/>
    <n v="1"/>
    <x v="3"/>
    <m/>
    <m/>
    <x v="1"/>
    <x v="4"/>
    <x v="0"/>
    <x v="0"/>
    <x v="1"/>
    <x v="1"/>
    <x v="0"/>
    <x v="0"/>
    <x v="0"/>
    <x v="1"/>
    <n v="117.25820068180396"/>
  </r>
  <r>
    <x v="5"/>
    <x v="0"/>
    <x v="0"/>
    <x v="4"/>
    <x v="0"/>
    <x v="5"/>
    <n v="8.5"/>
    <x v="5"/>
    <x v="5"/>
    <x v="0"/>
    <x v="0"/>
    <x v="4"/>
    <x v="4"/>
    <s v="LC"/>
    <n v="1"/>
    <x v="3"/>
    <m/>
    <m/>
    <x v="1"/>
    <x v="0"/>
    <x v="0"/>
    <x v="0"/>
    <x v="1"/>
    <x v="3"/>
    <x v="0"/>
    <x v="0"/>
    <x v="0"/>
    <x v="1"/>
    <n v="1184.625"/>
  </r>
  <r>
    <x v="5"/>
    <x v="0"/>
    <x v="0"/>
    <x v="4"/>
    <x v="0"/>
    <x v="5"/>
    <n v="8.5"/>
    <x v="5"/>
    <x v="5"/>
    <x v="0"/>
    <x v="0"/>
    <x v="2"/>
    <x v="2"/>
    <s v="KGJ"/>
    <n v="1"/>
    <x v="1"/>
    <s v="7cm"/>
    <m/>
    <x v="1"/>
    <x v="0"/>
    <x v="0"/>
    <x v="0"/>
    <x v="1"/>
    <x v="1"/>
    <x v="0"/>
    <x v="0"/>
    <x v="0"/>
    <x v="1"/>
    <n v="5.3507999999999996"/>
  </r>
  <r>
    <x v="6"/>
    <x v="1"/>
    <x v="3"/>
    <x v="5"/>
    <x v="1"/>
    <x v="6"/>
    <n v="6.1"/>
    <x v="0"/>
    <x v="0"/>
    <x v="0"/>
    <x v="0"/>
    <x v="0"/>
    <x v="0"/>
    <s v="BRF"/>
    <n v="3"/>
    <x v="4"/>
    <m/>
    <m/>
    <x v="3"/>
    <x v="0"/>
    <x v="0"/>
    <x v="0"/>
    <x v="1"/>
    <x v="1"/>
    <x v="0"/>
    <x v="0"/>
    <x v="0"/>
    <x v="9"/>
    <n v="339.24843750000002"/>
  </r>
  <r>
    <x v="6"/>
    <x v="1"/>
    <x v="3"/>
    <x v="5"/>
    <x v="1"/>
    <x v="6"/>
    <n v="6.1"/>
    <x v="0"/>
    <x v="0"/>
    <x v="0"/>
    <x v="0"/>
    <x v="7"/>
    <x v="0"/>
    <s v="CRF"/>
    <n v="29"/>
    <x v="1"/>
    <s v="17 x 5cm, 11 x 8cm"/>
    <n v="1"/>
    <x v="1"/>
    <x v="0"/>
    <x v="0"/>
    <x v="0"/>
    <x v="1"/>
    <x v="1"/>
    <x v="0"/>
    <x v="0"/>
    <x v="0"/>
    <x v="8"/>
    <n v="169.9271875"/>
  </r>
  <r>
    <x v="6"/>
    <x v="1"/>
    <x v="3"/>
    <x v="5"/>
    <x v="1"/>
    <x v="6"/>
    <n v="6.1"/>
    <x v="0"/>
    <x v="0"/>
    <x v="0"/>
    <x v="0"/>
    <x v="2"/>
    <x v="2"/>
    <s v="KGM"/>
    <n v="1"/>
    <x v="3"/>
    <m/>
    <m/>
    <x v="1"/>
    <x v="0"/>
    <x v="0"/>
    <x v="0"/>
    <x v="2"/>
    <x v="1"/>
    <x v="0"/>
    <x v="0"/>
    <x v="0"/>
    <x v="1"/>
    <n v="822.65625"/>
  </r>
  <r>
    <x v="6"/>
    <x v="1"/>
    <x v="3"/>
    <x v="5"/>
    <x v="1"/>
    <x v="6"/>
    <n v="6.1"/>
    <x v="0"/>
    <x v="0"/>
    <x v="0"/>
    <x v="0"/>
    <x v="2"/>
    <x v="2"/>
    <s v="KGJ"/>
    <n v="1"/>
    <x v="1"/>
    <m/>
    <n v="1"/>
    <x v="1"/>
    <x v="0"/>
    <x v="0"/>
    <x v="0"/>
    <x v="1"/>
    <x v="1"/>
    <x v="0"/>
    <x v="0"/>
    <x v="0"/>
    <x v="1"/>
    <n v="30.46875"/>
  </r>
  <r>
    <x v="6"/>
    <x v="1"/>
    <x v="3"/>
    <x v="5"/>
    <x v="1"/>
    <x v="6"/>
    <n v="6.1"/>
    <x v="0"/>
    <x v="0"/>
    <x v="0"/>
    <x v="0"/>
    <x v="14"/>
    <x v="7"/>
    <m/>
    <n v="0"/>
    <x v="1"/>
    <m/>
    <m/>
    <x v="1"/>
    <x v="0"/>
    <x v="0"/>
    <x v="0"/>
    <x v="1"/>
    <x v="1"/>
    <x v="0"/>
    <x v="0"/>
    <x v="2"/>
    <x v="1"/>
    <m/>
  </r>
  <r>
    <x v="6"/>
    <x v="1"/>
    <x v="3"/>
    <x v="5"/>
    <x v="1"/>
    <x v="6"/>
    <n v="6.4"/>
    <x v="1"/>
    <x v="1"/>
    <x v="0"/>
    <x v="0"/>
    <x v="7"/>
    <x v="0"/>
    <s v="CRF"/>
    <n v="67"/>
    <x v="1"/>
    <s v="16 x 8cm, 48 x 5cm"/>
    <s v="3; 10cm"/>
    <x v="1"/>
    <x v="0"/>
    <x v="0"/>
    <x v="0"/>
    <x v="1"/>
    <x v="1"/>
    <x v="0"/>
    <x v="0"/>
    <x v="0"/>
    <x v="8"/>
    <n v="300.86"/>
  </r>
  <r>
    <x v="6"/>
    <x v="1"/>
    <x v="3"/>
    <x v="5"/>
    <x v="1"/>
    <x v="6"/>
    <n v="6.4"/>
    <x v="1"/>
    <x v="1"/>
    <x v="0"/>
    <x v="0"/>
    <x v="2"/>
    <x v="2"/>
    <s v="KGM"/>
    <n v="1"/>
    <x v="3"/>
    <m/>
    <m/>
    <x v="1"/>
    <x v="0"/>
    <x v="0"/>
    <x v="2"/>
    <x v="1"/>
    <x v="1"/>
    <x v="0"/>
    <x v="0"/>
    <x v="0"/>
    <x v="1"/>
    <n v="535.51874999999995"/>
  </r>
  <r>
    <x v="6"/>
    <x v="1"/>
    <x v="3"/>
    <x v="5"/>
    <x v="1"/>
    <x v="7"/>
    <n v="5.8"/>
    <x v="2"/>
    <x v="2"/>
    <x v="0"/>
    <x v="0"/>
    <x v="0"/>
    <x v="0"/>
    <s v="BRF"/>
    <n v="1"/>
    <x v="3"/>
    <m/>
    <m/>
    <x v="1"/>
    <x v="0"/>
    <x v="0"/>
    <x v="2"/>
    <x v="1"/>
    <x v="1"/>
    <x v="0"/>
    <x v="0"/>
    <x v="0"/>
    <x v="10"/>
    <n v="724.32343750000007"/>
  </r>
  <r>
    <x v="6"/>
    <x v="1"/>
    <x v="3"/>
    <x v="5"/>
    <x v="1"/>
    <x v="7"/>
    <n v="5.8"/>
    <x v="2"/>
    <x v="2"/>
    <x v="0"/>
    <x v="0"/>
    <x v="15"/>
    <x v="3"/>
    <s v="unidentified kelp fish"/>
    <n v="0"/>
    <x v="1"/>
    <s v="6cm"/>
    <m/>
    <x v="1"/>
    <x v="0"/>
    <x v="0"/>
    <x v="0"/>
    <x v="1"/>
    <x v="1"/>
    <x v="0"/>
    <x v="0"/>
    <x v="0"/>
    <x v="1"/>
    <n v="0.95924364182691069"/>
  </r>
  <r>
    <x v="6"/>
    <x v="1"/>
    <x v="3"/>
    <x v="5"/>
    <x v="1"/>
    <x v="7"/>
    <n v="5.8"/>
    <x v="2"/>
    <x v="2"/>
    <x v="0"/>
    <x v="0"/>
    <x v="2"/>
    <x v="2"/>
    <s v="KGJ"/>
    <n v="1"/>
    <x v="1"/>
    <m/>
    <n v="1"/>
    <x v="1"/>
    <x v="0"/>
    <x v="0"/>
    <x v="0"/>
    <x v="1"/>
    <x v="1"/>
    <x v="0"/>
    <x v="0"/>
    <x v="0"/>
    <x v="1"/>
    <n v="30.46875"/>
  </r>
  <r>
    <x v="6"/>
    <x v="1"/>
    <x v="3"/>
    <x v="5"/>
    <x v="1"/>
    <x v="7"/>
    <n v="5.4"/>
    <x v="3"/>
    <x v="3"/>
    <x v="0"/>
    <x v="0"/>
    <x v="2"/>
    <x v="2"/>
    <s v="KGF"/>
    <n v="1"/>
    <x v="3"/>
    <m/>
    <m/>
    <x v="1"/>
    <x v="2"/>
    <x v="0"/>
    <x v="0"/>
    <x v="1"/>
    <x v="1"/>
    <x v="0"/>
    <x v="0"/>
    <x v="0"/>
    <x v="1"/>
    <n v="177.69374999999999"/>
  </r>
  <r>
    <x v="6"/>
    <x v="1"/>
    <x v="3"/>
    <x v="6"/>
    <x v="1"/>
    <x v="6"/>
    <n v="5.4"/>
    <x v="4"/>
    <x v="4"/>
    <x v="0"/>
    <x v="0"/>
    <x v="2"/>
    <x v="2"/>
    <s v="KGM"/>
    <n v="4"/>
    <x v="6"/>
    <m/>
    <m/>
    <x v="1"/>
    <x v="3"/>
    <x v="2"/>
    <x v="0"/>
    <x v="2"/>
    <x v="1"/>
    <x v="0"/>
    <x v="0"/>
    <x v="0"/>
    <x v="1"/>
    <n v="1502.4749999999999"/>
  </r>
  <r>
    <x v="6"/>
    <x v="1"/>
    <x v="3"/>
    <x v="6"/>
    <x v="1"/>
    <x v="6"/>
    <n v="5.4"/>
    <x v="4"/>
    <x v="4"/>
    <x v="0"/>
    <x v="0"/>
    <x v="2"/>
    <x v="2"/>
    <s v="KGJ"/>
    <n v="2"/>
    <x v="1"/>
    <m/>
    <n v="2"/>
    <x v="1"/>
    <x v="0"/>
    <x v="0"/>
    <x v="0"/>
    <x v="1"/>
    <x v="1"/>
    <x v="0"/>
    <x v="0"/>
    <x v="0"/>
    <x v="1"/>
    <n v="60.9375"/>
  </r>
  <r>
    <x v="6"/>
    <x v="1"/>
    <x v="3"/>
    <x v="6"/>
    <x v="1"/>
    <x v="6"/>
    <n v="5.4"/>
    <x v="4"/>
    <x v="4"/>
    <x v="0"/>
    <x v="0"/>
    <x v="0"/>
    <x v="0"/>
    <s v="BRF"/>
    <n v="3"/>
    <x v="5"/>
    <m/>
    <n v="1"/>
    <x v="0"/>
    <x v="2"/>
    <x v="0"/>
    <x v="0"/>
    <x v="1"/>
    <x v="1"/>
    <x v="0"/>
    <x v="0"/>
    <x v="0"/>
    <x v="11"/>
    <n v="394.63593749999995"/>
  </r>
  <r>
    <x v="6"/>
    <x v="1"/>
    <x v="3"/>
    <x v="6"/>
    <x v="1"/>
    <x v="6"/>
    <n v="5.4"/>
    <x v="4"/>
    <x v="4"/>
    <x v="0"/>
    <x v="0"/>
    <x v="6"/>
    <x v="5"/>
    <s v="cabezon"/>
    <n v="1"/>
    <x v="3"/>
    <m/>
    <m/>
    <x v="1"/>
    <x v="2"/>
    <x v="0"/>
    <x v="0"/>
    <x v="1"/>
    <x v="1"/>
    <x v="0"/>
    <x v="0"/>
    <x v="0"/>
    <x v="1"/>
    <n v="170.63338631495762"/>
  </r>
  <r>
    <x v="6"/>
    <x v="1"/>
    <x v="3"/>
    <x v="6"/>
    <x v="1"/>
    <x v="6"/>
    <n v="5.4"/>
    <x v="4"/>
    <x v="4"/>
    <x v="0"/>
    <x v="0"/>
    <x v="2"/>
    <x v="2"/>
    <s v="KGF"/>
    <n v="1"/>
    <x v="3"/>
    <m/>
    <m/>
    <x v="1"/>
    <x v="0"/>
    <x v="2"/>
    <x v="0"/>
    <x v="1"/>
    <x v="1"/>
    <x v="0"/>
    <x v="0"/>
    <x v="0"/>
    <x v="1"/>
    <n v="324.43124999999998"/>
  </r>
  <r>
    <x v="7"/>
    <x v="1"/>
    <x v="4"/>
    <x v="7"/>
    <x v="1"/>
    <x v="7"/>
    <n v="5.5"/>
    <x v="0"/>
    <x v="0"/>
    <x v="0"/>
    <x v="0"/>
    <x v="2"/>
    <x v="2"/>
    <s v="KGM"/>
    <n v="2"/>
    <x v="5"/>
    <m/>
    <m/>
    <x v="1"/>
    <x v="3"/>
    <x v="0"/>
    <x v="0"/>
    <x v="1"/>
    <x v="1"/>
    <x v="0"/>
    <x v="0"/>
    <x v="0"/>
    <x v="1"/>
    <n v="355.38749999999999"/>
  </r>
  <r>
    <x v="7"/>
    <x v="1"/>
    <x v="4"/>
    <x v="7"/>
    <x v="1"/>
    <x v="7"/>
    <n v="5.5"/>
    <x v="0"/>
    <x v="0"/>
    <x v="0"/>
    <x v="0"/>
    <x v="2"/>
    <x v="2"/>
    <s v="KGJ"/>
    <n v="5"/>
    <x v="1"/>
    <n v="4"/>
    <n v="1"/>
    <x v="1"/>
    <x v="0"/>
    <x v="0"/>
    <x v="0"/>
    <x v="1"/>
    <x v="1"/>
    <x v="0"/>
    <x v="0"/>
    <x v="0"/>
    <x v="1"/>
    <n v="31.46715"/>
  </r>
  <r>
    <x v="7"/>
    <x v="1"/>
    <x v="4"/>
    <x v="7"/>
    <x v="1"/>
    <x v="7"/>
    <n v="5.5"/>
    <x v="0"/>
    <x v="0"/>
    <x v="0"/>
    <x v="0"/>
    <x v="16"/>
    <x v="5"/>
    <s v="Red Irish Lord"/>
    <n v="1"/>
    <x v="3"/>
    <m/>
    <m/>
    <x v="1"/>
    <x v="0"/>
    <x v="2"/>
    <x v="0"/>
    <x v="1"/>
    <x v="1"/>
    <x v="0"/>
    <x v="0"/>
    <x v="0"/>
    <x v="1"/>
    <n v="323.3235356776064"/>
  </r>
  <r>
    <x v="7"/>
    <x v="1"/>
    <x v="4"/>
    <x v="7"/>
    <x v="1"/>
    <x v="7"/>
    <s v="5-6.5"/>
    <x v="1"/>
    <x v="1"/>
    <x v="0"/>
    <x v="0"/>
    <x v="8"/>
    <x v="6"/>
    <s v="Silver surfperch"/>
    <n v="2"/>
    <x v="5"/>
    <m/>
    <m/>
    <x v="0"/>
    <x v="2"/>
    <x v="0"/>
    <x v="0"/>
    <x v="1"/>
    <x v="1"/>
    <x v="0"/>
    <x v="0"/>
    <x v="0"/>
    <x v="1"/>
    <n v="9.5712083585606855"/>
  </r>
  <r>
    <x v="7"/>
    <x v="1"/>
    <x v="4"/>
    <x v="7"/>
    <x v="1"/>
    <x v="7"/>
    <s v="5-6.5"/>
    <x v="1"/>
    <x v="1"/>
    <x v="0"/>
    <x v="0"/>
    <x v="0"/>
    <x v="0"/>
    <s v="BRF"/>
    <n v="2"/>
    <x v="3"/>
    <s v="8cm"/>
    <m/>
    <x v="0"/>
    <x v="0"/>
    <x v="0"/>
    <x v="0"/>
    <x v="1"/>
    <x v="1"/>
    <x v="0"/>
    <x v="0"/>
    <x v="0"/>
    <x v="12"/>
    <n v="113.0828125"/>
  </r>
  <r>
    <x v="7"/>
    <x v="1"/>
    <x v="4"/>
    <x v="7"/>
    <x v="1"/>
    <x v="7"/>
    <s v="5-6.5"/>
    <x v="1"/>
    <x v="1"/>
    <x v="0"/>
    <x v="0"/>
    <x v="2"/>
    <x v="2"/>
    <s v="KGM"/>
    <n v="2"/>
    <x v="5"/>
    <m/>
    <m/>
    <x v="0"/>
    <x v="0"/>
    <x v="2"/>
    <x v="0"/>
    <x v="1"/>
    <x v="1"/>
    <x v="0"/>
    <x v="0"/>
    <x v="0"/>
    <x v="1"/>
    <n v="408.03749999999997"/>
  </r>
  <r>
    <x v="7"/>
    <x v="1"/>
    <x v="4"/>
    <x v="7"/>
    <x v="1"/>
    <x v="7"/>
    <s v="5-6.5"/>
    <x v="1"/>
    <x v="1"/>
    <x v="0"/>
    <x v="0"/>
    <x v="16"/>
    <x v="5"/>
    <s v="Red Irish Lord"/>
    <n v="2"/>
    <x v="5"/>
    <m/>
    <m/>
    <x v="0"/>
    <x v="0"/>
    <x v="2"/>
    <x v="0"/>
    <x v="1"/>
    <x v="1"/>
    <x v="0"/>
    <x v="0"/>
    <x v="0"/>
    <x v="1"/>
    <n v="399.96060253377652"/>
  </r>
  <r>
    <x v="7"/>
    <x v="1"/>
    <x v="4"/>
    <x v="7"/>
    <x v="1"/>
    <x v="7"/>
    <s v="5-6.5"/>
    <x v="1"/>
    <x v="1"/>
    <x v="0"/>
    <x v="0"/>
    <x v="7"/>
    <x v="0"/>
    <s v="CRF"/>
    <n v="3"/>
    <x v="1"/>
    <s v="8, 8"/>
    <n v="1"/>
    <x v="1"/>
    <x v="0"/>
    <x v="0"/>
    <x v="0"/>
    <x v="1"/>
    <x v="1"/>
    <x v="0"/>
    <x v="0"/>
    <x v="0"/>
    <x v="8"/>
    <n v="282.53968750000001"/>
  </r>
  <r>
    <x v="7"/>
    <x v="1"/>
    <x v="4"/>
    <x v="8"/>
    <x v="1"/>
    <x v="7"/>
    <n v="8.1999999999999993"/>
    <x v="2"/>
    <x v="2"/>
    <x v="0"/>
    <x v="0"/>
    <x v="17"/>
    <x v="1"/>
    <s v="pipefish"/>
    <n v="27"/>
    <x v="1"/>
    <s v="27 x 5cm"/>
    <m/>
    <x v="1"/>
    <x v="0"/>
    <x v="0"/>
    <x v="0"/>
    <x v="1"/>
    <x v="1"/>
    <x v="0"/>
    <x v="0"/>
    <x v="3"/>
    <x v="1"/>
    <n v="2.6970616288786107"/>
  </r>
  <r>
    <x v="7"/>
    <x v="1"/>
    <x v="4"/>
    <x v="8"/>
    <x v="1"/>
    <x v="7"/>
    <n v="8.1999999999999993"/>
    <x v="2"/>
    <x v="2"/>
    <x v="0"/>
    <x v="0"/>
    <x v="2"/>
    <x v="2"/>
    <s v="KGM"/>
    <n v="1"/>
    <x v="3"/>
    <m/>
    <m/>
    <x v="0"/>
    <x v="0"/>
    <x v="0"/>
    <x v="0"/>
    <x v="1"/>
    <x v="1"/>
    <x v="0"/>
    <x v="0"/>
    <x v="0"/>
    <x v="1"/>
    <n v="83.606250000000003"/>
  </r>
  <r>
    <x v="7"/>
    <x v="1"/>
    <x v="4"/>
    <x v="8"/>
    <x v="1"/>
    <x v="7"/>
    <n v="8.1999999999999993"/>
    <x v="2"/>
    <x v="2"/>
    <x v="0"/>
    <x v="0"/>
    <x v="12"/>
    <x v="3"/>
    <s v="Crescent gunnel"/>
    <n v="1"/>
    <x v="1"/>
    <m/>
    <s v="14cm"/>
    <x v="1"/>
    <x v="0"/>
    <x v="0"/>
    <x v="0"/>
    <x v="1"/>
    <x v="1"/>
    <x v="0"/>
    <x v="0"/>
    <x v="0"/>
    <x v="1"/>
    <n v="12.373223770999775"/>
  </r>
  <r>
    <x v="7"/>
    <x v="1"/>
    <x v="4"/>
    <x v="8"/>
    <x v="1"/>
    <x v="7"/>
    <n v="7.5"/>
    <x v="3"/>
    <x v="3"/>
    <x v="0"/>
    <x v="0"/>
    <x v="0"/>
    <x v="0"/>
    <s v="BRF"/>
    <n v="2"/>
    <x v="1"/>
    <s v="8cm"/>
    <n v="1"/>
    <x v="1"/>
    <x v="0"/>
    <x v="0"/>
    <x v="0"/>
    <x v="1"/>
    <x v="1"/>
    <x v="0"/>
    <x v="0"/>
    <x v="0"/>
    <x v="8"/>
    <n v="41.2109375"/>
  </r>
  <r>
    <x v="7"/>
    <x v="1"/>
    <x v="4"/>
    <x v="8"/>
    <x v="1"/>
    <x v="7"/>
    <n v="7.5"/>
    <x v="3"/>
    <x v="3"/>
    <x v="0"/>
    <x v="0"/>
    <x v="1"/>
    <x v="1"/>
    <s v="TS"/>
    <n v="50"/>
    <x v="1"/>
    <s v="50 x 5cm"/>
    <m/>
    <x v="1"/>
    <x v="0"/>
    <x v="0"/>
    <x v="0"/>
    <x v="1"/>
    <x v="1"/>
    <x v="0"/>
    <x v="0"/>
    <x v="0"/>
    <x v="1"/>
    <n v="4.9945585719974277"/>
  </r>
  <r>
    <x v="7"/>
    <x v="1"/>
    <x v="4"/>
    <x v="8"/>
    <x v="1"/>
    <x v="7"/>
    <n v="7.5"/>
    <x v="3"/>
    <x v="3"/>
    <x v="0"/>
    <x v="0"/>
    <x v="2"/>
    <x v="2"/>
    <s v="KGF"/>
    <n v="1"/>
    <x v="3"/>
    <m/>
    <m/>
    <x v="1"/>
    <x v="0"/>
    <x v="2"/>
    <x v="0"/>
    <x v="1"/>
    <x v="1"/>
    <x v="0"/>
    <x v="0"/>
    <x v="0"/>
    <x v="1"/>
    <n v="324.43124999999998"/>
  </r>
  <r>
    <x v="7"/>
    <x v="1"/>
    <x v="4"/>
    <x v="8"/>
    <x v="1"/>
    <x v="7"/>
    <n v="7.5"/>
    <x v="3"/>
    <x v="3"/>
    <x v="0"/>
    <x v="0"/>
    <x v="2"/>
    <x v="2"/>
    <s v="KGM"/>
    <n v="2"/>
    <x v="3"/>
    <m/>
    <n v="1"/>
    <x v="1"/>
    <x v="2"/>
    <x v="0"/>
    <x v="0"/>
    <x v="1"/>
    <x v="1"/>
    <x v="0"/>
    <x v="0"/>
    <x v="0"/>
    <x v="1"/>
    <n v="208.16249999999999"/>
  </r>
  <r>
    <x v="7"/>
    <x v="1"/>
    <x v="4"/>
    <x v="8"/>
    <x v="1"/>
    <x v="7"/>
    <n v="7.5"/>
    <x v="3"/>
    <x v="3"/>
    <x v="0"/>
    <x v="0"/>
    <x v="7"/>
    <x v="0"/>
    <s v="CRF"/>
    <n v="56"/>
    <x v="1"/>
    <s v="56 x 8cm"/>
    <m/>
    <x v="1"/>
    <x v="0"/>
    <x v="0"/>
    <x v="0"/>
    <x v="1"/>
    <x v="1"/>
    <x v="0"/>
    <x v="0"/>
    <x v="0"/>
    <x v="8"/>
    <n v="501.76000000000005"/>
  </r>
  <r>
    <x v="7"/>
    <x v="1"/>
    <x v="4"/>
    <x v="8"/>
    <x v="1"/>
    <x v="7"/>
    <n v="6"/>
    <x v="4"/>
    <x v="4"/>
    <x v="0"/>
    <x v="0"/>
    <x v="0"/>
    <x v="0"/>
    <s v="BRF"/>
    <n v="45"/>
    <x v="5"/>
    <s v="18 x 4cm, 8cm, 8cm, 8cm"/>
    <n v="22"/>
    <x v="4"/>
    <x v="0"/>
    <x v="0"/>
    <x v="0"/>
    <x v="1"/>
    <x v="1"/>
    <x v="0"/>
    <x v="0"/>
    <x v="4"/>
    <x v="4"/>
    <n v="1132.8062500000001"/>
  </r>
  <r>
    <x v="7"/>
    <x v="1"/>
    <x v="4"/>
    <x v="8"/>
    <x v="1"/>
    <x v="7"/>
    <n v="6"/>
    <x v="4"/>
    <x v="4"/>
    <x v="0"/>
    <x v="0"/>
    <x v="7"/>
    <x v="0"/>
    <s v="CRF"/>
    <n v="1"/>
    <x v="1"/>
    <s v="7cm"/>
    <m/>
    <x v="1"/>
    <x v="0"/>
    <x v="0"/>
    <x v="0"/>
    <x v="1"/>
    <x v="1"/>
    <x v="0"/>
    <x v="0"/>
    <x v="0"/>
    <x v="8"/>
    <n v="6.0025000000000004"/>
  </r>
  <r>
    <x v="7"/>
    <x v="1"/>
    <x v="4"/>
    <x v="8"/>
    <x v="1"/>
    <x v="7"/>
    <n v="6"/>
    <x v="4"/>
    <x v="4"/>
    <x v="0"/>
    <x v="0"/>
    <x v="2"/>
    <x v="2"/>
    <s v="KGM"/>
    <n v="2"/>
    <x v="3"/>
    <m/>
    <n v="1"/>
    <x v="0"/>
    <x v="0"/>
    <x v="0"/>
    <x v="0"/>
    <x v="1"/>
    <x v="1"/>
    <x v="0"/>
    <x v="0"/>
    <x v="0"/>
    <x v="1"/>
    <n v="114.075"/>
  </r>
  <r>
    <x v="7"/>
    <x v="1"/>
    <x v="4"/>
    <x v="8"/>
    <x v="1"/>
    <x v="7"/>
    <n v="6"/>
    <x v="4"/>
    <x v="4"/>
    <x v="0"/>
    <x v="0"/>
    <x v="2"/>
    <x v="2"/>
    <s v="KGJ"/>
    <n v="1"/>
    <x v="1"/>
    <s v="8cm"/>
    <m/>
    <x v="1"/>
    <x v="0"/>
    <x v="0"/>
    <x v="0"/>
    <x v="1"/>
    <x v="1"/>
    <x v="0"/>
    <x v="0"/>
    <x v="0"/>
    <x v="1"/>
    <n v="7.9871999999999996"/>
  </r>
  <r>
    <x v="7"/>
    <x v="1"/>
    <x v="4"/>
    <x v="8"/>
    <x v="1"/>
    <x v="7"/>
    <n v="5.9"/>
    <x v="5"/>
    <x v="5"/>
    <x v="0"/>
    <x v="0"/>
    <x v="0"/>
    <x v="0"/>
    <s v="BRF"/>
    <n v="54"/>
    <x v="3"/>
    <s v="49 x 7-8cm"/>
    <n v="4"/>
    <x v="0"/>
    <x v="0"/>
    <x v="0"/>
    <x v="0"/>
    <x v="1"/>
    <x v="1"/>
    <x v="0"/>
    <x v="0"/>
    <x v="0"/>
    <x v="12"/>
    <n v="277.92656249999999"/>
  </r>
  <r>
    <x v="7"/>
    <x v="1"/>
    <x v="4"/>
    <x v="8"/>
    <x v="1"/>
    <x v="7"/>
    <n v="5.9"/>
    <x v="5"/>
    <x v="5"/>
    <x v="0"/>
    <x v="0"/>
    <x v="2"/>
    <x v="2"/>
    <s v="KGF"/>
    <n v="1"/>
    <x v="3"/>
    <m/>
    <m/>
    <x v="1"/>
    <x v="2"/>
    <x v="0"/>
    <x v="0"/>
    <x v="1"/>
    <x v="1"/>
    <x v="0"/>
    <x v="0"/>
    <x v="0"/>
    <x v="1"/>
    <n v="177.69374999999999"/>
  </r>
  <r>
    <x v="7"/>
    <x v="1"/>
    <x v="4"/>
    <x v="8"/>
    <x v="1"/>
    <x v="7"/>
    <n v="5.9"/>
    <x v="5"/>
    <x v="5"/>
    <x v="0"/>
    <x v="0"/>
    <x v="2"/>
    <x v="2"/>
    <s v="KGJ"/>
    <n v="2"/>
    <x v="1"/>
    <s v="9cm"/>
    <n v="1"/>
    <x v="1"/>
    <x v="0"/>
    <x v="0"/>
    <x v="0"/>
    <x v="1"/>
    <x v="1"/>
    <x v="0"/>
    <x v="0"/>
    <x v="0"/>
    <x v="1"/>
    <n v="41.841149999999999"/>
  </r>
  <r>
    <x v="8"/>
    <x v="1"/>
    <x v="5"/>
    <x v="9"/>
    <x v="1"/>
    <x v="6"/>
    <s v="5.0-7.0"/>
    <x v="0"/>
    <x v="0"/>
    <x v="0"/>
    <x v="0"/>
    <x v="2"/>
    <x v="2"/>
    <s v="KGF"/>
    <n v="1"/>
    <x v="3"/>
    <m/>
    <m/>
    <x v="1"/>
    <x v="0"/>
    <x v="2"/>
    <x v="0"/>
    <x v="1"/>
    <x v="1"/>
    <x v="0"/>
    <x v="0"/>
    <x v="0"/>
    <x v="1"/>
    <n v="324.43124999999998"/>
  </r>
  <r>
    <x v="8"/>
    <x v="1"/>
    <x v="5"/>
    <x v="9"/>
    <x v="1"/>
    <x v="6"/>
    <s v="5.0-7.0"/>
    <x v="0"/>
    <x v="0"/>
    <x v="0"/>
    <x v="0"/>
    <x v="4"/>
    <x v="4"/>
    <s v="LC"/>
    <n v="2"/>
    <x v="5"/>
    <m/>
    <m/>
    <x v="1"/>
    <x v="0"/>
    <x v="2"/>
    <x v="2"/>
    <x v="1"/>
    <x v="1"/>
    <x v="0"/>
    <x v="0"/>
    <x v="0"/>
    <x v="1"/>
    <n v="716.625"/>
  </r>
  <r>
    <x v="8"/>
    <x v="1"/>
    <x v="5"/>
    <x v="9"/>
    <x v="1"/>
    <x v="6"/>
    <s v="5.0-7.0"/>
    <x v="0"/>
    <x v="0"/>
    <x v="0"/>
    <x v="0"/>
    <x v="2"/>
    <x v="2"/>
    <s v="KGM"/>
    <n v="3"/>
    <x v="4"/>
    <m/>
    <m/>
    <x v="1"/>
    <x v="2"/>
    <x v="4"/>
    <x v="0"/>
    <x v="1"/>
    <x v="1"/>
    <x v="0"/>
    <x v="0"/>
    <x v="0"/>
    <x v="1"/>
    <n v="826.55624999999998"/>
  </r>
  <r>
    <x v="8"/>
    <x v="1"/>
    <x v="5"/>
    <x v="9"/>
    <x v="1"/>
    <x v="6"/>
    <s v="5.0-7.0"/>
    <x v="0"/>
    <x v="0"/>
    <x v="0"/>
    <x v="0"/>
    <x v="2"/>
    <x v="2"/>
    <s v="KGJ"/>
    <n v="5"/>
    <x v="1"/>
    <m/>
    <n v="5"/>
    <x v="1"/>
    <x v="0"/>
    <x v="0"/>
    <x v="0"/>
    <x v="1"/>
    <x v="1"/>
    <x v="0"/>
    <x v="0"/>
    <x v="0"/>
    <x v="1"/>
    <n v="152.34375"/>
  </r>
  <r>
    <x v="8"/>
    <x v="1"/>
    <x v="5"/>
    <x v="9"/>
    <x v="1"/>
    <x v="6"/>
    <s v="5.0-7.0"/>
    <x v="0"/>
    <x v="0"/>
    <x v="0"/>
    <x v="0"/>
    <x v="16"/>
    <x v="5"/>
    <s v="Red Irish Lord"/>
    <n v="11"/>
    <x v="5"/>
    <n v="8"/>
    <s v="1 + 11cm"/>
    <x v="0"/>
    <x v="0"/>
    <x v="2"/>
    <x v="0"/>
    <x v="1"/>
    <x v="1"/>
    <x v="0"/>
    <x v="0"/>
    <x v="0"/>
    <x v="1"/>
    <n v="423.76118373838494"/>
  </r>
  <r>
    <x v="8"/>
    <x v="1"/>
    <x v="5"/>
    <x v="10"/>
    <x v="1"/>
    <x v="8"/>
    <s v="4.6-6.9"/>
    <x v="1"/>
    <x v="1"/>
    <x v="0"/>
    <x v="0"/>
    <x v="2"/>
    <x v="2"/>
    <s v="KGM"/>
    <n v="3"/>
    <x v="4"/>
    <m/>
    <m/>
    <x v="0"/>
    <x v="2"/>
    <x v="0"/>
    <x v="0"/>
    <x v="2"/>
    <x v="1"/>
    <x v="0"/>
    <x v="0"/>
    <x v="0"/>
    <x v="1"/>
    <n v="1083.95625"/>
  </r>
  <r>
    <x v="8"/>
    <x v="1"/>
    <x v="5"/>
    <x v="10"/>
    <x v="1"/>
    <x v="8"/>
    <s v="4.6-6.9"/>
    <x v="1"/>
    <x v="1"/>
    <x v="0"/>
    <x v="0"/>
    <x v="6"/>
    <x v="5"/>
    <s v="cabezon"/>
    <n v="1"/>
    <x v="3"/>
    <m/>
    <m/>
    <x v="0"/>
    <x v="0"/>
    <x v="0"/>
    <x v="0"/>
    <x v="1"/>
    <x v="1"/>
    <x v="0"/>
    <x v="0"/>
    <x v="0"/>
    <x v="1"/>
    <n v="76.637066856170094"/>
  </r>
  <r>
    <x v="8"/>
    <x v="1"/>
    <x v="5"/>
    <x v="10"/>
    <x v="1"/>
    <x v="8"/>
    <s v="4.6-6.9"/>
    <x v="1"/>
    <x v="1"/>
    <x v="0"/>
    <x v="0"/>
    <x v="2"/>
    <x v="2"/>
    <s v="KGJ"/>
    <n v="3"/>
    <x v="1"/>
    <s v="6, 8"/>
    <s v="10cm"/>
    <x v="1"/>
    <x v="0"/>
    <x v="0"/>
    <x v="0"/>
    <x v="1"/>
    <x v="1"/>
    <x v="0"/>
    <x v="0"/>
    <x v="0"/>
    <x v="1"/>
    <n v="26.956800000000001"/>
  </r>
  <r>
    <x v="8"/>
    <x v="1"/>
    <x v="5"/>
    <x v="10"/>
    <x v="1"/>
    <x v="8"/>
    <s v="4.6-6.9"/>
    <x v="1"/>
    <x v="1"/>
    <x v="0"/>
    <x v="0"/>
    <x v="1"/>
    <x v="1"/>
    <s v="TS"/>
    <n v="8"/>
    <x v="1"/>
    <n v="8"/>
    <m/>
    <x v="1"/>
    <x v="0"/>
    <x v="0"/>
    <x v="0"/>
    <x v="1"/>
    <x v="1"/>
    <x v="0"/>
    <x v="0"/>
    <x v="0"/>
    <x v="1"/>
    <n v="0.50079345774267114"/>
  </r>
  <r>
    <x v="8"/>
    <x v="1"/>
    <x v="5"/>
    <x v="10"/>
    <x v="1"/>
    <x v="8"/>
    <s v="3.2-5.0"/>
    <x v="2"/>
    <x v="2"/>
    <x v="0"/>
    <x v="0"/>
    <x v="2"/>
    <x v="2"/>
    <s v="KGJ"/>
    <n v="2"/>
    <x v="1"/>
    <s v="9, 8"/>
    <m/>
    <x v="1"/>
    <x v="0"/>
    <x v="0"/>
    <x v="0"/>
    <x v="1"/>
    <x v="1"/>
    <x v="0"/>
    <x v="0"/>
    <x v="0"/>
    <x v="1"/>
    <n v="19.3596"/>
  </r>
  <r>
    <x v="8"/>
    <x v="1"/>
    <x v="5"/>
    <x v="10"/>
    <x v="1"/>
    <x v="8"/>
    <s v="3.2-5.0"/>
    <x v="2"/>
    <x v="2"/>
    <x v="0"/>
    <x v="0"/>
    <x v="2"/>
    <x v="2"/>
    <s v="KGM"/>
    <n v="2"/>
    <x v="1"/>
    <m/>
    <n v="2"/>
    <x v="1"/>
    <x v="0"/>
    <x v="0"/>
    <x v="0"/>
    <x v="1"/>
    <x v="1"/>
    <x v="0"/>
    <x v="0"/>
    <x v="0"/>
    <x v="1"/>
    <n v="60.9375"/>
  </r>
  <r>
    <x v="8"/>
    <x v="1"/>
    <x v="5"/>
    <x v="10"/>
    <x v="1"/>
    <x v="8"/>
    <s v="3.2-5.0"/>
    <x v="2"/>
    <x v="2"/>
    <x v="0"/>
    <x v="0"/>
    <x v="4"/>
    <x v="4"/>
    <s v="LC"/>
    <n v="1"/>
    <x v="3"/>
    <m/>
    <m/>
    <x v="1"/>
    <x v="0"/>
    <x v="0"/>
    <x v="0"/>
    <x v="2"/>
    <x v="1"/>
    <x v="0"/>
    <x v="0"/>
    <x v="0"/>
    <x v="1"/>
    <n v="685.546875"/>
  </r>
  <r>
    <x v="8"/>
    <x v="1"/>
    <x v="5"/>
    <x v="10"/>
    <x v="2"/>
    <x v="3"/>
    <s v="20 - 6 ft"/>
    <x v="3"/>
    <x v="3"/>
    <x v="0"/>
    <x v="0"/>
    <x v="2"/>
    <x v="2"/>
    <s v="KGF"/>
    <n v="1"/>
    <x v="3"/>
    <m/>
    <m/>
    <x v="1"/>
    <x v="2"/>
    <x v="0"/>
    <x v="0"/>
    <x v="1"/>
    <x v="1"/>
    <x v="0"/>
    <x v="0"/>
    <x v="0"/>
    <x v="1"/>
    <n v="177.69374999999999"/>
  </r>
  <r>
    <x v="8"/>
    <x v="1"/>
    <x v="5"/>
    <x v="10"/>
    <x v="2"/>
    <x v="3"/>
    <s v="20 - 6 ft"/>
    <x v="3"/>
    <x v="3"/>
    <x v="0"/>
    <x v="0"/>
    <x v="2"/>
    <x v="2"/>
    <s v="KGM"/>
    <n v="3"/>
    <x v="4"/>
    <m/>
    <m/>
    <x v="0"/>
    <x v="0"/>
    <x v="2"/>
    <x v="2"/>
    <x v="1"/>
    <x v="1"/>
    <x v="0"/>
    <x v="0"/>
    <x v="0"/>
    <x v="1"/>
    <n v="943.55624999999986"/>
  </r>
  <r>
    <x v="8"/>
    <x v="1"/>
    <x v="5"/>
    <x v="10"/>
    <x v="2"/>
    <x v="3"/>
    <s v="20 - 6 ft"/>
    <x v="3"/>
    <x v="3"/>
    <x v="0"/>
    <x v="0"/>
    <x v="5"/>
    <x v="3"/>
    <s v="Warbonnet"/>
    <n v="1"/>
    <x v="3"/>
    <m/>
    <m/>
    <x v="1"/>
    <x v="2"/>
    <x v="0"/>
    <x v="0"/>
    <x v="1"/>
    <x v="1"/>
    <x v="0"/>
    <x v="0"/>
    <x v="0"/>
    <x v="1"/>
    <n v="51.803045807752774"/>
  </r>
  <r>
    <x v="9"/>
    <x v="2"/>
    <x v="6"/>
    <x v="11"/>
    <x v="0"/>
    <x v="3"/>
    <s v="5 to 4"/>
    <x v="0"/>
    <x v="0"/>
    <x v="0"/>
    <x v="0"/>
    <x v="2"/>
    <x v="2"/>
    <s v="KGF"/>
    <n v="3"/>
    <x v="4"/>
    <m/>
    <m/>
    <x v="1"/>
    <x v="2"/>
    <x v="2"/>
    <x v="2"/>
    <x v="1"/>
    <x v="1"/>
    <x v="0"/>
    <x v="0"/>
    <x v="0"/>
    <x v="1"/>
    <n v="1037.64375"/>
  </r>
  <r>
    <x v="9"/>
    <x v="2"/>
    <x v="6"/>
    <x v="11"/>
    <x v="0"/>
    <x v="3"/>
    <s v="5 to 4"/>
    <x v="0"/>
    <x v="0"/>
    <x v="0"/>
    <x v="0"/>
    <x v="3"/>
    <x v="3"/>
    <s v="MS"/>
    <n v="2"/>
    <x v="1"/>
    <s v="5, 5"/>
    <m/>
    <x v="1"/>
    <x v="0"/>
    <x v="0"/>
    <x v="0"/>
    <x v="1"/>
    <x v="1"/>
    <x v="0"/>
    <x v="0"/>
    <x v="0"/>
    <x v="1"/>
    <n v="2.8452518760507912"/>
  </r>
  <r>
    <x v="9"/>
    <x v="2"/>
    <x v="6"/>
    <x v="11"/>
    <x v="0"/>
    <x v="3"/>
    <s v="5 to 4"/>
    <x v="0"/>
    <x v="0"/>
    <x v="0"/>
    <x v="0"/>
    <x v="0"/>
    <x v="0"/>
    <s v="BRF"/>
    <n v="19"/>
    <x v="1"/>
    <m/>
    <s v="13, 11, 12, 16 x 10cm"/>
    <x v="1"/>
    <x v="0"/>
    <x v="0"/>
    <x v="0"/>
    <x v="1"/>
    <x v="1"/>
    <x v="0"/>
    <x v="0"/>
    <x v="0"/>
    <x v="8"/>
    <n v="164.84375"/>
  </r>
  <r>
    <x v="9"/>
    <x v="2"/>
    <x v="6"/>
    <x v="11"/>
    <x v="0"/>
    <x v="3"/>
    <s v="5 to 4"/>
    <x v="0"/>
    <x v="0"/>
    <x v="0"/>
    <x v="0"/>
    <x v="1"/>
    <x v="1"/>
    <s v="TS"/>
    <n v="24"/>
    <x v="1"/>
    <s v="24 x 4cm"/>
    <m/>
    <x v="1"/>
    <x v="0"/>
    <x v="0"/>
    <x v="0"/>
    <x v="1"/>
    <x v="1"/>
    <x v="0"/>
    <x v="0"/>
    <x v="0"/>
    <x v="1"/>
    <n v="1.1151595380537278"/>
  </r>
  <r>
    <x v="9"/>
    <x v="2"/>
    <x v="6"/>
    <x v="11"/>
    <x v="0"/>
    <x v="3"/>
    <s v="4 to 4.5"/>
    <x v="1"/>
    <x v="1"/>
    <x v="0"/>
    <x v="0"/>
    <x v="2"/>
    <x v="2"/>
    <s v="KGM"/>
    <n v="9"/>
    <x v="8"/>
    <m/>
    <m/>
    <x v="5"/>
    <x v="3"/>
    <x v="0"/>
    <x v="2"/>
    <x v="1"/>
    <x v="1"/>
    <x v="0"/>
    <x v="0"/>
    <x v="0"/>
    <x v="1"/>
    <n v="1392.54375"/>
  </r>
  <r>
    <x v="9"/>
    <x v="2"/>
    <x v="6"/>
    <x v="11"/>
    <x v="0"/>
    <x v="3"/>
    <s v="4 to 4.5"/>
    <x v="1"/>
    <x v="1"/>
    <x v="0"/>
    <x v="0"/>
    <x v="2"/>
    <x v="2"/>
    <s v="KGF"/>
    <n v="7"/>
    <x v="7"/>
    <m/>
    <m/>
    <x v="0"/>
    <x v="3"/>
    <x v="0"/>
    <x v="2"/>
    <x v="3"/>
    <x v="1"/>
    <x v="0"/>
    <x v="0"/>
    <x v="0"/>
    <x v="1"/>
    <n v="3442.4812499999998"/>
  </r>
  <r>
    <x v="9"/>
    <x v="2"/>
    <x v="6"/>
    <x v="11"/>
    <x v="0"/>
    <x v="3"/>
    <s v="4 to 4.5"/>
    <x v="1"/>
    <x v="1"/>
    <x v="0"/>
    <x v="0"/>
    <x v="0"/>
    <x v="0"/>
    <s v="BRF"/>
    <n v="9"/>
    <x v="3"/>
    <s v="7, 8"/>
    <s v="2; 4 x 10cm"/>
    <x v="0"/>
    <x v="0"/>
    <x v="0"/>
    <x v="0"/>
    <x v="1"/>
    <x v="1"/>
    <x v="0"/>
    <x v="0"/>
    <x v="0"/>
    <x v="12"/>
    <n v="360.34843749999999"/>
  </r>
  <r>
    <x v="9"/>
    <x v="2"/>
    <x v="6"/>
    <x v="11"/>
    <x v="0"/>
    <x v="3"/>
    <s v="4 to 4.5"/>
    <x v="1"/>
    <x v="1"/>
    <x v="0"/>
    <x v="0"/>
    <x v="2"/>
    <x v="2"/>
    <s v="KGJ"/>
    <n v="4"/>
    <x v="1"/>
    <m/>
    <s v="11, 12, 12, 13"/>
    <x v="1"/>
    <x v="0"/>
    <x v="0"/>
    <x v="0"/>
    <x v="1"/>
    <x v="1"/>
    <x v="0"/>
    <x v="0"/>
    <x v="0"/>
    <x v="1"/>
    <n v="108.9504"/>
  </r>
  <r>
    <x v="9"/>
    <x v="2"/>
    <x v="6"/>
    <x v="11"/>
    <x v="0"/>
    <x v="3"/>
    <s v="4 to 4.5"/>
    <x v="1"/>
    <x v="1"/>
    <x v="0"/>
    <x v="0"/>
    <x v="1"/>
    <x v="1"/>
    <s v="TS"/>
    <n v="18"/>
    <x v="1"/>
    <s v="13 x 6cm, 5 x 4cm"/>
    <m/>
    <x v="1"/>
    <x v="0"/>
    <x v="0"/>
    <x v="0"/>
    <x v="1"/>
    <x v="1"/>
    <x v="0"/>
    <x v="0"/>
    <x v="0"/>
    <x v="1"/>
    <n v="2.6592821872697869"/>
  </r>
  <r>
    <x v="9"/>
    <x v="2"/>
    <x v="6"/>
    <x v="11"/>
    <x v="0"/>
    <x v="3"/>
    <s v="4 to 4.5"/>
    <x v="1"/>
    <x v="1"/>
    <x v="0"/>
    <x v="0"/>
    <x v="8"/>
    <x v="6"/>
    <s v="Striped Perch"/>
    <n v="3"/>
    <x v="5"/>
    <s v="6cm"/>
    <m/>
    <x v="4"/>
    <x v="0"/>
    <x v="0"/>
    <x v="0"/>
    <x v="1"/>
    <x v="1"/>
    <x v="0"/>
    <x v="0"/>
    <x v="0"/>
    <x v="1"/>
    <n v="2841.8542972152309"/>
  </r>
  <r>
    <x v="9"/>
    <x v="2"/>
    <x v="6"/>
    <x v="11"/>
    <x v="0"/>
    <x v="3"/>
    <s v="4 to 4.5"/>
    <x v="1"/>
    <x v="1"/>
    <x v="0"/>
    <x v="0"/>
    <x v="4"/>
    <x v="4"/>
    <s v="LC"/>
    <n v="1"/>
    <x v="3"/>
    <m/>
    <m/>
    <x v="1"/>
    <x v="0"/>
    <x v="0"/>
    <x v="0"/>
    <x v="1"/>
    <x v="2"/>
    <x v="0"/>
    <x v="0"/>
    <x v="0"/>
    <x v="1"/>
    <n v="997.953125"/>
  </r>
  <r>
    <x v="9"/>
    <x v="2"/>
    <x v="6"/>
    <x v="11"/>
    <x v="0"/>
    <x v="3"/>
    <s v="8 to 7"/>
    <x v="2"/>
    <x v="2"/>
    <x v="0"/>
    <x v="0"/>
    <x v="0"/>
    <x v="0"/>
    <s v="BRF"/>
    <n v="48"/>
    <x v="1"/>
    <s v="9, 9, 9, 15 x 5cm"/>
    <s v="30 x 10cm"/>
    <x v="1"/>
    <x v="0"/>
    <x v="0"/>
    <x v="0"/>
    <x v="1"/>
    <x v="1"/>
    <x v="0"/>
    <x v="0"/>
    <x v="0"/>
    <x v="8"/>
    <n v="1236.328125"/>
  </r>
  <r>
    <x v="9"/>
    <x v="2"/>
    <x v="6"/>
    <x v="11"/>
    <x v="0"/>
    <x v="3"/>
    <s v="8 to 7"/>
    <x v="2"/>
    <x v="2"/>
    <x v="0"/>
    <x v="0"/>
    <x v="2"/>
    <x v="2"/>
    <s v="KGF"/>
    <n v="3"/>
    <x v="4"/>
    <m/>
    <m/>
    <x v="1"/>
    <x v="0"/>
    <x v="1"/>
    <x v="0"/>
    <x v="1"/>
    <x v="1"/>
    <x v="0"/>
    <x v="0"/>
    <x v="0"/>
    <x v="1"/>
    <n v="973.29374999999993"/>
  </r>
  <r>
    <x v="9"/>
    <x v="2"/>
    <x v="6"/>
    <x v="11"/>
    <x v="0"/>
    <x v="3"/>
    <s v="8 to 7"/>
    <x v="2"/>
    <x v="2"/>
    <x v="0"/>
    <x v="0"/>
    <x v="2"/>
    <x v="2"/>
    <s v="KGJ"/>
    <n v="2"/>
    <x v="1"/>
    <m/>
    <n v="2"/>
    <x v="1"/>
    <x v="0"/>
    <x v="0"/>
    <x v="0"/>
    <x v="1"/>
    <x v="1"/>
    <x v="0"/>
    <x v="0"/>
    <x v="0"/>
    <x v="1"/>
    <n v="60.9375"/>
  </r>
  <r>
    <x v="9"/>
    <x v="2"/>
    <x v="6"/>
    <x v="11"/>
    <x v="0"/>
    <x v="3"/>
    <s v="8 to 7"/>
    <x v="2"/>
    <x v="2"/>
    <x v="0"/>
    <x v="0"/>
    <x v="2"/>
    <x v="2"/>
    <s v="KGM"/>
    <n v="4"/>
    <x v="6"/>
    <m/>
    <m/>
    <x v="6"/>
    <x v="0"/>
    <x v="0"/>
    <x v="0"/>
    <x v="1"/>
    <x v="1"/>
    <x v="0"/>
    <x v="0"/>
    <x v="0"/>
    <x v="1"/>
    <n v="334.42500000000001"/>
  </r>
  <r>
    <x v="9"/>
    <x v="2"/>
    <x v="6"/>
    <x v="11"/>
    <x v="0"/>
    <x v="3"/>
    <s v="8 to 7"/>
    <x v="2"/>
    <x v="2"/>
    <x v="0"/>
    <x v="0"/>
    <x v="10"/>
    <x v="0"/>
    <s v="Vermillion rockfish"/>
    <n v="3"/>
    <x v="1"/>
    <m/>
    <s v="12, 12, 12"/>
    <x v="1"/>
    <x v="0"/>
    <x v="0"/>
    <x v="0"/>
    <x v="1"/>
    <x v="1"/>
    <x v="0"/>
    <x v="0"/>
    <x v="0"/>
    <x v="8"/>
    <n v="92.100986023923937"/>
  </r>
  <r>
    <x v="9"/>
    <x v="2"/>
    <x v="6"/>
    <x v="11"/>
    <x v="0"/>
    <x v="3"/>
    <s v="7 to 7.5"/>
    <x v="3"/>
    <x v="3"/>
    <x v="0"/>
    <x v="0"/>
    <x v="0"/>
    <x v="0"/>
    <s v="BRF"/>
    <n v="31"/>
    <x v="1"/>
    <m/>
    <s v="12, 12, 12, 24 x 11cm, 10, 10, 10, 10"/>
    <x v="1"/>
    <x v="0"/>
    <x v="0"/>
    <x v="0"/>
    <x v="1"/>
    <x v="1"/>
    <x v="0"/>
    <x v="0"/>
    <x v="0"/>
    <x v="8"/>
    <n v="1277.5390625"/>
  </r>
  <r>
    <x v="9"/>
    <x v="2"/>
    <x v="6"/>
    <x v="11"/>
    <x v="0"/>
    <x v="3"/>
    <s v="7 to 7.5"/>
    <x v="3"/>
    <x v="3"/>
    <x v="0"/>
    <x v="0"/>
    <x v="2"/>
    <x v="2"/>
    <s v="KGF"/>
    <n v="5"/>
    <x v="0"/>
    <m/>
    <m/>
    <x v="4"/>
    <x v="3"/>
    <x v="0"/>
    <x v="0"/>
    <x v="2"/>
    <x v="1"/>
    <x v="0"/>
    <x v="0"/>
    <x v="0"/>
    <x v="1"/>
    <n v="1345.2562499999999"/>
  </r>
  <r>
    <x v="9"/>
    <x v="2"/>
    <x v="6"/>
    <x v="11"/>
    <x v="0"/>
    <x v="3"/>
    <s v="7 to 7.5"/>
    <x v="3"/>
    <x v="3"/>
    <x v="0"/>
    <x v="0"/>
    <x v="10"/>
    <x v="0"/>
    <s v="China RF"/>
    <n v="2"/>
    <x v="1"/>
    <s v="7cm"/>
    <s v="10cm"/>
    <x v="1"/>
    <x v="0"/>
    <x v="0"/>
    <x v="0"/>
    <x v="1"/>
    <x v="1"/>
    <x v="0"/>
    <x v="0"/>
    <x v="0"/>
    <x v="8"/>
    <n v="23.586352454153225"/>
  </r>
  <r>
    <x v="9"/>
    <x v="2"/>
    <x v="6"/>
    <x v="11"/>
    <x v="0"/>
    <x v="3"/>
    <s v="7 to 7.5"/>
    <x v="3"/>
    <x v="3"/>
    <x v="0"/>
    <x v="0"/>
    <x v="13"/>
    <x v="5"/>
    <s v="Brown Irish Lord"/>
    <n v="1"/>
    <x v="3"/>
    <m/>
    <m/>
    <x v="7"/>
    <x v="0"/>
    <x v="0"/>
    <x v="0"/>
    <x v="1"/>
    <x v="1"/>
    <x v="0"/>
    <x v="0"/>
    <x v="0"/>
    <x v="1"/>
    <n v="83.831187519855675"/>
  </r>
  <r>
    <x v="9"/>
    <x v="2"/>
    <x v="6"/>
    <x v="11"/>
    <x v="0"/>
    <x v="3"/>
    <s v="7 to 7.5"/>
    <x v="3"/>
    <x v="3"/>
    <x v="0"/>
    <x v="0"/>
    <x v="2"/>
    <x v="2"/>
    <s v="KGJ"/>
    <n v="5"/>
    <x v="1"/>
    <s v="9cm"/>
    <s v="10, 10, 10, 10"/>
    <x v="1"/>
    <x v="0"/>
    <x v="0"/>
    <x v="0"/>
    <x v="1"/>
    <x v="1"/>
    <x v="0"/>
    <x v="0"/>
    <x v="0"/>
    <x v="1"/>
    <n v="73.772400000000005"/>
  </r>
  <r>
    <x v="9"/>
    <x v="2"/>
    <x v="6"/>
    <x v="11"/>
    <x v="0"/>
    <x v="3"/>
    <s v="7 to 7.5"/>
    <x v="3"/>
    <x v="3"/>
    <x v="0"/>
    <x v="0"/>
    <x v="2"/>
    <x v="2"/>
    <s v="KGM"/>
    <n v="1"/>
    <x v="3"/>
    <m/>
    <m/>
    <x v="0"/>
    <x v="0"/>
    <x v="0"/>
    <x v="0"/>
    <x v="1"/>
    <x v="1"/>
    <x v="0"/>
    <x v="0"/>
    <x v="0"/>
    <x v="1"/>
    <n v="83.606250000000003"/>
  </r>
  <r>
    <x v="9"/>
    <x v="2"/>
    <x v="6"/>
    <x v="11"/>
    <x v="0"/>
    <x v="3"/>
    <s v="7 to 7.5"/>
    <x v="3"/>
    <x v="3"/>
    <x v="0"/>
    <x v="0"/>
    <x v="7"/>
    <x v="0"/>
    <s v="CRF"/>
    <n v="5"/>
    <x v="1"/>
    <s v="3, 4, 3, 3, 4"/>
    <m/>
    <x v="1"/>
    <x v="0"/>
    <x v="0"/>
    <x v="0"/>
    <x v="1"/>
    <x v="1"/>
    <x v="0"/>
    <x v="0"/>
    <x v="0"/>
    <x v="8"/>
    <n v="3.6575000000000002"/>
  </r>
  <r>
    <x v="10"/>
    <x v="2"/>
    <x v="7"/>
    <x v="12"/>
    <x v="0"/>
    <x v="3"/>
    <s v="6 to 5"/>
    <x v="0"/>
    <x v="0"/>
    <x v="0"/>
    <x v="0"/>
    <x v="2"/>
    <x v="2"/>
    <s v="KGF"/>
    <n v="4"/>
    <x v="6"/>
    <m/>
    <m/>
    <x v="0"/>
    <x v="2"/>
    <x v="2"/>
    <x v="0"/>
    <x v="2"/>
    <x v="1"/>
    <x v="0"/>
    <x v="0"/>
    <x v="0"/>
    <x v="1"/>
    <n v="1408.3875"/>
  </r>
  <r>
    <x v="10"/>
    <x v="2"/>
    <x v="7"/>
    <x v="12"/>
    <x v="0"/>
    <x v="3"/>
    <s v="6 to 5"/>
    <x v="0"/>
    <x v="0"/>
    <x v="0"/>
    <x v="0"/>
    <x v="2"/>
    <x v="2"/>
    <s v="KGM"/>
    <n v="2"/>
    <x v="5"/>
    <m/>
    <m/>
    <x v="0"/>
    <x v="0"/>
    <x v="0"/>
    <x v="2"/>
    <x v="1"/>
    <x v="1"/>
    <x v="0"/>
    <x v="0"/>
    <x v="0"/>
    <x v="1"/>
    <n v="619.125"/>
  </r>
  <r>
    <x v="10"/>
    <x v="2"/>
    <x v="7"/>
    <x v="12"/>
    <x v="0"/>
    <x v="3"/>
    <s v="6 to 5"/>
    <x v="0"/>
    <x v="0"/>
    <x v="0"/>
    <x v="0"/>
    <x v="2"/>
    <x v="2"/>
    <s v="KGJ"/>
    <n v="1"/>
    <x v="1"/>
    <m/>
    <s v="12cm"/>
    <x v="1"/>
    <x v="0"/>
    <x v="0"/>
    <x v="0"/>
    <x v="1"/>
    <x v="1"/>
    <x v="0"/>
    <x v="0"/>
    <x v="0"/>
    <x v="1"/>
    <n v="26.956799999999998"/>
  </r>
  <r>
    <x v="10"/>
    <x v="2"/>
    <x v="7"/>
    <x v="12"/>
    <x v="0"/>
    <x v="3"/>
    <s v="6 to 5"/>
    <x v="0"/>
    <x v="0"/>
    <x v="0"/>
    <x v="0"/>
    <x v="16"/>
    <x v="5"/>
    <s v="Red Irish Lord"/>
    <n v="1"/>
    <x v="3"/>
    <m/>
    <m/>
    <x v="7"/>
    <x v="0"/>
    <x v="0"/>
    <x v="0"/>
    <x v="1"/>
    <x v="1"/>
    <x v="0"/>
    <x v="0"/>
    <x v="0"/>
    <x v="1"/>
    <n v="83.831187519855675"/>
  </r>
  <r>
    <x v="10"/>
    <x v="2"/>
    <x v="7"/>
    <x v="12"/>
    <x v="0"/>
    <x v="3"/>
    <s v="4.5 to 5"/>
    <x v="1"/>
    <x v="1"/>
    <x v="0"/>
    <x v="0"/>
    <x v="2"/>
    <x v="2"/>
    <s v="KGM"/>
    <n v="3"/>
    <x v="4"/>
    <m/>
    <m/>
    <x v="1"/>
    <x v="0"/>
    <x v="0"/>
    <x v="2"/>
    <x v="0"/>
    <x v="1"/>
    <x v="0"/>
    <x v="0"/>
    <x v="0"/>
    <x v="1"/>
    <n v="2180.8312500000002"/>
  </r>
  <r>
    <x v="10"/>
    <x v="2"/>
    <x v="7"/>
    <x v="12"/>
    <x v="0"/>
    <x v="3"/>
    <s v="4.5 to 5"/>
    <x v="1"/>
    <x v="1"/>
    <x v="0"/>
    <x v="0"/>
    <x v="0"/>
    <x v="0"/>
    <s v="BRF"/>
    <n v="94"/>
    <x v="8"/>
    <m/>
    <s v="12, 13, 12; 75 x 11-12cm; 7 x 13-14cm"/>
    <x v="1"/>
    <x v="5"/>
    <x v="5"/>
    <x v="3"/>
    <x v="1"/>
    <x v="1"/>
    <x v="0"/>
    <x v="0"/>
    <x v="0"/>
    <x v="13"/>
    <n v="6592.1015625"/>
  </r>
  <r>
    <x v="10"/>
    <x v="2"/>
    <x v="7"/>
    <x v="12"/>
    <x v="0"/>
    <x v="3"/>
    <s v="4.5 to 5"/>
    <x v="1"/>
    <x v="1"/>
    <x v="0"/>
    <x v="0"/>
    <x v="8"/>
    <x v="6"/>
    <s v="Kelp perch"/>
    <n v="2"/>
    <x v="1"/>
    <s v="6, 7"/>
    <m/>
    <x v="1"/>
    <x v="0"/>
    <x v="0"/>
    <x v="0"/>
    <x v="1"/>
    <x v="1"/>
    <x v="0"/>
    <x v="0"/>
    <x v="0"/>
    <x v="1"/>
    <n v="0.30161840039549542"/>
  </r>
  <r>
    <x v="10"/>
    <x v="2"/>
    <x v="7"/>
    <x v="12"/>
    <x v="0"/>
    <x v="3"/>
    <s v="4.5 to 5"/>
    <x v="1"/>
    <x v="1"/>
    <x v="0"/>
    <x v="0"/>
    <x v="1"/>
    <x v="1"/>
    <s v="TS"/>
    <n v="23"/>
    <x v="1"/>
    <s v="6, 22 x 7-8cm"/>
    <m/>
    <x v="1"/>
    <x v="0"/>
    <x v="0"/>
    <x v="0"/>
    <x v="1"/>
    <x v="1"/>
    <x v="0"/>
    <x v="0"/>
    <x v="0"/>
    <x v="1"/>
    <n v="9.0163251304029597"/>
  </r>
  <r>
    <x v="10"/>
    <x v="2"/>
    <x v="7"/>
    <x v="12"/>
    <x v="0"/>
    <x v="3"/>
    <s v="4.5 to 5"/>
    <x v="1"/>
    <x v="1"/>
    <x v="0"/>
    <x v="0"/>
    <x v="7"/>
    <x v="0"/>
    <s v="CRF"/>
    <n v="5"/>
    <x v="1"/>
    <s v="4, 4, 4, 4, 4"/>
    <m/>
    <x v="1"/>
    <x v="0"/>
    <x v="0"/>
    <x v="0"/>
    <x v="1"/>
    <x v="1"/>
    <x v="0"/>
    <x v="0"/>
    <x v="0"/>
    <x v="8"/>
    <n v="5.6000000000000005"/>
  </r>
  <r>
    <x v="10"/>
    <x v="2"/>
    <x v="7"/>
    <x v="12"/>
    <x v="0"/>
    <x v="3"/>
    <s v="4.5 to 5"/>
    <x v="1"/>
    <x v="1"/>
    <x v="0"/>
    <x v="0"/>
    <x v="8"/>
    <x v="6"/>
    <s v="Striped Perch"/>
    <n v="6"/>
    <x v="0"/>
    <m/>
    <n v="1"/>
    <x v="0"/>
    <x v="1"/>
    <x v="2"/>
    <x v="0"/>
    <x v="1"/>
    <x v="1"/>
    <x v="0"/>
    <x v="0"/>
    <x v="0"/>
    <x v="1"/>
    <n v="9891.4953230803767"/>
  </r>
  <r>
    <x v="11"/>
    <x v="2"/>
    <x v="6"/>
    <x v="11"/>
    <x v="0"/>
    <x v="1"/>
    <n v="7.5"/>
    <x v="4"/>
    <x v="4"/>
    <x v="0"/>
    <x v="0"/>
    <x v="4"/>
    <x v="4"/>
    <s v="LC"/>
    <n v="1"/>
    <x v="3"/>
    <m/>
    <m/>
    <x v="1"/>
    <x v="0"/>
    <x v="0"/>
    <x v="0"/>
    <x v="1"/>
    <x v="1"/>
    <x v="0"/>
    <x v="3"/>
    <x v="0"/>
    <x v="1"/>
    <n v="3570.125"/>
  </r>
  <r>
    <x v="11"/>
    <x v="2"/>
    <x v="6"/>
    <x v="11"/>
    <x v="0"/>
    <x v="1"/>
    <n v="7.5"/>
    <x v="4"/>
    <x v="4"/>
    <x v="0"/>
    <x v="0"/>
    <x v="7"/>
    <x v="0"/>
    <s v="CRF"/>
    <n v="4"/>
    <x v="1"/>
    <s v="4 x 4cm"/>
    <m/>
    <x v="1"/>
    <x v="0"/>
    <x v="0"/>
    <x v="0"/>
    <x v="1"/>
    <x v="1"/>
    <x v="0"/>
    <x v="0"/>
    <x v="0"/>
    <x v="8"/>
    <n v="4.4800000000000004"/>
  </r>
  <r>
    <x v="11"/>
    <x v="2"/>
    <x v="6"/>
    <x v="11"/>
    <x v="0"/>
    <x v="1"/>
    <n v="7.5"/>
    <x v="4"/>
    <x v="4"/>
    <x v="0"/>
    <x v="0"/>
    <x v="10"/>
    <x v="0"/>
    <s v="YTR"/>
    <n v="55"/>
    <x v="1"/>
    <s v="55 x 6cm"/>
    <m/>
    <x v="1"/>
    <x v="0"/>
    <x v="0"/>
    <x v="0"/>
    <x v="1"/>
    <x v="1"/>
    <x v="0"/>
    <x v="0"/>
    <x v="0"/>
    <x v="8"/>
    <n v="149.95752389323175"/>
  </r>
  <r>
    <x v="11"/>
    <x v="2"/>
    <x v="6"/>
    <x v="11"/>
    <x v="0"/>
    <x v="1"/>
    <n v="7.5"/>
    <x v="4"/>
    <x v="4"/>
    <x v="0"/>
    <x v="0"/>
    <x v="2"/>
    <x v="2"/>
    <s v="KGJ"/>
    <n v="1"/>
    <x v="1"/>
    <s v="1 x 9cm"/>
    <m/>
    <x v="1"/>
    <x v="0"/>
    <x v="0"/>
    <x v="0"/>
    <x v="1"/>
    <x v="1"/>
    <x v="0"/>
    <x v="0"/>
    <x v="0"/>
    <x v="1"/>
    <n v="11.372399999999999"/>
  </r>
  <r>
    <x v="11"/>
    <x v="2"/>
    <x v="6"/>
    <x v="11"/>
    <x v="0"/>
    <x v="1"/>
    <n v="7.5"/>
    <x v="5"/>
    <x v="5"/>
    <x v="0"/>
    <x v="0"/>
    <x v="2"/>
    <x v="2"/>
    <s v="KGM"/>
    <n v="2"/>
    <x v="5"/>
    <m/>
    <m/>
    <x v="1"/>
    <x v="0"/>
    <x v="0"/>
    <x v="0"/>
    <x v="0"/>
    <x v="1"/>
    <x v="0"/>
    <x v="0"/>
    <x v="0"/>
    <x v="1"/>
    <n v="1645.3125"/>
  </r>
  <r>
    <x v="11"/>
    <x v="2"/>
    <x v="6"/>
    <x v="11"/>
    <x v="0"/>
    <x v="1"/>
    <n v="7.5"/>
    <x v="5"/>
    <x v="5"/>
    <x v="0"/>
    <x v="0"/>
    <x v="2"/>
    <x v="2"/>
    <s v="KGJ"/>
    <n v="1"/>
    <x v="1"/>
    <m/>
    <s v="1 x 11cm"/>
    <x v="1"/>
    <x v="0"/>
    <x v="0"/>
    <x v="0"/>
    <x v="1"/>
    <x v="1"/>
    <x v="0"/>
    <x v="0"/>
    <x v="0"/>
    <x v="1"/>
    <n v="20.7636"/>
  </r>
  <r>
    <x v="11"/>
    <x v="2"/>
    <x v="6"/>
    <x v="11"/>
    <x v="0"/>
    <x v="1"/>
    <n v="7.5"/>
    <x v="5"/>
    <x v="5"/>
    <x v="0"/>
    <x v="0"/>
    <x v="0"/>
    <x v="0"/>
    <s v="BRF"/>
    <n v="10"/>
    <x v="7"/>
    <m/>
    <s v="1 x 11cm; 2 x 12cm"/>
    <x v="3"/>
    <x v="3"/>
    <x v="4"/>
    <x v="0"/>
    <x v="1"/>
    <x v="1"/>
    <x v="0"/>
    <x v="0"/>
    <x v="0"/>
    <x v="14"/>
    <n v="1821.1937499999999"/>
  </r>
  <r>
    <x v="11"/>
    <x v="2"/>
    <x v="6"/>
    <x v="11"/>
    <x v="0"/>
    <x v="1"/>
    <n v="7.5"/>
    <x v="5"/>
    <x v="5"/>
    <x v="0"/>
    <x v="0"/>
    <x v="2"/>
    <x v="2"/>
    <s v="KGF"/>
    <n v="1"/>
    <x v="3"/>
    <m/>
    <m/>
    <x v="1"/>
    <x v="0"/>
    <x v="0"/>
    <x v="2"/>
    <x v="1"/>
    <x v="1"/>
    <x v="0"/>
    <x v="0"/>
    <x v="0"/>
    <x v="1"/>
    <n v="535.51874999999995"/>
  </r>
  <r>
    <x v="11"/>
    <x v="2"/>
    <x v="6"/>
    <x v="11"/>
    <x v="0"/>
    <x v="1"/>
    <n v="7.5"/>
    <x v="5"/>
    <x v="5"/>
    <x v="0"/>
    <x v="0"/>
    <x v="5"/>
    <x v="3"/>
    <s v="Warbonnet"/>
    <n v="1"/>
    <x v="1"/>
    <m/>
    <s v="1 x 11cm"/>
    <x v="1"/>
    <x v="0"/>
    <x v="0"/>
    <x v="0"/>
    <x v="1"/>
    <x v="1"/>
    <x v="0"/>
    <x v="0"/>
    <x v="0"/>
    <x v="1"/>
    <n v="5.9757384313780317"/>
  </r>
  <r>
    <x v="12"/>
    <x v="2"/>
    <x v="8"/>
    <x v="13"/>
    <x v="0"/>
    <x v="3"/>
    <s v="7 to 6"/>
    <x v="0"/>
    <x v="0"/>
    <x v="0"/>
    <x v="0"/>
    <x v="0"/>
    <x v="0"/>
    <s v="BRF"/>
    <n v="108"/>
    <x v="8"/>
    <m/>
    <s v="12, 12, 4 x 15cm, 23 x 12cm, 8 x 13cm, 12, 12, 60 x 10-13cm"/>
    <x v="1"/>
    <x v="3"/>
    <x v="4"/>
    <x v="0"/>
    <x v="3"/>
    <x v="0"/>
    <x v="0"/>
    <x v="0"/>
    <x v="0"/>
    <x v="15"/>
    <n v="12015.790625"/>
  </r>
  <r>
    <x v="12"/>
    <x v="2"/>
    <x v="8"/>
    <x v="13"/>
    <x v="0"/>
    <x v="3"/>
    <s v="7 to 6"/>
    <x v="0"/>
    <x v="0"/>
    <x v="0"/>
    <x v="0"/>
    <x v="2"/>
    <x v="2"/>
    <s v="KGM"/>
    <n v="5"/>
    <x v="0"/>
    <m/>
    <m/>
    <x v="1"/>
    <x v="0"/>
    <x v="0"/>
    <x v="3"/>
    <x v="3"/>
    <x v="1"/>
    <x v="0"/>
    <x v="0"/>
    <x v="0"/>
    <x v="1"/>
    <n v="3539.0062499999999"/>
  </r>
  <r>
    <x v="12"/>
    <x v="2"/>
    <x v="8"/>
    <x v="13"/>
    <x v="0"/>
    <x v="3"/>
    <s v="7 to 6"/>
    <x v="0"/>
    <x v="0"/>
    <x v="0"/>
    <x v="0"/>
    <x v="2"/>
    <x v="2"/>
    <s v="KGF"/>
    <n v="1"/>
    <x v="3"/>
    <m/>
    <m/>
    <x v="1"/>
    <x v="2"/>
    <x v="0"/>
    <x v="0"/>
    <x v="1"/>
    <x v="1"/>
    <x v="0"/>
    <x v="0"/>
    <x v="0"/>
    <x v="1"/>
    <n v="177.69374999999999"/>
  </r>
  <r>
    <x v="12"/>
    <x v="2"/>
    <x v="8"/>
    <x v="13"/>
    <x v="0"/>
    <x v="3"/>
    <s v="7 to 6"/>
    <x v="0"/>
    <x v="0"/>
    <x v="0"/>
    <x v="0"/>
    <x v="10"/>
    <x v="0"/>
    <s v="YTR"/>
    <n v="2"/>
    <x v="1"/>
    <s v="7, 7"/>
    <m/>
    <x v="1"/>
    <x v="0"/>
    <x v="0"/>
    <x v="0"/>
    <x v="1"/>
    <x v="1"/>
    <x v="0"/>
    <x v="0"/>
    <x v="0"/>
    <x v="8"/>
    <n v="8.8535261319409582"/>
  </r>
  <r>
    <x v="12"/>
    <x v="2"/>
    <x v="8"/>
    <x v="13"/>
    <x v="0"/>
    <x v="3"/>
    <s v="7 to 6"/>
    <x v="0"/>
    <x v="0"/>
    <x v="0"/>
    <x v="0"/>
    <x v="4"/>
    <x v="4"/>
    <s v="LC"/>
    <n v="1"/>
    <x v="3"/>
    <m/>
    <m/>
    <x v="1"/>
    <x v="0"/>
    <x v="0"/>
    <x v="0"/>
    <x v="1"/>
    <x v="1"/>
    <x v="0"/>
    <x v="4"/>
    <x v="0"/>
    <x v="1"/>
    <n v="2808"/>
  </r>
  <r>
    <x v="12"/>
    <x v="2"/>
    <x v="8"/>
    <x v="13"/>
    <x v="0"/>
    <x v="3"/>
    <s v="7 to 6"/>
    <x v="0"/>
    <x v="0"/>
    <x v="0"/>
    <x v="0"/>
    <x v="8"/>
    <x v="6"/>
    <s v="Striped Perch"/>
    <n v="1"/>
    <x v="1"/>
    <m/>
    <n v="1"/>
    <x v="1"/>
    <x v="0"/>
    <x v="0"/>
    <x v="0"/>
    <x v="1"/>
    <x v="1"/>
    <x v="0"/>
    <x v="0"/>
    <x v="0"/>
    <x v="1"/>
    <n v="798.34319624037357"/>
  </r>
  <r>
    <x v="12"/>
    <x v="2"/>
    <x v="8"/>
    <x v="13"/>
    <x v="0"/>
    <x v="3"/>
    <s v="6 to 7.5"/>
    <x v="1"/>
    <x v="1"/>
    <x v="0"/>
    <x v="0"/>
    <x v="0"/>
    <x v="0"/>
    <s v="BRF"/>
    <n v="200"/>
    <x v="9"/>
    <m/>
    <s v="35 x 12cm, 150 x 12cm, 13, 14, 13, 13, 14"/>
    <x v="8"/>
    <x v="6"/>
    <x v="2"/>
    <x v="0"/>
    <x v="2"/>
    <x v="2"/>
    <x v="0"/>
    <x v="0"/>
    <x v="0"/>
    <x v="16"/>
    <n v="5914.2640624999995"/>
  </r>
  <r>
    <x v="12"/>
    <x v="2"/>
    <x v="8"/>
    <x v="13"/>
    <x v="0"/>
    <x v="3"/>
    <s v="6 to 7.5"/>
    <x v="1"/>
    <x v="1"/>
    <x v="0"/>
    <x v="0"/>
    <x v="2"/>
    <x v="2"/>
    <s v="KGJ"/>
    <n v="1"/>
    <x v="1"/>
    <m/>
    <s v="13cm"/>
    <x v="1"/>
    <x v="0"/>
    <x v="0"/>
    <x v="0"/>
    <x v="1"/>
    <x v="1"/>
    <x v="0"/>
    <x v="0"/>
    <x v="0"/>
    <x v="1"/>
    <n v="34.273199999999996"/>
  </r>
  <r>
    <x v="12"/>
    <x v="2"/>
    <x v="8"/>
    <x v="13"/>
    <x v="0"/>
    <x v="3"/>
    <s v="6 to 7.5"/>
    <x v="1"/>
    <x v="1"/>
    <x v="0"/>
    <x v="0"/>
    <x v="2"/>
    <x v="2"/>
    <s v="KGM"/>
    <n v="5"/>
    <x v="0"/>
    <m/>
    <m/>
    <x v="1"/>
    <x v="0"/>
    <x v="0"/>
    <x v="2"/>
    <x v="3"/>
    <x v="2"/>
    <x v="0"/>
    <x v="0"/>
    <x v="0"/>
    <x v="1"/>
    <n v="4201.03125"/>
  </r>
  <r>
    <x v="12"/>
    <x v="2"/>
    <x v="8"/>
    <x v="13"/>
    <x v="0"/>
    <x v="3"/>
    <s v="6 to 7.5"/>
    <x v="1"/>
    <x v="1"/>
    <x v="0"/>
    <x v="0"/>
    <x v="7"/>
    <x v="0"/>
    <s v="CRF"/>
    <n v="3"/>
    <x v="3"/>
    <s v="4, 4"/>
    <m/>
    <x v="1"/>
    <x v="0"/>
    <x v="0"/>
    <x v="0"/>
    <x v="2"/>
    <x v="1"/>
    <x v="0"/>
    <x v="0"/>
    <x v="0"/>
    <x v="17"/>
    <n v="925.09156250000012"/>
  </r>
  <r>
    <x v="12"/>
    <x v="2"/>
    <x v="8"/>
    <x v="13"/>
    <x v="0"/>
    <x v="3"/>
    <s v="6 to 7.5"/>
    <x v="1"/>
    <x v="1"/>
    <x v="0"/>
    <x v="0"/>
    <x v="10"/>
    <x v="0"/>
    <s v="China RF"/>
    <n v="7"/>
    <x v="7"/>
    <m/>
    <m/>
    <x v="0"/>
    <x v="0"/>
    <x v="1"/>
    <x v="1"/>
    <x v="1"/>
    <x v="1"/>
    <x v="0"/>
    <x v="0"/>
    <x v="0"/>
    <x v="18"/>
    <n v="3713.7706262644788"/>
  </r>
  <r>
    <x v="12"/>
    <x v="2"/>
    <x v="8"/>
    <x v="13"/>
    <x v="0"/>
    <x v="3"/>
    <s v="6 to 7.5"/>
    <x v="1"/>
    <x v="1"/>
    <x v="0"/>
    <x v="0"/>
    <x v="9"/>
    <x v="3"/>
    <s v="Painted greenling"/>
    <n v="1"/>
    <x v="3"/>
    <m/>
    <m/>
    <x v="0"/>
    <x v="0"/>
    <x v="0"/>
    <x v="0"/>
    <x v="1"/>
    <x v="1"/>
    <x v="0"/>
    <x v="0"/>
    <x v="0"/>
    <x v="1"/>
    <n v="442.61999999999995"/>
  </r>
  <r>
    <x v="12"/>
    <x v="2"/>
    <x v="8"/>
    <x v="13"/>
    <x v="0"/>
    <x v="3"/>
    <s v="6 to 7.5"/>
    <x v="1"/>
    <x v="1"/>
    <x v="0"/>
    <x v="0"/>
    <x v="10"/>
    <x v="0"/>
    <s v="Blue rf"/>
    <n v="9"/>
    <x v="1"/>
    <m/>
    <s v="9 x 14cm"/>
    <x v="1"/>
    <x v="0"/>
    <x v="0"/>
    <x v="0"/>
    <x v="1"/>
    <x v="1"/>
    <x v="0"/>
    <x v="0"/>
    <x v="0"/>
    <x v="8"/>
    <n v="376.42001130275077"/>
  </r>
  <r>
    <x v="12"/>
    <x v="2"/>
    <x v="8"/>
    <x v="13"/>
    <x v="0"/>
    <x v="1"/>
    <s v="8.5 to 9"/>
    <x v="2"/>
    <x v="2"/>
    <x v="0"/>
    <x v="0"/>
    <x v="2"/>
    <x v="2"/>
    <s v="KGF"/>
    <n v="1"/>
    <x v="3"/>
    <m/>
    <m/>
    <x v="1"/>
    <x v="0"/>
    <x v="0"/>
    <x v="2"/>
    <x v="1"/>
    <x v="1"/>
    <x v="0"/>
    <x v="0"/>
    <x v="0"/>
    <x v="1"/>
    <n v="535.51874999999995"/>
  </r>
  <r>
    <x v="12"/>
    <x v="2"/>
    <x v="8"/>
    <x v="13"/>
    <x v="0"/>
    <x v="1"/>
    <s v="8.5 to 9"/>
    <x v="2"/>
    <x v="2"/>
    <x v="0"/>
    <x v="0"/>
    <x v="2"/>
    <x v="2"/>
    <s v="KGJ"/>
    <n v="4"/>
    <x v="1"/>
    <m/>
    <s v="12, 10, 10, 11"/>
    <x v="1"/>
    <x v="0"/>
    <x v="0"/>
    <x v="0"/>
    <x v="1"/>
    <x v="1"/>
    <x v="0"/>
    <x v="0"/>
    <x v="0"/>
    <x v="1"/>
    <n v="78.920400000000001"/>
  </r>
  <r>
    <x v="12"/>
    <x v="2"/>
    <x v="8"/>
    <x v="13"/>
    <x v="0"/>
    <x v="1"/>
    <s v="8.5 to 9"/>
    <x v="2"/>
    <x v="2"/>
    <x v="0"/>
    <x v="0"/>
    <x v="2"/>
    <x v="2"/>
    <s v="KGM"/>
    <n v="4"/>
    <x v="6"/>
    <m/>
    <m/>
    <x v="0"/>
    <x v="0"/>
    <x v="0"/>
    <x v="3"/>
    <x v="2"/>
    <x v="1"/>
    <x v="0"/>
    <x v="0"/>
    <x v="0"/>
    <x v="1"/>
    <n v="1977.3"/>
  </r>
  <r>
    <x v="12"/>
    <x v="2"/>
    <x v="8"/>
    <x v="13"/>
    <x v="0"/>
    <x v="1"/>
    <s v="8.5 to 9"/>
    <x v="2"/>
    <x v="2"/>
    <x v="0"/>
    <x v="0"/>
    <x v="4"/>
    <x v="4"/>
    <s v="LC"/>
    <n v="1"/>
    <x v="3"/>
    <m/>
    <m/>
    <x v="1"/>
    <x v="0"/>
    <x v="0"/>
    <x v="0"/>
    <x v="1"/>
    <x v="1"/>
    <x v="0"/>
    <x v="5"/>
    <x v="0"/>
    <x v="1"/>
    <n v="3570.125"/>
  </r>
  <r>
    <x v="12"/>
    <x v="2"/>
    <x v="8"/>
    <x v="13"/>
    <x v="0"/>
    <x v="1"/>
    <s v="8.5 to 9"/>
    <x v="2"/>
    <x v="2"/>
    <x v="0"/>
    <x v="0"/>
    <x v="0"/>
    <x v="0"/>
    <s v="BRF"/>
    <n v="4"/>
    <x v="6"/>
    <m/>
    <m/>
    <x v="0"/>
    <x v="3"/>
    <x v="2"/>
    <x v="0"/>
    <x v="1"/>
    <x v="1"/>
    <x v="0"/>
    <x v="0"/>
    <x v="0"/>
    <x v="19"/>
    <n v="1032.58125"/>
  </r>
  <r>
    <x v="12"/>
    <x v="2"/>
    <x v="8"/>
    <x v="13"/>
    <x v="0"/>
    <x v="1"/>
    <n v="9"/>
    <x v="3"/>
    <x v="3"/>
    <x v="0"/>
    <x v="0"/>
    <x v="0"/>
    <x v="0"/>
    <s v="BRF"/>
    <n v="20"/>
    <x v="10"/>
    <m/>
    <m/>
    <x v="9"/>
    <x v="7"/>
    <x v="6"/>
    <x v="1"/>
    <x v="1"/>
    <x v="1"/>
    <x v="0"/>
    <x v="0"/>
    <x v="0"/>
    <x v="20"/>
    <n v="6996.6281249999993"/>
  </r>
  <r>
    <x v="12"/>
    <x v="2"/>
    <x v="8"/>
    <x v="13"/>
    <x v="0"/>
    <x v="1"/>
    <n v="9"/>
    <x v="3"/>
    <x v="3"/>
    <x v="0"/>
    <x v="0"/>
    <x v="2"/>
    <x v="2"/>
    <s v="KGM"/>
    <n v="3"/>
    <x v="4"/>
    <m/>
    <m/>
    <x v="1"/>
    <x v="0"/>
    <x v="0"/>
    <x v="3"/>
    <x v="2"/>
    <x v="1"/>
    <x v="0"/>
    <x v="0"/>
    <x v="0"/>
    <x v="1"/>
    <n v="1893.6937499999999"/>
  </r>
  <r>
    <x v="12"/>
    <x v="2"/>
    <x v="8"/>
    <x v="13"/>
    <x v="0"/>
    <x v="1"/>
    <n v="9"/>
    <x v="3"/>
    <x v="3"/>
    <x v="0"/>
    <x v="0"/>
    <x v="7"/>
    <x v="0"/>
    <s v="CRF"/>
    <n v="6"/>
    <x v="4"/>
    <s v="5, 4, 4"/>
    <m/>
    <x v="1"/>
    <x v="0"/>
    <x v="0"/>
    <x v="3"/>
    <x v="2"/>
    <x v="1"/>
    <x v="0"/>
    <x v="0"/>
    <x v="0"/>
    <x v="21"/>
    <n v="2128.7634375000002"/>
  </r>
  <r>
    <x v="12"/>
    <x v="2"/>
    <x v="8"/>
    <x v="13"/>
    <x v="0"/>
    <x v="1"/>
    <n v="9"/>
    <x v="3"/>
    <x v="3"/>
    <x v="0"/>
    <x v="0"/>
    <x v="10"/>
    <x v="0"/>
    <s v="unidentified rockfish"/>
    <n v="0"/>
    <x v="1"/>
    <s v="6cm"/>
    <m/>
    <x v="1"/>
    <x v="0"/>
    <x v="0"/>
    <x v="0"/>
    <x v="1"/>
    <x v="1"/>
    <x v="0"/>
    <x v="0"/>
    <x v="0"/>
    <x v="8"/>
    <n v="3.7800000000000002"/>
  </r>
  <r>
    <x v="12"/>
    <x v="2"/>
    <x v="8"/>
    <x v="13"/>
    <x v="0"/>
    <x v="1"/>
    <n v="9"/>
    <x v="3"/>
    <x v="3"/>
    <x v="0"/>
    <x v="0"/>
    <x v="8"/>
    <x v="6"/>
    <s v="Striped Perch"/>
    <n v="4"/>
    <x v="6"/>
    <m/>
    <n v="0"/>
    <x v="4"/>
    <x v="3"/>
    <x v="7"/>
    <x v="4"/>
    <x v="1"/>
    <x v="1"/>
    <x v="0"/>
    <x v="0"/>
    <x v="0"/>
    <x v="1"/>
    <n v="6169.1974466499905"/>
  </r>
  <r>
    <x v="12"/>
    <x v="2"/>
    <x v="8"/>
    <x v="13"/>
    <x v="0"/>
    <x v="1"/>
    <n v="9"/>
    <x v="3"/>
    <x v="3"/>
    <x v="0"/>
    <x v="0"/>
    <x v="2"/>
    <x v="2"/>
    <s v="KGF"/>
    <n v="1"/>
    <x v="3"/>
    <m/>
    <m/>
    <x v="1"/>
    <x v="0"/>
    <x v="2"/>
    <x v="0"/>
    <x v="1"/>
    <x v="1"/>
    <x v="0"/>
    <x v="0"/>
    <x v="0"/>
    <x v="1"/>
    <n v="324.43124999999998"/>
  </r>
  <r>
    <x v="12"/>
    <x v="2"/>
    <x v="8"/>
    <x v="13"/>
    <x v="0"/>
    <x v="1"/>
    <n v="9"/>
    <x v="3"/>
    <x v="3"/>
    <x v="0"/>
    <x v="0"/>
    <x v="10"/>
    <x v="0"/>
    <s v="Vermillion rockfish"/>
    <n v="3"/>
    <x v="1"/>
    <m/>
    <s v="3 x 11cm"/>
    <x v="1"/>
    <x v="0"/>
    <x v="0"/>
    <x v="0"/>
    <x v="1"/>
    <x v="1"/>
    <x v="0"/>
    <x v="0"/>
    <x v="0"/>
    <x v="8"/>
    <n v="70.688581379745784"/>
  </r>
  <r>
    <x v="13"/>
    <x v="2"/>
    <x v="7"/>
    <x v="14"/>
    <x v="0"/>
    <x v="1"/>
    <n v="6"/>
    <x v="2"/>
    <x v="2"/>
    <x v="0"/>
    <x v="0"/>
    <x v="0"/>
    <x v="0"/>
    <s v="BRF"/>
    <n v="111"/>
    <x v="11"/>
    <m/>
    <s v="3; 100 x 10-12cm"/>
    <x v="6"/>
    <x v="3"/>
    <x v="2"/>
    <x v="2"/>
    <x v="1"/>
    <x v="1"/>
    <x v="0"/>
    <x v="0"/>
    <x v="0"/>
    <x v="22"/>
    <n v="6340.8796874999998"/>
  </r>
  <r>
    <x v="13"/>
    <x v="2"/>
    <x v="7"/>
    <x v="14"/>
    <x v="0"/>
    <x v="1"/>
    <n v="6"/>
    <x v="2"/>
    <x v="2"/>
    <x v="0"/>
    <x v="0"/>
    <x v="8"/>
    <x v="6"/>
    <s v="Striped Perch"/>
    <n v="1"/>
    <x v="3"/>
    <m/>
    <n v="0"/>
    <x v="0"/>
    <x v="8"/>
    <x v="7"/>
    <x v="4"/>
    <x v="1"/>
    <x v="1"/>
    <x v="0"/>
    <x v="0"/>
    <x v="0"/>
    <x v="1"/>
    <n v="1275.5755960928645"/>
  </r>
  <r>
    <x v="13"/>
    <x v="2"/>
    <x v="7"/>
    <x v="14"/>
    <x v="0"/>
    <x v="1"/>
    <n v="6"/>
    <x v="2"/>
    <x v="2"/>
    <x v="0"/>
    <x v="0"/>
    <x v="2"/>
    <x v="2"/>
    <s v="KGM"/>
    <n v="2"/>
    <x v="5"/>
    <m/>
    <m/>
    <x v="1"/>
    <x v="0"/>
    <x v="2"/>
    <x v="0"/>
    <x v="2"/>
    <x v="1"/>
    <x v="0"/>
    <x v="0"/>
    <x v="0"/>
    <x v="1"/>
    <n v="1147.0875000000001"/>
  </r>
  <r>
    <x v="13"/>
    <x v="2"/>
    <x v="7"/>
    <x v="14"/>
    <x v="0"/>
    <x v="1"/>
    <n v="6"/>
    <x v="2"/>
    <x v="2"/>
    <x v="0"/>
    <x v="0"/>
    <x v="7"/>
    <x v="0"/>
    <s v="CRF"/>
    <n v="3"/>
    <x v="1"/>
    <s v="3 x 4cm"/>
    <m/>
    <x v="1"/>
    <x v="0"/>
    <x v="0"/>
    <x v="0"/>
    <x v="1"/>
    <x v="1"/>
    <x v="0"/>
    <x v="0"/>
    <x v="0"/>
    <x v="8"/>
    <n v="3.3600000000000003"/>
  </r>
  <r>
    <x v="13"/>
    <x v="2"/>
    <x v="7"/>
    <x v="14"/>
    <x v="0"/>
    <x v="1"/>
    <s v="6.0 to 6.5m"/>
    <x v="3"/>
    <x v="3"/>
    <x v="0"/>
    <x v="0"/>
    <x v="2"/>
    <x v="2"/>
    <s v="KGM"/>
    <n v="10"/>
    <x v="9"/>
    <m/>
    <m/>
    <x v="4"/>
    <x v="1"/>
    <x v="1"/>
    <x v="2"/>
    <x v="1"/>
    <x v="2"/>
    <x v="0"/>
    <x v="0"/>
    <x v="0"/>
    <x v="1"/>
    <n v="3406.6499999999996"/>
  </r>
  <r>
    <x v="13"/>
    <x v="2"/>
    <x v="7"/>
    <x v="14"/>
    <x v="0"/>
    <x v="1"/>
    <s v="6.0 to 6.5m"/>
    <x v="3"/>
    <x v="3"/>
    <x v="0"/>
    <x v="0"/>
    <x v="7"/>
    <x v="0"/>
    <s v="CRF"/>
    <n v="57"/>
    <x v="3"/>
    <s v="3cm, 55 x 4cm"/>
    <m/>
    <x v="1"/>
    <x v="0"/>
    <x v="0"/>
    <x v="2"/>
    <x v="1"/>
    <x v="1"/>
    <x v="0"/>
    <x v="0"/>
    <x v="0"/>
    <x v="5"/>
    <n v="662.8146875000001"/>
  </r>
  <r>
    <x v="13"/>
    <x v="2"/>
    <x v="7"/>
    <x v="14"/>
    <x v="0"/>
    <x v="1"/>
    <s v="6.0 to 6.5m"/>
    <x v="3"/>
    <x v="3"/>
    <x v="0"/>
    <x v="0"/>
    <x v="2"/>
    <x v="2"/>
    <s v="KGJ"/>
    <n v="1"/>
    <x v="1"/>
    <m/>
    <s v="13cm"/>
    <x v="1"/>
    <x v="0"/>
    <x v="0"/>
    <x v="0"/>
    <x v="1"/>
    <x v="1"/>
    <x v="0"/>
    <x v="0"/>
    <x v="0"/>
    <x v="1"/>
    <n v="34.273199999999996"/>
  </r>
  <r>
    <x v="13"/>
    <x v="2"/>
    <x v="7"/>
    <x v="14"/>
    <x v="0"/>
    <x v="1"/>
    <s v="6.0 to 6.5m"/>
    <x v="3"/>
    <x v="3"/>
    <x v="0"/>
    <x v="0"/>
    <x v="1"/>
    <x v="1"/>
    <s v="TS"/>
    <n v="35"/>
    <x v="1"/>
    <s v="35 x 3-4cm"/>
    <m/>
    <x v="1"/>
    <x v="0"/>
    <x v="0"/>
    <x v="0"/>
    <x v="1"/>
    <x v="1"/>
    <x v="0"/>
    <x v="0"/>
    <x v="0"/>
    <x v="1"/>
    <n v="1.0286826803532687"/>
  </r>
  <r>
    <x v="13"/>
    <x v="2"/>
    <x v="7"/>
    <x v="14"/>
    <x v="0"/>
    <x v="1"/>
    <s v="6.0 to 6.5m"/>
    <x v="3"/>
    <x v="3"/>
    <x v="0"/>
    <x v="0"/>
    <x v="2"/>
    <x v="2"/>
    <s v="KGF"/>
    <n v="1"/>
    <x v="3"/>
    <m/>
    <m/>
    <x v="1"/>
    <x v="0"/>
    <x v="0"/>
    <x v="0"/>
    <x v="2"/>
    <x v="1"/>
    <x v="0"/>
    <x v="0"/>
    <x v="0"/>
    <x v="1"/>
    <n v="822.65625"/>
  </r>
  <r>
    <x v="13"/>
    <x v="2"/>
    <x v="7"/>
    <x v="14"/>
    <x v="0"/>
    <x v="1"/>
    <s v="6.0 to 6.5m"/>
    <x v="3"/>
    <x v="3"/>
    <x v="0"/>
    <x v="0"/>
    <x v="8"/>
    <x v="6"/>
    <s v="Striped Perch"/>
    <n v="3"/>
    <x v="1"/>
    <m/>
    <n v="3"/>
    <x v="10"/>
    <x v="8"/>
    <x v="7"/>
    <x v="4"/>
    <x v="1"/>
    <x v="1"/>
    <x v="0"/>
    <x v="0"/>
    <x v="0"/>
    <x v="1"/>
    <n v="2395.0295887211205"/>
  </r>
  <r>
    <x v="13"/>
    <x v="2"/>
    <x v="7"/>
    <x v="14"/>
    <x v="0"/>
    <x v="1"/>
    <s v="6.0 to 6.5m"/>
    <x v="3"/>
    <x v="3"/>
    <x v="0"/>
    <x v="0"/>
    <x v="0"/>
    <x v="0"/>
    <s v="BRF"/>
    <n v="3"/>
    <x v="5"/>
    <m/>
    <n v="1"/>
    <x v="0"/>
    <x v="2"/>
    <x v="0"/>
    <x v="0"/>
    <x v="1"/>
    <x v="1"/>
    <x v="0"/>
    <x v="0"/>
    <x v="0"/>
    <x v="11"/>
    <n v="394.63593749999995"/>
  </r>
  <r>
    <x v="14"/>
    <x v="2"/>
    <x v="8"/>
    <x v="13"/>
    <x v="0"/>
    <x v="2"/>
    <s v="5.5-7m"/>
    <x v="4"/>
    <x v="4"/>
    <x v="0"/>
    <x v="0"/>
    <x v="2"/>
    <x v="2"/>
    <s v="KGJ"/>
    <n v="10"/>
    <x v="1"/>
    <m/>
    <s v="10, 12, 12, 13, 13,12,14,14,13,11"/>
    <x v="1"/>
    <x v="0"/>
    <x v="0"/>
    <x v="0"/>
    <x v="1"/>
    <x v="1"/>
    <x v="0"/>
    <x v="0"/>
    <x v="0"/>
    <x v="1"/>
    <n v="305.66639999999995"/>
  </r>
  <r>
    <x v="14"/>
    <x v="2"/>
    <x v="8"/>
    <x v="13"/>
    <x v="0"/>
    <x v="2"/>
    <s v="5.5-7m"/>
    <x v="4"/>
    <x v="4"/>
    <x v="0"/>
    <x v="0"/>
    <x v="2"/>
    <x v="2"/>
    <s v="KGM"/>
    <n v="2"/>
    <x v="5"/>
    <m/>
    <m/>
    <x v="4"/>
    <x v="0"/>
    <x v="0"/>
    <x v="0"/>
    <x v="1"/>
    <x v="1"/>
    <x v="0"/>
    <x v="0"/>
    <x v="0"/>
    <x v="1"/>
    <n v="167.21250000000001"/>
  </r>
  <r>
    <x v="14"/>
    <x v="2"/>
    <x v="8"/>
    <x v="13"/>
    <x v="0"/>
    <x v="2"/>
    <s v="5.5-7m"/>
    <x v="4"/>
    <x v="4"/>
    <x v="0"/>
    <x v="0"/>
    <x v="0"/>
    <x v="0"/>
    <s v="BRF"/>
    <n v="11"/>
    <x v="1"/>
    <s v="8, 7"/>
    <s v="7 x 12cm, 13, 13"/>
    <x v="1"/>
    <x v="0"/>
    <x v="0"/>
    <x v="0"/>
    <x v="1"/>
    <x v="1"/>
    <x v="0"/>
    <x v="0"/>
    <x v="0"/>
    <x v="8"/>
    <n v="370.8984375"/>
  </r>
  <r>
    <x v="14"/>
    <x v="2"/>
    <x v="8"/>
    <x v="13"/>
    <x v="0"/>
    <x v="2"/>
    <s v="5.5-7m"/>
    <x v="4"/>
    <x v="4"/>
    <x v="0"/>
    <x v="0"/>
    <x v="2"/>
    <x v="2"/>
    <s v="KGF"/>
    <n v="2"/>
    <x v="5"/>
    <m/>
    <m/>
    <x v="1"/>
    <x v="2"/>
    <x v="2"/>
    <x v="0"/>
    <x v="1"/>
    <x v="1"/>
    <x v="0"/>
    <x v="0"/>
    <x v="0"/>
    <x v="1"/>
    <n v="502.125"/>
  </r>
  <r>
    <x v="14"/>
    <x v="2"/>
    <x v="8"/>
    <x v="13"/>
    <x v="0"/>
    <x v="2"/>
    <s v="5.5-7m"/>
    <x v="4"/>
    <x v="4"/>
    <x v="0"/>
    <x v="0"/>
    <x v="7"/>
    <x v="0"/>
    <s v="CRF"/>
    <n v="8"/>
    <x v="1"/>
    <s v="4, 4, 5, 3, 4, 5, 4, 5"/>
    <m/>
    <x v="1"/>
    <x v="0"/>
    <x v="0"/>
    <x v="0"/>
    <x v="1"/>
    <x v="1"/>
    <x v="0"/>
    <x v="0"/>
    <x v="0"/>
    <x v="8"/>
    <n v="11.515000000000001"/>
  </r>
  <r>
    <x v="14"/>
    <x v="2"/>
    <x v="8"/>
    <x v="13"/>
    <x v="0"/>
    <x v="2"/>
    <s v="5.5-7m"/>
    <x v="4"/>
    <x v="4"/>
    <x v="0"/>
    <x v="0"/>
    <x v="2"/>
    <x v="2"/>
    <s v="KGF"/>
    <n v="2"/>
    <x v="5"/>
    <m/>
    <m/>
    <x v="1"/>
    <x v="0"/>
    <x v="0"/>
    <x v="0"/>
    <x v="2"/>
    <x v="2"/>
    <x v="0"/>
    <x v="0"/>
    <x v="0"/>
    <x v="1"/>
    <n v="2020.2"/>
  </r>
  <r>
    <x v="14"/>
    <x v="2"/>
    <x v="8"/>
    <x v="13"/>
    <x v="0"/>
    <x v="2"/>
    <s v="5.5-7m"/>
    <x v="4"/>
    <x v="4"/>
    <x v="0"/>
    <x v="0"/>
    <x v="10"/>
    <x v="0"/>
    <s v="China RF"/>
    <n v="3"/>
    <x v="5"/>
    <m/>
    <s v="10cm"/>
    <x v="1"/>
    <x v="0"/>
    <x v="0"/>
    <x v="0"/>
    <x v="2"/>
    <x v="2"/>
    <x v="0"/>
    <x v="0"/>
    <x v="0"/>
    <x v="23"/>
    <n v="2989.2344609433121"/>
  </r>
  <r>
    <x v="14"/>
    <x v="2"/>
    <x v="8"/>
    <x v="13"/>
    <x v="0"/>
    <x v="2"/>
    <s v="7.0-4m"/>
    <x v="5"/>
    <x v="5"/>
    <x v="0"/>
    <x v="0"/>
    <x v="7"/>
    <x v="0"/>
    <s v="CRF"/>
    <n v="43"/>
    <x v="3"/>
    <s v="4, 5, 4, 5, 4, 4, 32 x 4cm, 4 x 5cm"/>
    <m/>
    <x v="1"/>
    <x v="0"/>
    <x v="0"/>
    <x v="2"/>
    <x v="1"/>
    <x v="1"/>
    <x v="0"/>
    <x v="0"/>
    <x v="0"/>
    <x v="5"/>
    <n v="654.18718750000016"/>
  </r>
  <r>
    <x v="14"/>
    <x v="2"/>
    <x v="8"/>
    <x v="13"/>
    <x v="0"/>
    <x v="2"/>
    <s v="7.0-4m"/>
    <x v="5"/>
    <x v="5"/>
    <x v="0"/>
    <x v="0"/>
    <x v="0"/>
    <x v="0"/>
    <s v="BRF"/>
    <n v="21"/>
    <x v="1"/>
    <m/>
    <s v="12, 12, 14, 13, 13, 14, 14, 16, 15,14,14,11,15, 5 x 13cm, 3 x 12cm"/>
    <x v="1"/>
    <x v="0"/>
    <x v="0"/>
    <x v="0"/>
    <x v="1"/>
    <x v="1"/>
    <x v="0"/>
    <x v="0"/>
    <x v="0"/>
    <x v="8"/>
    <n v="865.4296875"/>
  </r>
  <r>
    <x v="14"/>
    <x v="2"/>
    <x v="8"/>
    <x v="13"/>
    <x v="0"/>
    <x v="2"/>
    <s v="7.0-4m"/>
    <x v="5"/>
    <x v="5"/>
    <x v="0"/>
    <x v="0"/>
    <x v="2"/>
    <x v="2"/>
    <s v="KGM"/>
    <n v="5"/>
    <x v="0"/>
    <m/>
    <m/>
    <x v="3"/>
    <x v="2"/>
    <x v="0"/>
    <x v="0"/>
    <x v="1"/>
    <x v="2"/>
    <x v="0"/>
    <x v="0"/>
    <x v="0"/>
    <x v="1"/>
    <n v="1626.0562500000001"/>
  </r>
  <r>
    <x v="14"/>
    <x v="2"/>
    <x v="8"/>
    <x v="13"/>
    <x v="0"/>
    <x v="2"/>
    <s v="7.0-4m"/>
    <x v="5"/>
    <x v="5"/>
    <x v="0"/>
    <x v="0"/>
    <x v="2"/>
    <x v="2"/>
    <s v="KGF"/>
    <n v="2"/>
    <x v="5"/>
    <m/>
    <m/>
    <x v="1"/>
    <x v="2"/>
    <x v="0"/>
    <x v="0"/>
    <x v="2"/>
    <x v="1"/>
    <x v="0"/>
    <x v="0"/>
    <x v="0"/>
    <x v="1"/>
    <n v="1000.35"/>
  </r>
  <r>
    <x v="14"/>
    <x v="2"/>
    <x v="8"/>
    <x v="13"/>
    <x v="0"/>
    <x v="2"/>
    <s v="7.0-4m"/>
    <x v="5"/>
    <x v="5"/>
    <x v="0"/>
    <x v="0"/>
    <x v="2"/>
    <x v="2"/>
    <s v="KGJ"/>
    <n v="4"/>
    <x v="1"/>
    <m/>
    <s v="10, 12, 10, 12"/>
    <x v="1"/>
    <x v="0"/>
    <x v="0"/>
    <x v="0"/>
    <x v="1"/>
    <x v="1"/>
    <x v="0"/>
    <x v="0"/>
    <x v="0"/>
    <x v="1"/>
    <n v="85.113599999999991"/>
  </r>
  <r>
    <x v="14"/>
    <x v="2"/>
    <x v="8"/>
    <x v="13"/>
    <x v="0"/>
    <x v="2"/>
    <s v="7.0-4m"/>
    <x v="5"/>
    <x v="5"/>
    <x v="0"/>
    <x v="0"/>
    <x v="8"/>
    <x v="6"/>
    <s v="Striped Perch"/>
    <n v="1"/>
    <x v="1"/>
    <m/>
    <s v="15cm"/>
    <x v="1"/>
    <x v="0"/>
    <x v="0"/>
    <x v="0"/>
    <x v="1"/>
    <x v="1"/>
    <x v="0"/>
    <x v="0"/>
    <x v="0"/>
    <x v="1"/>
    <n v="1029.269608781784"/>
  </r>
  <r>
    <x v="14"/>
    <x v="2"/>
    <x v="8"/>
    <x v="13"/>
    <x v="0"/>
    <x v="2"/>
    <s v="7.0-4m"/>
    <x v="5"/>
    <x v="5"/>
    <x v="0"/>
    <x v="0"/>
    <x v="1"/>
    <x v="1"/>
    <s v="TS"/>
    <n v="15"/>
    <x v="1"/>
    <s v="15 x 4cm"/>
    <m/>
    <x v="1"/>
    <x v="0"/>
    <x v="0"/>
    <x v="0"/>
    <x v="1"/>
    <x v="1"/>
    <x v="0"/>
    <x v="0"/>
    <x v="0"/>
    <x v="1"/>
    <n v="0.6969747112835798"/>
  </r>
  <r>
    <x v="14"/>
    <x v="2"/>
    <x v="8"/>
    <x v="13"/>
    <x v="0"/>
    <x v="2"/>
    <s v="7-6m"/>
    <x v="6"/>
    <x v="6"/>
    <x v="0"/>
    <x v="0"/>
    <x v="2"/>
    <x v="2"/>
    <s v="KGM"/>
    <n v="3"/>
    <x v="5"/>
    <m/>
    <s v="13cm"/>
    <x v="1"/>
    <x v="2"/>
    <x v="2"/>
    <x v="0"/>
    <x v="1"/>
    <x v="1"/>
    <x v="0"/>
    <x v="0"/>
    <x v="0"/>
    <x v="1"/>
    <n v="536.39819999999997"/>
  </r>
  <r>
    <x v="14"/>
    <x v="2"/>
    <x v="8"/>
    <x v="13"/>
    <x v="0"/>
    <x v="2"/>
    <s v="7-6m"/>
    <x v="6"/>
    <x v="6"/>
    <x v="0"/>
    <x v="0"/>
    <x v="2"/>
    <x v="2"/>
    <s v="KGJ"/>
    <n v="4"/>
    <x v="1"/>
    <m/>
    <s v="14, 14, 14, 12"/>
    <x v="1"/>
    <x v="0"/>
    <x v="0"/>
    <x v="0"/>
    <x v="1"/>
    <x v="1"/>
    <x v="0"/>
    <x v="0"/>
    <x v="0"/>
    <x v="1"/>
    <n v="155.37599999999998"/>
  </r>
  <r>
    <x v="14"/>
    <x v="2"/>
    <x v="8"/>
    <x v="13"/>
    <x v="0"/>
    <x v="2"/>
    <s v="7-6m"/>
    <x v="6"/>
    <x v="6"/>
    <x v="0"/>
    <x v="0"/>
    <x v="1"/>
    <x v="1"/>
    <s v="TS"/>
    <n v="13"/>
    <x v="1"/>
    <s v="13 x 3-4cm"/>
    <m/>
    <x v="1"/>
    <x v="0"/>
    <x v="0"/>
    <x v="0"/>
    <x v="1"/>
    <x v="1"/>
    <x v="0"/>
    <x v="0"/>
    <x v="0"/>
    <x v="1"/>
    <n v="0.38208213841692834"/>
  </r>
  <r>
    <x v="14"/>
    <x v="2"/>
    <x v="8"/>
    <x v="13"/>
    <x v="0"/>
    <x v="2"/>
    <s v="7-6m"/>
    <x v="6"/>
    <x v="6"/>
    <x v="0"/>
    <x v="0"/>
    <x v="7"/>
    <x v="0"/>
    <s v="CRF"/>
    <n v="17"/>
    <x v="1"/>
    <s v="4, 5, 15 x 4cm"/>
    <m/>
    <x v="1"/>
    <x v="0"/>
    <x v="0"/>
    <x v="0"/>
    <x v="1"/>
    <x v="1"/>
    <x v="0"/>
    <x v="0"/>
    <x v="0"/>
    <x v="8"/>
    <n v="20.107500000000002"/>
  </r>
  <r>
    <x v="14"/>
    <x v="2"/>
    <x v="8"/>
    <x v="13"/>
    <x v="0"/>
    <x v="2"/>
    <s v="7-6m"/>
    <x v="6"/>
    <x v="6"/>
    <x v="0"/>
    <x v="0"/>
    <x v="4"/>
    <x v="4"/>
    <s v="LC"/>
    <n v="1"/>
    <x v="3"/>
    <m/>
    <m/>
    <x v="1"/>
    <x v="0"/>
    <x v="0"/>
    <x v="0"/>
    <x v="1"/>
    <x v="2"/>
    <x v="0"/>
    <x v="0"/>
    <x v="0"/>
    <x v="1"/>
    <n v="997.953125"/>
  </r>
  <r>
    <x v="15"/>
    <x v="2"/>
    <x v="6"/>
    <x v="15"/>
    <x v="0"/>
    <x v="5"/>
    <n v="7"/>
    <x v="0"/>
    <x v="6"/>
    <x v="0"/>
    <x v="0"/>
    <x v="0"/>
    <x v="0"/>
    <s v="BRF"/>
    <n v="25"/>
    <x v="3"/>
    <m/>
    <s v="24 x 12cm"/>
    <x v="1"/>
    <x v="2"/>
    <x v="0"/>
    <x v="0"/>
    <x v="1"/>
    <x v="1"/>
    <x v="0"/>
    <x v="0"/>
    <x v="0"/>
    <x v="24"/>
    <n v="1229.4046874999999"/>
  </r>
  <r>
    <x v="15"/>
    <x v="2"/>
    <x v="6"/>
    <x v="15"/>
    <x v="0"/>
    <x v="5"/>
    <n v="7"/>
    <x v="0"/>
    <x v="6"/>
    <x v="0"/>
    <x v="0"/>
    <x v="2"/>
    <x v="2"/>
    <s v="KGJ"/>
    <n v="1"/>
    <x v="1"/>
    <m/>
    <s v="13cm"/>
    <x v="1"/>
    <x v="0"/>
    <x v="0"/>
    <x v="0"/>
    <x v="1"/>
    <x v="1"/>
    <x v="0"/>
    <x v="0"/>
    <x v="0"/>
    <x v="1"/>
    <n v="34.273199999999996"/>
  </r>
  <r>
    <x v="15"/>
    <x v="2"/>
    <x v="6"/>
    <x v="15"/>
    <x v="0"/>
    <x v="5"/>
    <n v="7"/>
    <x v="0"/>
    <x v="6"/>
    <x v="0"/>
    <x v="0"/>
    <x v="2"/>
    <x v="2"/>
    <s v="KGM"/>
    <n v="1"/>
    <x v="3"/>
    <m/>
    <m/>
    <x v="1"/>
    <x v="0"/>
    <x v="0"/>
    <x v="0"/>
    <x v="1"/>
    <x v="2"/>
    <x v="0"/>
    <x v="0"/>
    <x v="0"/>
    <x v="1"/>
    <n v="1197.54375"/>
  </r>
  <r>
    <x v="15"/>
    <x v="2"/>
    <x v="6"/>
    <x v="15"/>
    <x v="0"/>
    <x v="5"/>
    <n v="7"/>
    <x v="0"/>
    <x v="6"/>
    <x v="0"/>
    <x v="0"/>
    <x v="3"/>
    <x v="3"/>
    <s v="Grunt Sculpin"/>
    <n v="1"/>
    <x v="1"/>
    <s v="8cm"/>
    <m/>
    <x v="1"/>
    <x v="0"/>
    <x v="0"/>
    <x v="0"/>
    <x v="1"/>
    <x v="1"/>
    <x v="0"/>
    <x v="0"/>
    <x v="0"/>
    <x v="1"/>
    <n v="5.9937395818191179"/>
  </r>
  <r>
    <x v="15"/>
    <x v="2"/>
    <x v="6"/>
    <x v="15"/>
    <x v="0"/>
    <x v="5"/>
    <n v="7"/>
    <x v="0"/>
    <x v="6"/>
    <x v="0"/>
    <x v="0"/>
    <x v="7"/>
    <x v="0"/>
    <s v="CRF"/>
    <n v="9"/>
    <x v="1"/>
    <s v="9 x 3-4cm"/>
    <m/>
    <x v="1"/>
    <x v="0"/>
    <x v="0"/>
    <x v="0"/>
    <x v="1"/>
    <x v="1"/>
    <x v="0"/>
    <x v="0"/>
    <x v="0"/>
    <x v="8"/>
    <n v="10.080000000000002"/>
  </r>
  <r>
    <x v="15"/>
    <x v="2"/>
    <x v="6"/>
    <x v="15"/>
    <x v="0"/>
    <x v="5"/>
    <n v="7"/>
    <x v="0"/>
    <x v="6"/>
    <x v="0"/>
    <x v="0"/>
    <x v="10"/>
    <x v="0"/>
    <s v="China RF"/>
    <n v="2"/>
    <x v="1"/>
    <s v="8cm, 9cm"/>
    <m/>
    <x v="1"/>
    <x v="0"/>
    <x v="0"/>
    <x v="0"/>
    <x v="1"/>
    <x v="1"/>
    <x v="0"/>
    <x v="0"/>
    <x v="0"/>
    <x v="8"/>
    <n v="21.542583849997314"/>
  </r>
  <r>
    <x v="15"/>
    <x v="2"/>
    <x v="6"/>
    <x v="15"/>
    <x v="0"/>
    <x v="9"/>
    <s v="6 to 7"/>
    <x v="1"/>
    <x v="7"/>
    <x v="0"/>
    <x v="0"/>
    <x v="7"/>
    <x v="0"/>
    <s v="CRF"/>
    <n v="5"/>
    <x v="1"/>
    <s v="4 x 4cm, 3cm"/>
    <m/>
    <x v="1"/>
    <x v="0"/>
    <x v="0"/>
    <x v="0"/>
    <x v="1"/>
    <x v="1"/>
    <x v="0"/>
    <x v="0"/>
    <x v="0"/>
    <x v="8"/>
    <n v="4.9525000000000006"/>
  </r>
  <r>
    <x v="15"/>
    <x v="2"/>
    <x v="6"/>
    <x v="15"/>
    <x v="0"/>
    <x v="9"/>
    <s v="6 to 7"/>
    <x v="1"/>
    <x v="7"/>
    <x v="0"/>
    <x v="0"/>
    <x v="10"/>
    <x v="0"/>
    <s v="China RF"/>
    <n v="1"/>
    <x v="1"/>
    <m/>
    <s v="15cm"/>
    <x v="1"/>
    <x v="0"/>
    <x v="0"/>
    <x v="0"/>
    <x v="1"/>
    <x v="1"/>
    <x v="0"/>
    <x v="0"/>
    <x v="0"/>
    <x v="8"/>
    <n v="64.789952488383747"/>
  </r>
  <r>
    <x v="15"/>
    <x v="2"/>
    <x v="6"/>
    <x v="15"/>
    <x v="0"/>
    <x v="9"/>
    <s v="6 to 7"/>
    <x v="1"/>
    <x v="7"/>
    <x v="0"/>
    <x v="0"/>
    <x v="2"/>
    <x v="2"/>
    <s v="KG"/>
    <n v="1"/>
    <x v="3"/>
    <m/>
    <m/>
    <x v="1"/>
    <x v="0"/>
    <x v="0"/>
    <x v="0"/>
    <x v="2"/>
    <x v="1"/>
    <x v="0"/>
    <x v="0"/>
    <x v="0"/>
    <x v="1"/>
    <n v="822.65625"/>
  </r>
  <r>
    <x v="15"/>
    <x v="2"/>
    <x v="6"/>
    <x v="15"/>
    <x v="0"/>
    <x v="9"/>
    <s v="6 to 7"/>
    <x v="1"/>
    <x v="7"/>
    <x v="0"/>
    <x v="0"/>
    <x v="2"/>
    <x v="2"/>
    <s v="KGJ"/>
    <n v="1"/>
    <x v="1"/>
    <m/>
    <s v="12cm"/>
    <x v="1"/>
    <x v="0"/>
    <x v="0"/>
    <x v="0"/>
    <x v="1"/>
    <x v="1"/>
    <x v="0"/>
    <x v="0"/>
    <x v="0"/>
    <x v="1"/>
    <n v="26.956799999999998"/>
  </r>
  <r>
    <x v="15"/>
    <x v="2"/>
    <x v="6"/>
    <x v="15"/>
    <x v="0"/>
    <x v="9"/>
    <s v="6 to 7"/>
    <x v="1"/>
    <x v="7"/>
    <x v="0"/>
    <x v="0"/>
    <x v="2"/>
    <x v="2"/>
    <s v="KGM"/>
    <n v="1"/>
    <x v="3"/>
    <m/>
    <m/>
    <x v="1"/>
    <x v="0"/>
    <x v="0"/>
    <x v="2"/>
    <x v="1"/>
    <x v="1"/>
    <x v="0"/>
    <x v="0"/>
    <x v="0"/>
    <x v="1"/>
    <n v="535.51874999999995"/>
  </r>
  <r>
    <x v="15"/>
    <x v="2"/>
    <x v="6"/>
    <x v="15"/>
    <x v="0"/>
    <x v="9"/>
    <s v="6 to 7"/>
    <x v="1"/>
    <x v="7"/>
    <x v="0"/>
    <x v="0"/>
    <x v="0"/>
    <x v="0"/>
    <s v="BRF"/>
    <n v="4"/>
    <x v="3"/>
    <m/>
    <s v="13, 12, 13"/>
    <x v="11"/>
    <x v="0"/>
    <x v="0"/>
    <x v="0"/>
    <x v="1"/>
    <x v="1"/>
    <x v="0"/>
    <x v="0"/>
    <x v="0"/>
    <x v="25"/>
    <n v="236.71562499999999"/>
  </r>
  <r>
    <x v="16"/>
    <x v="2"/>
    <x v="7"/>
    <x v="16"/>
    <x v="0"/>
    <x v="10"/>
    <s v="28ft-27ft"/>
    <x v="4"/>
    <x v="4"/>
    <x v="0"/>
    <x v="0"/>
    <x v="7"/>
    <x v="0"/>
    <s v="CRF"/>
    <n v="44"/>
    <x v="1"/>
    <s v="8 x 3-4cm, 29 x 4cm, 5, 6 x 4-5cm"/>
    <m/>
    <x v="1"/>
    <x v="0"/>
    <x v="0"/>
    <x v="0"/>
    <x v="1"/>
    <x v="1"/>
    <x v="0"/>
    <x v="0"/>
    <x v="0"/>
    <x v="8"/>
    <n v="51.572500000000005"/>
  </r>
  <r>
    <x v="16"/>
    <x v="2"/>
    <x v="7"/>
    <x v="16"/>
    <x v="0"/>
    <x v="10"/>
    <s v="28ft-27ft"/>
    <x v="4"/>
    <x v="4"/>
    <x v="0"/>
    <x v="0"/>
    <x v="2"/>
    <x v="2"/>
    <s v="KGJ"/>
    <n v="4"/>
    <x v="1"/>
    <m/>
    <s v="12, 10, 12, 15"/>
    <x v="1"/>
    <x v="0"/>
    <x v="0"/>
    <x v="0"/>
    <x v="1"/>
    <x v="1"/>
    <x v="0"/>
    <x v="0"/>
    <x v="0"/>
    <x v="1"/>
    <n v="122.1636"/>
  </r>
  <r>
    <x v="16"/>
    <x v="2"/>
    <x v="7"/>
    <x v="16"/>
    <x v="0"/>
    <x v="10"/>
    <s v="28ft-27ft"/>
    <x v="4"/>
    <x v="4"/>
    <x v="0"/>
    <x v="0"/>
    <x v="0"/>
    <x v="0"/>
    <s v="BRF"/>
    <n v="9"/>
    <x v="3"/>
    <s v="8cm"/>
    <s v="13cm, 12cm, 5 count"/>
    <x v="1"/>
    <x v="2"/>
    <x v="0"/>
    <x v="0"/>
    <x v="1"/>
    <x v="1"/>
    <x v="0"/>
    <x v="0"/>
    <x v="0"/>
    <x v="24"/>
    <n v="528.81875000000002"/>
  </r>
  <r>
    <x v="16"/>
    <x v="2"/>
    <x v="7"/>
    <x v="16"/>
    <x v="0"/>
    <x v="10"/>
    <s v="28ft-27ft"/>
    <x v="4"/>
    <x v="4"/>
    <x v="0"/>
    <x v="0"/>
    <x v="2"/>
    <x v="2"/>
    <s v="KGM"/>
    <n v="2"/>
    <x v="5"/>
    <m/>
    <m/>
    <x v="0"/>
    <x v="0"/>
    <x v="0"/>
    <x v="0"/>
    <x v="2"/>
    <x v="1"/>
    <x v="0"/>
    <x v="0"/>
    <x v="0"/>
    <x v="1"/>
    <n v="906.26250000000005"/>
  </r>
  <r>
    <x v="16"/>
    <x v="2"/>
    <x v="7"/>
    <x v="16"/>
    <x v="0"/>
    <x v="10"/>
    <s v="28ft-27ft"/>
    <x v="4"/>
    <x v="4"/>
    <x v="0"/>
    <x v="0"/>
    <x v="1"/>
    <x v="1"/>
    <s v="TS"/>
    <n v="30"/>
    <x v="1"/>
    <s v="~30 x 3-5cm"/>
    <m/>
    <x v="1"/>
    <x v="0"/>
    <x v="0"/>
    <x v="0"/>
    <x v="1"/>
    <x v="1"/>
    <x v="0"/>
    <x v="0"/>
    <x v="0"/>
    <x v="1"/>
    <n v="1.3939494225671596"/>
  </r>
  <r>
    <x v="16"/>
    <x v="2"/>
    <x v="7"/>
    <x v="16"/>
    <x v="0"/>
    <x v="10"/>
    <s v="28ft-27ft"/>
    <x v="4"/>
    <x v="4"/>
    <x v="0"/>
    <x v="0"/>
    <x v="5"/>
    <x v="3"/>
    <s v="Warbonnet"/>
    <n v="1"/>
    <x v="1"/>
    <m/>
    <s v="10cm"/>
    <x v="1"/>
    <x v="0"/>
    <x v="0"/>
    <x v="0"/>
    <x v="1"/>
    <x v="1"/>
    <x v="0"/>
    <x v="0"/>
    <x v="0"/>
    <x v="1"/>
    <n v="4.4819649463912077"/>
  </r>
  <r>
    <x v="16"/>
    <x v="2"/>
    <x v="7"/>
    <x v="16"/>
    <x v="0"/>
    <x v="10"/>
    <s v="28ft-27ft"/>
    <x v="4"/>
    <x v="4"/>
    <x v="0"/>
    <x v="0"/>
    <x v="10"/>
    <x v="0"/>
    <s v="China RF"/>
    <n v="4"/>
    <x v="4"/>
    <s v="8cm"/>
    <m/>
    <x v="0"/>
    <x v="2"/>
    <x v="0"/>
    <x v="2"/>
    <x v="1"/>
    <x v="1"/>
    <x v="0"/>
    <x v="0"/>
    <x v="0"/>
    <x v="26"/>
    <n v="1107.1802407315226"/>
  </r>
  <r>
    <x v="16"/>
    <x v="2"/>
    <x v="7"/>
    <x v="16"/>
    <x v="0"/>
    <x v="10"/>
    <n v="24"/>
    <x v="5"/>
    <x v="5"/>
    <x v="1"/>
    <x v="0"/>
    <x v="7"/>
    <x v="0"/>
    <s v="CRF"/>
    <n v="25"/>
    <x v="1"/>
    <s v="24 x 4cm, 3cm"/>
    <m/>
    <x v="1"/>
    <x v="0"/>
    <x v="0"/>
    <x v="0"/>
    <x v="1"/>
    <x v="1"/>
    <x v="0"/>
    <x v="0"/>
    <x v="0"/>
    <x v="8"/>
    <n v="27.352500000000003"/>
  </r>
  <r>
    <x v="16"/>
    <x v="2"/>
    <x v="7"/>
    <x v="16"/>
    <x v="0"/>
    <x v="10"/>
    <n v="24"/>
    <x v="5"/>
    <x v="5"/>
    <x v="1"/>
    <x v="0"/>
    <x v="4"/>
    <x v="4"/>
    <s v="LC"/>
    <n v="1"/>
    <x v="3"/>
    <m/>
    <m/>
    <x v="1"/>
    <x v="0"/>
    <x v="0"/>
    <x v="0"/>
    <x v="1"/>
    <x v="2"/>
    <x v="0"/>
    <x v="0"/>
    <x v="0"/>
    <x v="1"/>
    <n v="997.953125"/>
  </r>
  <r>
    <x v="16"/>
    <x v="2"/>
    <x v="7"/>
    <x v="16"/>
    <x v="0"/>
    <x v="10"/>
    <n v="24"/>
    <x v="5"/>
    <x v="5"/>
    <x v="1"/>
    <x v="0"/>
    <x v="2"/>
    <x v="2"/>
    <s v="KGJ"/>
    <n v="2"/>
    <x v="1"/>
    <m/>
    <s v="11cm, 10cm"/>
    <x v="1"/>
    <x v="0"/>
    <x v="0"/>
    <x v="0"/>
    <x v="1"/>
    <x v="1"/>
    <x v="0"/>
    <x v="0"/>
    <x v="0"/>
    <x v="1"/>
    <n v="36.363599999999998"/>
  </r>
  <r>
    <x v="16"/>
    <x v="2"/>
    <x v="7"/>
    <x v="16"/>
    <x v="0"/>
    <x v="10"/>
    <n v="24"/>
    <x v="5"/>
    <x v="5"/>
    <x v="1"/>
    <x v="0"/>
    <x v="9"/>
    <x v="3"/>
    <s v="Painted greenling"/>
    <n v="1"/>
    <x v="3"/>
    <m/>
    <m/>
    <x v="0"/>
    <x v="0"/>
    <x v="0"/>
    <x v="0"/>
    <x v="1"/>
    <x v="1"/>
    <x v="0"/>
    <x v="0"/>
    <x v="0"/>
    <x v="1"/>
    <n v="442.61999999999995"/>
  </r>
  <r>
    <x v="16"/>
    <x v="2"/>
    <x v="7"/>
    <x v="16"/>
    <x v="0"/>
    <x v="10"/>
    <n v="24"/>
    <x v="5"/>
    <x v="5"/>
    <x v="1"/>
    <x v="0"/>
    <x v="0"/>
    <x v="0"/>
    <s v="BRF"/>
    <n v="5"/>
    <x v="3"/>
    <m/>
    <s v="10, 14, 14, 12"/>
    <x v="1"/>
    <x v="2"/>
    <x v="0"/>
    <x v="0"/>
    <x v="1"/>
    <x v="1"/>
    <x v="0"/>
    <x v="0"/>
    <x v="0"/>
    <x v="24"/>
    <n v="405.18593750000002"/>
  </r>
  <r>
    <x v="16"/>
    <x v="2"/>
    <x v="7"/>
    <x v="16"/>
    <x v="0"/>
    <x v="10"/>
    <n v="24"/>
    <x v="5"/>
    <x v="5"/>
    <x v="1"/>
    <x v="0"/>
    <x v="1"/>
    <x v="1"/>
    <s v="TS"/>
    <n v="1"/>
    <x v="1"/>
    <n v="8"/>
    <m/>
    <x v="1"/>
    <x v="0"/>
    <x v="0"/>
    <x v="0"/>
    <x v="1"/>
    <x v="1"/>
    <x v="0"/>
    <x v="0"/>
    <x v="0"/>
    <x v="1"/>
    <n v="0.50079345774267114"/>
  </r>
  <r>
    <x v="17"/>
    <x v="3"/>
    <x v="9"/>
    <x v="17"/>
    <x v="3"/>
    <x v="3"/>
    <m/>
    <x v="7"/>
    <x v="8"/>
    <x v="2"/>
    <x v="1"/>
    <x v="14"/>
    <x v="8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  <r>
    <x v="17"/>
    <x v="3"/>
    <x v="9"/>
    <x v="17"/>
    <x v="3"/>
    <x v="3"/>
    <m/>
    <x v="7"/>
    <x v="8"/>
    <x v="2"/>
    <x v="1"/>
    <x v="14"/>
    <x v="7"/>
    <m/>
    <m/>
    <x v="12"/>
    <m/>
    <m/>
    <x v="1"/>
    <x v="0"/>
    <x v="0"/>
    <x v="0"/>
    <x v="1"/>
    <x v="1"/>
    <x v="0"/>
    <x v="0"/>
    <x v="0"/>
    <x v="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3"/>
  </r>
  <r>
    <x v="0"/>
    <x v="0"/>
    <x v="5"/>
    <x v="3"/>
  </r>
  <r>
    <x v="0"/>
    <x v="0"/>
    <x v="6"/>
    <x v="3"/>
  </r>
  <r>
    <x v="0"/>
    <x v="0"/>
    <x v="7"/>
    <x v="3"/>
  </r>
  <r>
    <x v="0"/>
    <x v="0"/>
    <x v="8"/>
    <x v="3"/>
  </r>
  <r>
    <x v="0"/>
    <x v="0"/>
    <x v="9"/>
    <x v="3"/>
  </r>
  <r>
    <x v="0"/>
    <x v="0"/>
    <x v="10"/>
    <x v="3"/>
  </r>
  <r>
    <x v="0"/>
    <x v="0"/>
    <x v="11"/>
    <x v="3"/>
  </r>
  <r>
    <x v="0"/>
    <x v="0"/>
    <x v="12"/>
    <x v="3"/>
  </r>
  <r>
    <x v="0"/>
    <x v="0"/>
    <x v="13"/>
    <x v="3"/>
  </r>
  <r>
    <x v="0"/>
    <x v="0"/>
    <x v="14"/>
    <x v="3"/>
  </r>
  <r>
    <x v="0"/>
    <x v="0"/>
    <x v="15"/>
    <x v="3"/>
  </r>
  <r>
    <x v="0"/>
    <x v="0"/>
    <x v="16"/>
    <x v="3"/>
  </r>
  <r>
    <x v="0"/>
    <x v="0"/>
    <x v="17"/>
    <x v="3"/>
  </r>
  <r>
    <x v="0"/>
    <x v="0"/>
    <x v="18"/>
    <x v="3"/>
  </r>
  <r>
    <x v="0"/>
    <x v="1"/>
    <x v="3"/>
    <x v="4"/>
  </r>
  <r>
    <x v="0"/>
    <x v="1"/>
    <x v="4"/>
    <x v="5"/>
  </r>
  <r>
    <x v="0"/>
    <x v="1"/>
    <x v="0"/>
    <x v="6"/>
  </r>
  <r>
    <x v="0"/>
    <x v="1"/>
    <x v="5"/>
    <x v="7"/>
  </r>
  <r>
    <x v="0"/>
    <x v="1"/>
    <x v="1"/>
    <x v="8"/>
  </r>
  <r>
    <x v="0"/>
    <x v="1"/>
    <x v="6"/>
    <x v="9"/>
  </r>
  <r>
    <x v="0"/>
    <x v="1"/>
    <x v="7"/>
    <x v="10"/>
  </r>
  <r>
    <x v="0"/>
    <x v="1"/>
    <x v="2"/>
    <x v="3"/>
  </r>
  <r>
    <x v="0"/>
    <x v="1"/>
    <x v="8"/>
    <x v="3"/>
  </r>
  <r>
    <x v="0"/>
    <x v="1"/>
    <x v="9"/>
    <x v="3"/>
  </r>
  <r>
    <x v="0"/>
    <x v="1"/>
    <x v="10"/>
    <x v="3"/>
  </r>
  <r>
    <x v="0"/>
    <x v="1"/>
    <x v="11"/>
    <x v="3"/>
  </r>
  <r>
    <x v="0"/>
    <x v="1"/>
    <x v="12"/>
    <x v="3"/>
  </r>
  <r>
    <x v="0"/>
    <x v="1"/>
    <x v="13"/>
    <x v="3"/>
  </r>
  <r>
    <x v="0"/>
    <x v="1"/>
    <x v="14"/>
    <x v="3"/>
  </r>
  <r>
    <x v="0"/>
    <x v="1"/>
    <x v="15"/>
    <x v="3"/>
  </r>
  <r>
    <x v="0"/>
    <x v="1"/>
    <x v="16"/>
    <x v="3"/>
  </r>
  <r>
    <x v="0"/>
    <x v="1"/>
    <x v="17"/>
    <x v="3"/>
  </r>
  <r>
    <x v="0"/>
    <x v="1"/>
    <x v="18"/>
    <x v="3"/>
  </r>
  <r>
    <x v="0"/>
    <x v="1"/>
    <x v="19"/>
    <x v="3"/>
  </r>
  <r>
    <x v="0"/>
    <x v="1"/>
    <x v="20"/>
    <x v="3"/>
  </r>
  <r>
    <x v="0"/>
    <x v="1"/>
    <x v="21"/>
    <x v="3"/>
  </r>
  <r>
    <x v="0"/>
    <x v="1"/>
    <x v="22"/>
    <x v="3"/>
  </r>
  <r>
    <x v="0"/>
    <x v="1"/>
    <x v="23"/>
    <x v="3"/>
  </r>
  <r>
    <x v="0"/>
    <x v="1"/>
    <x v="24"/>
    <x v="3"/>
  </r>
  <r>
    <x v="0"/>
    <x v="2"/>
    <x v="3"/>
    <x v="11"/>
  </r>
  <r>
    <x v="0"/>
    <x v="2"/>
    <x v="4"/>
    <x v="12"/>
  </r>
  <r>
    <x v="0"/>
    <x v="2"/>
    <x v="0"/>
    <x v="13"/>
  </r>
  <r>
    <x v="0"/>
    <x v="2"/>
    <x v="5"/>
    <x v="0"/>
  </r>
  <r>
    <x v="0"/>
    <x v="2"/>
    <x v="1"/>
    <x v="14"/>
  </r>
  <r>
    <x v="0"/>
    <x v="2"/>
    <x v="6"/>
    <x v="15"/>
  </r>
  <r>
    <x v="0"/>
    <x v="2"/>
    <x v="7"/>
    <x v="3"/>
  </r>
  <r>
    <x v="0"/>
    <x v="2"/>
    <x v="2"/>
    <x v="3"/>
  </r>
  <r>
    <x v="0"/>
    <x v="2"/>
    <x v="8"/>
    <x v="3"/>
  </r>
  <r>
    <x v="0"/>
    <x v="2"/>
    <x v="9"/>
    <x v="3"/>
  </r>
  <r>
    <x v="0"/>
    <x v="2"/>
    <x v="10"/>
    <x v="3"/>
  </r>
  <r>
    <x v="0"/>
    <x v="2"/>
    <x v="11"/>
    <x v="3"/>
  </r>
  <r>
    <x v="0"/>
    <x v="2"/>
    <x v="12"/>
    <x v="3"/>
  </r>
  <r>
    <x v="0"/>
    <x v="2"/>
    <x v="13"/>
    <x v="3"/>
  </r>
  <r>
    <x v="0"/>
    <x v="2"/>
    <x v="14"/>
    <x v="3"/>
  </r>
  <r>
    <x v="0"/>
    <x v="2"/>
    <x v="15"/>
    <x v="3"/>
  </r>
  <r>
    <x v="0"/>
    <x v="2"/>
    <x v="16"/>
    <x v="3"/>
  </r>
  <r>
    <x v="0"/>
    <x v="2"/>
    <x v="17"/>
    <x v="3"/>
  </r>
  <r>
    <x v="0"/>
    <x v="2"/>
    <x v="18"/>
    <x v="3"/>
  </r>
  <r>
    <x v="1"/>
    <x v="3"/>
    <x v="4"/>
    <x v="1"/>
  </r>
  <r>
    <x v="1"/>
    <x v="3"/>
    <x v="5"/>
    <x v="1"/>
  </r>
  <r>
    <x v="1"/>
    <x v="3"/>
    <x v="7"/>
    <x v="0"/>
  </r>
  <r>
    <x v="1"/>
    <x v="3"/>
    <x v="3"/>
    <x v="3"/>
  </r>
  <r>
    <x v="1"/>
    <x v="3"/>
    <x v="0"/>
    <x v="3"/>
  </r>
  <r>
    <x v="1"/>
    <x v="3"/>
    <x v="1"/>
    <x v="3"/>
  </r>
  <r>
    <x v="1"/>
    <x v="3"/>
    <x v="6"/>
    <x v="3"/>
  </r>
  <r>
    <x v="1"/>
    <x v="3"/>
    <x v="2"/>
    <x v="3"/>
  </r>
  <r>
    <x v="1"/>
    <x v="3"/>
    <x v="8"/>
    <x v="3"/>
  </r>
  <r>
    <x v="1"/>
    <x v="3"/>
    <x v="9"/>
    <x v="3"/>
  </r>
  <r>
    <x v="1"/>
    <x v="3"/>
    <x v="10"/>
    <x v="3"/>
  </r>
  <r>
    <x v="1"/>
    <x v="3"/>
    <x v="11"/>
    <x v="3"/>
  </r>
  <r>
    <x v="1"/>
    <x v="3"/>
    <x v="12"/>
    <x v="3"/>
  </r>
  <r>
    <x v="1"/>
    <x v="3"/>
    <x v="13"/>
    <x v="3"/>
  </r>
  <r>
    <x v="1"/>
    <x v="3"/>
    <x v="14"/>
    <x v="3"/>
  </r>
  <r>
    <x v="1"/>
    <x v="3"/>
    <x v="15"/>
    <x v="3"/>
  </r>
  <r>
    <x v="1"/>
    <x v="3"/>
    <x v="16"/>
    <x v="3"/>
  </r>
  <r>
    <x v="1"/>
    <x v="3"/>
    <x v="17"/>
    <x v="3"/>
  </r>
  <r>
    <x v="1"/>
    <x v="3"/>
    <x v="18"/>
    <x v="3"/>
  </r>
  <r>
    <x v="1"/>
    <x v="4"/>
    <x v="4"/>
    <x v="16"/>
  </r>
  <r>
    <x v="1"/>
    <x v="4"/>
    <x v="0"/>
    <x v="17"/>
  </r>
  <r>
    <x v="1"/>
    <x v="4"/>
    <x v="5"/>
    <x v="0"/>
  </r>
  <r>
    <x v="1"/>
    <x v="4"/>
    <x v="1"/>
    <x v="13"/>
  </r>
  <r>
    <x v="1"/>
    <x v="4"/>
    <x v="3"/>
    <x v="3"/>
  </r>
  <r>
    <x v="1"/>
    <x v="4"/>
    <x v="6"/>
    <x v="3"/>
  </r>
  <r>
    <x v="1"/>
    <x v="4"/>
    <x v="7"/>
    <x v="3"/>
  </r>
  <r>
    <x v="1"/>
    <x v="4"/>
    <x v="2"/>
    <x v="3"/>
  </r>
  <r>
    <x v="1"/>
    <x v="4"/>
    <x v="8"/>
    <x v="3"/>
  </r>
  <r>
    <x v="1"/>
    <x v="4"/>
    <x v="9"/>
    <x v="3"/>
  </r>
  <r>
    <x v="1"/>
    <x v="4"/>
    <x v="10"/>
    <x v="3"/>
  </r>
  <r>
    <x v="1"/>
    <x v="4"/>
    <x v="11"/>
    <x v="3"/>
  </r>
  <r>
    <x v="1"/>
    <x v="4"/>
    <x v="12"/>
    <x v="3"/>
  </r>
  <r>
    <x v="1"/>
    <x v="4"/>
    <x v="13"/>
    <x v="3"/>
  </r>
  <r>
    <x v="1"/>
    <x v="4"/>
    <x v="14"/>
    <x v="3"/>
  </r>
  <r>
    <x v="1"/>
    <x v="4"/>
    <x v="15"/>
    <x v="3"/>
  </r>
  <r>
    <x v="1"/>
    <x v="4"/>
    <x v="16"/>
    <x v="3"/>
  </r>
  <r>
    <x v="1"/>
    <x v="4"/>
    <x v="17"/>
    <x v="3"/>
  </r>
  <r>
    <x v="1"/>
    <x v="4"/>
    <x v="18"/>
    <x v="3"/>
  </r>
  <r>
    <x v="1"/>
    <x v="4"/>
    <x v="19"/>
    <x v="3"/>
  </r>
  <r>
    <x v="1"/>
    <x v="4"/>
    <x v="20"/>
    <x v="3"/>
  </r>
  <r>
    <x v="1"/>
    <x v="5"/>
    <x v="3"/>
    <x v="16"/>
  </r>
  <r>
    <x v="1"/>
    <x v="5"/>
    <x v="4"/>
    <x v="18"/>
  </r>
  <r>
    <x v="1"/>
    <x v="5"/>
    <x v="0"/>
    <x v="10"/>
  </r>
  <r>
    <x v="1"/>
    <x v="5"/>
    <x v="5"/>
    <x v="10"/>
  </r>
  <r>
    <x v="1"/>
    <x v="5"/>
    <x v="1"/>
    <x v="19"/>
  </r>
  <r>
    <x v="1"/>
    <x v="5"/>
    <x v="6"/>
    <x v="3"/>
  </r>
  <r>
    <x v="1"/>
    <x v="5"/>
    <x v="7"/>
    <x v="3"/>
  </r>
  <r>
    <x v="1"/>
    <x v="5"/>
    <x v="2"/>
    <x v="3"/>
  </r>
  <r>
    <x v="1"/>
    <x v="5"/>
    <x v="8"/>
    <x v="3"/>
  </r>
  <r>
    <x v="1"/>
    <x v="5"/>
    <x v="9"/>
    <x v="3"/>
  </r>
  <r>
    <x v="1"/>
    <x v="5"/>
    <x v="10"/>
    <x v="3"/>
  </r>
  <r>
    <x v="1"/>
    <x v="5"/>
    <x v="11"/>
    <x v="3"/>
  </r>
  <r>
    <x v="1"/>
    <x v="5"/>
    <x v="12"/>
    <x v="3"/>
  </r>
  <r>
    <x v="1"/>
    <x v="5"/>
    <x v="13"/>
    <x v="3"/>
  </r>
  <r>
    <x v="1"/>
    <x v="5"/>
    <x v="14"/>
    <x v="3"/>
  </r>
  <r>
    <x v="1"/>
    <x v="5"/>
    <x v="15"/>
    <x v="3"/>
  </r>
  <r>
    <x v="1"/>
    <x v="5"/>
    <x v="16"/>
    <x v="3"/>
  </r>
  <r>
    <x v="1"/>
    <x v="5"/>
    <x v="17"/>
    <x v="3"/>
  </r>
  <r>
    <x v="1"/>
    <x v="5"/>
    <x v="18"/>
    <x v="3"/>
  </r>
  <r>
    <x v="1"/>
    <x v="5"/>
    <x v="19"/>
    <x v="3"/>
  </r>
  <r>
    <x v="1"/>
    <x v="5"/>
    <x v="20"/>
    <x v="3"/>
  </r>
  <r>
    <x v="2"/>
    <x v="6"/>
    <x v="3"/>
    <x v="20"/>
  </r>
  <r>
    <x v="2"/>
    <x v="6"/>
    <x v="4"/>
    <x v="21"/>
  </r>
  <r>
    <x v="2"/>
    <x v="6"/>
    <x v="0"/>
    <x v="22"/>
  </r>
  <r>
    <x v="2"/>
    <x v="6"/>
    <x v="5"/>
    <x v="1"/>
  </r>
  <r>
    <x v="2"/>
    <x v="6"/>
    <x v="1"/>
    <x v="23"/>
  </r>
  <r>
    <x v="2"/>
    <x v="6"/>
    <x v="6"/>
    <x v="3"/>
  </r>
  <r>
    <x v="2"/>
    <x v="6"/>
    <x v="7"/>
    <x v="3"/>
  </r>
  <r>
    <x v="2"/>
    <x v="6"/>
    <x v="2"/>
    <x v="3"/>
  </r>
  <r>
    <x v="2"/>
    <x v="6"/>
    <x v="8"/>
    <x v="3"/>
  </r>
  <r>
    <x v="2"/>
    <x v="6"/>
    <x v="9"/>
    <x v="3"/>
  </r>
  <r>
    <x v="2"/>
    <x v="6"/>
    <x v="10"/>
    <x v="3"/>
  </r>
  <r>
    <x v="2"/>
    <x v="6"/>
    <x v="11"/>
    <x v="3"/>
  </r>
  <r>
    <x v="2"/>
    <x v="6"/>
    <x v="12"/>
    <x v="3"/>
  </r>
  <r>
    <x v="2"/>
    <x v="6"/>
    <x v="13"/>
    <x v="3"/>
  </r>
  <r>
    <x v="2"/>
    <x v="6"/>
    <x v="14"/>
    <x v="3"/>
  </r>
  <r>
    <x v="2"/>
    <x v="6"/>
    <x v="15"/>
    <x v="3"/>
  </r>
  <r>
    <x v="2"/>
    <x v="6"/>
    <x v="16"/>
    <x v="3"/>
  </r>
  <r>
    <x v="2"/>
    <x v="6"/>
    <x v="17"/>
    <x v="3"/>
  </r>
  <r>
    <x v="2"/>
    <x v="6"/>
    <x v="18"/>
    <x v="3"/>
  </r>
  <r>
    <x v="2"/>
    <x v="6"/>
    <x v="19"/>
    <x v="3"/>
  </r>
  <r>
    <x v="2"/>
    <x v="7"/>
    <x v="3"/>
    <x v="24"/>
  </r>
  <r>
    <x v="2"/>
    <x v="7"/>
    <x v="4"/>
    <x v="25"/>
  </r>
  <r>
    <x v="2"/>
    <x v="7"/>
    <x v="0"/>
    <x v="26"/>
  </r>
  <r>
    <x v="2"/>
    <x v="7"/>
    <x v="1"/>
    <x v="20"/>
  </r>
  <r>
    <x v="2"/>
    <x v="7"/>
    <x v="5"/>
    <x v="3"/>
  </r>
  <r>
    <x v="2"/>
    <x v="7"/>
    <x v="6"/>
    <x v="3"/>
  </r>
  <r>
    <x v="2"/>
    <x v="7"/>
    <x v="7"/>
    <x v="3"/>
  </r>
  <r>
    <x v="2"/>
    <x v="7"/>
    <x v="2"/>
    <x v="3"/>
  </r>
  <r>
    <x v="2"/>
    <x v="7"/>
    <x v="8"/>
    <x v="3"/>
  </r>
  <r>
    <x v="2"/>
    <x v="7"/>
    <x v="9"/>
    <x v="3"/>
  </r>
  <r>
    <x v="2"/>
    <x v="7"/>
    <x v="10"/>
    <x v="3"/>
  </r>
  <r>
    <x v="2"/>
    <x v="7"/>
    <x v="11"/>
    <x v="3"/>
  </r>
  <r>
    <x v="2"/>
    <x v="7"/>
    <x v="12"/>
    <x v="3"/>
  </r>
  <r>
    <x v="2"/>
    <x v="7"/>
    <x v="13"/>
    <x v="3"/>
  </r>
  <r>
    <x v="2"/>
    <x v="7"/>
    <x v="14"/>
    <x v="3"/>
  </r>
  <r>
    <x v="2"/>
    <x v="7"/>
    <x v="15"/>
    <x v="3"/>
  </r>
  <r>
    <x v="2"/>
    <x v="7"/>
    <x v="16"/>
    <x v="3"/>
  </r>
  <r>
    <x v="2"/>
    <x v="7"/>
    <x v="17"/>
    <x v="3"/>
  </r>
  <r>
    <x v="2"/>
    <x v="7"/>
    <x v="18"/>
    <x v="3"/>
  </r>
  <r>
    <x v="2"/>
    <x v="7"/>
    <x v="19"/>
    <x v="3"/>
  </r>
  <r>
    <x v="2"/>
    <x v="8"/>
    <x v="3"/>
    <x v="27"/>
  </r>
  <r>
    <x v="2"/>
    <x v="8"/>
    <x v="4"/>
    <x v="28"/>
  </r>
  <r>
    <x v="2"/>
    <x v="8"/>
    <x v="0"/>
    <x v="29"/>
  </r>
  <r>
    <x v="2"/>
    <x v="8"/>
    <x v="5"/>
    <x v="17"/>
  </r>
  <r>
    <x v="2"/>
    <x v="8"/>
    <x v="1"/>
    <x v="3"/>
  </r>
  <r>
    <x v="2"/>
    <x v="8"/>
    <x v="6"/>
    <x v="3"/>
  </r>
  <r>
    <x v="2"/>
    <x v="8"/>
    <x v="7"/>
    <x v="3"/>
  </r>
  <r>
    <x v="2"/>
    <x v="8"/>
    <x v="2"/>
    <x v="3"/>
  </r>
  <r>
    <x v="2"/>
    <x v="8"/>
    <x v="8"/>
    <x v="3"/>
  </r>
  <r>
    <x v="2"/>
    <x v="8"/>
    <x v="9"/>
    <x v="3"/>
  </r>
  <r>
    <x v="2"/>
    <x v="8"/>
    <x v="10"/>
    <x v="3"/>
  </r>
  <r>
    <x v="2"/>
    <x v="8"/>
    <x v="11"/>
    <x v="3"/>
  </r>
  <r>
    <x v="2"/>
    <x v="8"/>
    <x v="12"/>
    <x v="3"/>
  </r>
  <r>
    <x v="2"/>
    <x v="8"/>
    <x v="13"/>
    <x v="3"/>
  </r>
  <r>
    <x v="2"/>
    <x v="8"/>
    <x v="14"/>
    <x v="3"/>
  </r>
  <r>
    <x v="2"/>
    <x v="8"/>
    <x v="15"/>
    <x v="3"/>
  </r>
  <r>
    <x v="2"/>
    <x v="8"/>
    <x v="16"/>
    <x v="3"/>
  </r>
  <r>
    <x v="2"/>
    <x v="8"/>
    <x v="17"/>
    <x v="3"/>
  </r>
  <r>
    <x v="2"/>
    <x v="8"/>
    <x v="18"/>
    <x v="3"/>
  </r>
  <r>
    <x v="2"/>
    <x v="8"/>
    <x v="19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0"/>
    <x v="0"/>
    <x v="0"/>
    <x v="1"/>
    <x v="1"/>
    <x v="1"/>
    <x v="0"/>
    <x v="1"/>
    <x v="0"/>
    <x v="0"/>
    <x v="0"/>
    <x v="0"/>
    <x v="0"/>
    <x v="1"/>
  </r>
  <r>
    <x v="1"/>
    <x v="1"/>
    <x v="1"/>
    <x v="0"/>
    <x v="1"/>
    <x v="1"/>
    <x v="0"/>
    <x v="0"/>
    <x v="0"/>
    <x v="0"/>
    <x v="0"/>
    <x v="0"/>
    <x v="1"/>
    <x v="1"/>
    <x v="1"/>
    <x v="0"/>
    <x v="2"/>
    <x v="0"/>
    <x v="0"/>
    <x v="0"/>
    <x v="0"/>
    <x v="0"/>
    <x v="2"/>
  </r>
  <r>
    <x v="2"/>
    <x v="1"/>
    <x v="1"/>
    <x v="0"/>
    <x v="2"/>
    <x v="2"/>
    <x v="0"/>
    <x v="1"/>
    <x v="0"/>
    <x v="0"/>
    <x v="0"/>
    <x v="0"/>
    <x v="2"/>
    <x v="1"/>
    <x v="2"/>
    <x v="1"/>
    <x v="2"/>
    <x v="0"/>
    <x v="0"/>
    <x v="0"/>
    <x v="0"/>
    <x v="1"/>
    <x v="2"/>
  </r>
  <r>
    <x v="3"/>
    <x v="2"/>
    <x v="2"/>
    <x v="1"/>
    <x v="3"/>
    <x v="3"/>
    <x v="0"/>
    <x v="2"/>
    <x v="0"/>
    <x v="1"/>
    <x v="0"/>
    <x v="0"/>
    <x v="3"/>
    <x v="2"/>
    <x v="0"/>
    <x v="2"/>
    <x v="3"/>
    <x v="0"/>
    <x v="0"/>
    <x v="0"/>
    <x v="0"/>
    <x v="0"/>
    <x v="3"/>
  </r>
  <r>
    <x v="3"/>
    <x v="2"/>
    <x v="2"/>
    <x v="1"/>
    <x v="3"/>
    <x v="3"/>
    <x v="0"/>
    <x v="2"/>
    <x v="0"/>
    <x v="1"/>
    <x v="0"/>
    <x v="0"/>
    <x v="4"/>
    <x v="0"/>
    <x v="0"/>
    <x v="3"/>
    <x v="4"/>
    <x v="0"/>
    <x v="0"/>
    <x v="0"/>
    <x v="0"/>
    <x v="0"/>
    <x v="4"/>
  </r>
  <r>
    <x v="4"/>
    <x v="3"/>
    <x v="3"/>
    <x v="2"/>
    <x v="4"/>
    <x v="4"/>
    <x v="0"/>
    <x v="0"/>
    <x v="0"/>
    <x v="0"/>
    <x v="0"/>
    <x v="0"/>
    <x v="4"/>
    <x v="3"/>
    <x v="0"/>
    <x v="4"/>
    <x v="5"/>
    <x v="0"/>
    <x v="0"/>
    <x v="0"/>
    <x v="0"/>
    <x v="0"/>
    <x v="5"/>
  </r>
  <r>
    <x v="1"/>
    <x v="4"/>
    <x v="4"/>
    <x v="0"/>
    <x v="1"/>
    <x v="1"/>
    <x v="0"/>
    <x v="0"/>
    <x v="0"/>
    <x v="0"/>
    <x v="0"/>
    <x v="0"/>
    <x v="2"/>
    <x v="4"/>
    <x v="0"/>
    <x v="4"/>
    <x v="5"/>
    <x v="0"/>
    <x v="0"/>
    <x v="0"/>
    <x v="0"/>
    <x v="0"/>
    <x v="5"/>
  </r>
  <r>
    <x v="5"/>
    <x v="4"/>
    <x v="4"/>
    <x v="0"/>
    <x v="0"/>
    <x v="0"/>
    <x v="1"/>
    <x v="0"/>
    <x v="0"/>
    <x v="0"/>
    <x v="0"/>
    <x v="0"/>
    <x v="4"/>
    <x v="1"/>
    <x v="3"/>
    <x v="4"/>
    <x v="6"/>
    <x v="0"/>
    <x v="0"/>
    <x v="0"/>
    <x v="0"/>
    <x v="0"/>
    <x v="6"/>
  </r>
  <r>
    <x v="3"/>
    <x v="2"/>
    <x v="2"/>
    <x v="1"/>
    <x v="3"/>
    <x v="3"/>
    <x v="0"/>
    <x v="2"/>
    <x v="0"/>
    <x v="1"/>
    <x v="0"/>
    <x v="0"/>
    <x v="1"/>
    <x v="2"/>
    <x v="0"/>
    <x v="5"/>
    <x v="7"/>
    <x v="0"/>
    <x v="0"/>
    <x v="0"/>
    <x v="0"/>
    <x v="0"/>
    <x v="7"/>
  </r>
  <r>
    <x v="3"/>
    <x v="2"/>
    <x v="5"/>
    <x v="1"/>
    <x v="3"/>
    <x v="3"/>
    <x v="0"/>
    <x v="2"/>
    <x v="0"/>
    <x v="1"/>
    <x v="0"/>
    <x v="0"/>
    <x v="4"/>
    <x v="0"/>
    <x v="0"/>
    <x v="5"/>
    <x v="8"/>
    <x v="0"/>
    <x v="1"/>
    <x v="0"/>
    <x v="0"/>
    <x v="0"/>
    <x v="8"/>
  </r>
  <r>
    <x v="3"/>
    <x v="5"/>
    <x v="6"/>
    <x v="1"/>
    <x v="3"/>
    <x v="3"/>
    <x v="0"/>
    <x v="3"/>
    <x v="0"/>
    <x v="0"/>
    <x v="0"/>
    <x v="0"/>
    <x v="0"/>
    <x v="5"/>
    <x v="0"/>
    <x v="5"/>
    <x v="7"/>
    <x v="0"/>
    <x v="0"/>
    <x v="0"/>
    <x v="0"/>
    <x v="0"/>
    <x v="7"/>
  </r>
  <r>
    <x v="3"/>
    <x v="5"/>
    <x v="6"/>
    <x v="1"/>
    <x v="3"/>
    <x v="3"/>
    <x v="0"/>
    <x v="3"/>
    <x v="0"/>
    <x v="0"/>
    <x v="0"/>
    <x v="0"/>
    <x v="5"/>
    <x v="6"/>
    <x v="0"/>
    <x v="5"/>
    <x v="0"/>
    <x v="0"/>
    <x v="2"/>
    <x v="0"/>
    <x v="0"/>
    <x v="0"/>
    <x v="0"/>
  </r>
  <r>
    <x v="3"/>
    <x v="5"/>
    <x v="6"/>
    <x v="1"/>
    <x v="3"/>
    <x v="3"/>
    <x v="0"/>
    <x v="3"/>
    <x v="0"/>
    <x v="0"/>
    <x v="0"/>
    <x v="0"/>
    <x v="6"/>
    <x v="7"/>
    <x v="0"/>
    <x v="5"/>
    <x v="1"/>
    <x v="0"/>
    <x v="0"/>
    <x v="0"/>
    <x v="0"/>
    <x v="0"/>
    <x v="1"/>
  </r>
  <r>
    <x v="3"/>
    <x v="5"/>
    <x v="6"/>
    <x v="1"/>
    <x v="3"/>
    <x v="3"/>
    <x v="1"/>
    <x v="2"/>
    <x v="0"/>
    <x v="2"/>
    <x v="0"/>
    <x v="0"/>
    <x v="1"/>
    <x v="0"/>
    <x v="0"/>
    <x v="5"/>
    <x v="2"/>
    <x v="0"/>
    <x v="3"/>
    <x v="0"/>
    <x v="0"/>
    <x v="0"/>
    <x v="2"/>
  </r>
  <r>
    <x v="3"/>
    <x v="5"/>
    <x v="6"/>
    <x v="1"/>
    <x v="3"/>
    <x v="3"/>
    <x v="1"/>
    <x v="2"/>
    <x v="0"/>
    <x v="2"/>
    <x v="0"/>
    <x v="0"/>
    <x v="2"/>
    <x v="8"/>
    <x v="0"/>
    <x v="5"/>
    <x v="2"/>
    <x v="0"/>
    <x v="4"/>
    <x v="0"/>
    <x v="0"/>
    <x v="0"/>
    <x v="2"/>
  </r>
  <r>
    <x v="3"/>
    <x v="5"/>
    <x v="6"/>
    <x v="1"/>
    <x v="3"/>
    <x v="3"/>
    <x v="1"/>
    <x v="2"/>
    <x v="0"/>
    <x v="2"/>
    <x v="0"/>
    <x v="0"/>
    <x v="0"/>
    <x v="7"/>
    <x v="0"/>
    <x v="5"/>
    <x v="3"/>
    <x v="0"/>
    <x v="5"/>
    <x v="0"/>
    <x v="0"/>
    <x v="0"/>
    <x v="3"/>
  </r>
  <r>
    <x v="3"/>
    <x v="5"/>
    <x v="6"/>
    <x v="1"/>
    <x v="3"/>
    <x v="3"/>
    <x v="1"/>
    <x v="2"/>
    <x v="0"/>
    <x v="2"/>
    <x v="0"/>
    <x v="0"/>
    <x v="5"/>
    <x v="6"/>
    <x v="0"/>
    <x v="5"/>
    <x v="4"/>
    <x v="0"/>
    <x v="6"/>
    <x v="0"/>
    <x v="0"/>
    <x v="0"/>
    <x v="4"/>
  </r>
  <r>
    <x v="3"/>
    <x v="5"/>
    <x v="7"/>
    <x v="1"/>
    <x v="3"/>
    <x v="3"/>
    <x v="1"/>
    <x v="2"/>
    <x v="0"/>
    <x v="2"/>
    <x v="0"/>
    <x v="0"/>
    <x v="0"/>
    <x v="7"/>
    <x v="0"/>
    <x v="5"/>
    <x v="5"/>
    <x v="0"/>
    <x v="0"/>
    <x v="0"/>
    <x v="0"/>
    <x v="0"/>
    <x v="5"/>
  </r>
  <r>
    <x v="6"/>
    <x v="6"/>
    <x v="8"/>
    <x v="1"/>
    <x v="3"/>
    <x v="3"/>
    <x v="0"/>
    <x v="2"/>
    <x v="0"/>
    <x v="3"/>
    <x v="0"/>
    <x v="0"/>
    <x v="2"/>
    <x v="7"/>
    <x v="0"/>
    <x v="5"/>
    <x v="5"/>
    <x v="0"/>
    <x v="0"/>
    <x v="0"/>
    <x v="0"/>
    <x v="0"/>
    <x v="5"/>
  </r>
  <r>
    <x v="6"/>
    <x v="6"/>
    <x v="8"/>
    <x v="1"/>
    <x v="3"/>
    <x v="3"/>
    <x v="0"/>
    <x v="2"/>
    <x v="0"/>
    <x v="3"/>
    <x v="0"/>
    <x v="0"/>
    <x v="3"/>
    <x v="3"/>
    <x v="0"/>
    <x v="5"/>
    <x v="9"/>
    <x v="0"/>
    <x v="0"/>
    <x v="0"/>
    <x v="0"/>
    <x v="0"/>
    <x v="9"/>
  </r>
  <r>
    <x v="7"/>
    <x v="6"/>
    <x v="8"/>
    <x v="1"/>
    <x v="5"/>
    <x v="5"/>
    <x v="0"/>
    <x v="4"/>
    <x v="0"/>
    <x v="0"/>
    <x v="0"/>
    <x v="0"/>
    <x v="2"/>
    <x v="0"/>
    <x v="0"/>
    <x v="5"/>
    <x v="2"/>
    <x v="0"/>
    <x v="0"/>
    <x v="0"/>
    <x v="0"/>
    <x v="0"/>
    <x v="2"/>
  </r>
  <r>
    <x v="7"/>
    <x v="7"/>
    <x v="9"/>
    <x v="1"/>
    <x v="5"/>
    <x v="5"/>
    <x v="0"/>
    <x v="5"/>
    <x v="0"/>
    <x v="0"/>
    <x v="0"/>
    <x v="0"/>
    <x v="1"/>
    <x v="9"/>
    <x v="0"/>
    <x v="5"/>
    <x v="9"/>
    <x v="0"/>
    <x v="1"/>
    <x v="0"/>
    <x v="0"/>
    <x v="0"/>
    <x v="9"/>
  </r>
  <r>
    <x v="7"/>
    <x v="7"/>
    <x v="9"/>
    <x v="1"/>
    <x v="5"/>
    <x v="5"/>
    <x v="0"/>
    <x v="5"/>
    <x v="0"/>
    <x v="0"/>
    <x v="0"/>
    <x v="0"/>
    <x v="2"/>
    <x v="10"/>
    <x v="0"/>
    <x v="5"/>
    <x v="2"/>
    <x v="0"/>
    <x v="1"/>
    <x v="0"/>
    <x v="0"/>
    <x v="0"/>
    <x v="2"/>
  </r>
  <r>
    <x v="7"/>
    <x v="7"/>
    <x v="10"/>
    <x v="1"/>
    <x v="5"/>
    <x v="5"/>
    <x v="1"/>
    <x v="0"/>
    <x v="0"/>
    <x v="0"/>
    <x v="0"/>
    <x v="0"/>
    <x v="1"/>
    <x v="11"/>
    <x v="0"/>
    <x v="5"/>
    <x v="7"/>
    <x v="0"/>
    <x v="0"/>
    <x v="0"/>
    <x v="0"/>
    <x v="0"/>
    <x v="7"/>
  </r>
  <r>
    <x v="7"/>
    <x v="7"/>
    <x v="10"/>
    <x v="1"/>
    <x v="5"/>
    <x v="5"/>
    <x v="1"/>
    <x v="0"/>
    <x v="0"/>
    <x v="0"/>
    <x v="0"/>
    <x v="0"/>
    <x v="2"/>
    <x v="12"/>
    <x v="0"/>
    <x v="5"/>
    <x v="5"/>
    <x v="0"/>
    <x v="4"/>
    <x v="0"/>
    <x v="0"/>
    <x v="0"/>
    <x v="5"/>
  </r>
  <r>
    <x v="7"/>
    <x v="7"/>
    <x v="10"/>
    <x v="1"/>
    <x v="5"/>
    <x v="5"/>
    <x v="1"/>
    <x v="0"/>
    <x v="0"/>
    <x v="0"/>
    <x v="0"/>
    <x v="0"/>
    <x v="0"/>
    <x v="12"/>
    <x v="0"/>
    <x v="5"/>
    <x v="5"/>
    <x v="0"/>
    <x v="4"/>
    <x v="0"/>
    <x v="0"/>
    <x v="0"/>
    <x v="5"/>
  </r>
  <r>
    <x v="8"/>
    <x v="6"/>
    <x v="11"/>
    <x v="1"/>
    <x v="5"/>
    <x v="5"/>
    <x v="0"/>
    <x v="6"/>
    <x v="0"/>
    <x v="4"/>
    <x v="0"/>
    <x v="0"/>
    <x v="4"/>
    <x v="13"/>
    <x v="0"/>
    <x v="5"/>
    <x v="9"/>
    <x v="0"/>
    <x v="0"/>
    <x v="0"/>
    <x v="0"/>
    <x v="0"/>
    <x v="9"/>
  </r>
  <r>
    <x v="8"/>
    <x v="6"/>
    <x v="11"/>
    <x v="1"/>
    <x v="5"/>
    <x v="5"/>
    <x v="0"/>
    <x v="6"/>
    <x v="0"/>
    <x v="4"/>
    <x v="0"/>
    <x v="0"/>
    <x v="4"/>
    <x v="13"/>
    <x v="0"/>
    <x v="5"/>
    <x v="9"/>
    <x v="0"/>
    <x v="0"/>
    <x v="0"/>
    <x v="0"/>
    <x v="0"/>
    <x v="9"/>
  </r>
  <r>
    <x v="8"/>
    <x v="6"/>
    <x v="11"/>
    <x v="1"/>
    <x v="5"/>
    <x v="5"/>
    <x v="0"/>
    <x v="6"/>
    <x v="0"/>
    <x v="4"/>
    <x v="0"/>
    <x v="0"/>
    <x v="4"/>
    <x v="13"/>
    <x v="0"/>
    <x v="5"/>
    <x v="9"/>
    <x v="0"/>
    <x v="0"/>
    <x v="0"/>
    <x v="0"/>
    <x v="0"/>
    <x v="9"/>
  </r>
  <r>
    <x v="8"/>
    <x v="6"/>
    <x v="8"/>
    <x v="1"/>
    <x v="5"/>
    <x v="5"/>
    <x v="0"/>
    <x v="6"/>
    <x v="0"/>
    <x v="4"/>
    <x v="0"/>
    <x v="0"/>
    <x v="5"/>
    <x v="14"/>
    <x v="0"/>
    <x v="5"/>
    <x v="9"/>
    <x v="0"/>
    <x v="0"/>
    <x v="0"/>
    <x v="0"/>
    <x v="0"/>
    <x v="9"/>
  </r>
  <r>
    <x v="8"/>
    <x v="6"/>
    <x v="8"/>
    <x v="1"/>
    <x v="5"/>
    <x v="5"/>
    <x v="0"/>
    <x v="6"/>
    <x v="0"/>
    <x v="4"/>
    <x v="0"/>
    <x v="0"/>
    <x v="4"/>
    <x v="13"/>
    <x v="0"/>
    <x v="5"/>
    <x v="10"/>
    <x v="0"/>
    <x v="0"/>
    <x v="0"/>
    <x v="0"/>
    <x v="0"/>
    <x v="10"/>
  </r>
  <r>
    <x v="8"/>
    <x v="6"/>
    <x v="8"/>
    <x v="1"/>
    <x v="5"/>
    <x v="5"/>
    <x v="0"/>
    <x v="6"/>
    <x v="0"/>
    <x v="4"/>
    <x v="0"/>
    <x v="0"/>
    <x v="4"/>
    <x v="13"/>
    <x v="0"/>
    <x v="5"/>
    <x v="10"/>
    <x v="0"/>
    <x v="0"/>
    <x v="0"/>
    <x v="0"/>
    <x v="0"/>
    <x v="10"/>
  </r>
  <r>
    <x v="8"/>
    <x v="6"/>
    <x v="8"/>
    <x v="1"/>
    <x v="5"/>
    <x v="5"/>
    <x v="0"/>
    <x v="6"/>
    <x v="0"/>
    <x v="4"/>
    <x v="0"/>
    <x v="0"/>
    <x v="4"/>
    <x v="13"/>
    <x v="0"/>
    <x v="5"/>
    <x v="3"/>
    <x v="0"/>
    <x v="0"/>
    <x v="0"/>
    <x v="0"/>
    <x v="0"/>
    <x v="3"/>
  </r>
  <r>
    <x v="8"/>
    <x v="6"/>
    <x v="8"/>
    <x v="1"/>
    <x v="5"/>
    <x v="5"/>
    <x v="0"/>
    <x v="6"/>
    <x v="0"/>
    <x v="4"/>
    <x v="0"/>
    <x v="0"/>
    <x v="6"/>
    <x v="13"/>
    <x v="0"/>
    <x v="5"/>
    <x v="11"/>
    <x v="0"/>
    <x v="0"/>
    <x v="0"/>
    <x v="0"/>
    <x v="0"/>
    <x v="11"/>
  </r>
  <r>
    <x v="9"/>
    <x v="6"/>
    <x v="11"/>
    <x v="1"/>
    <x v="6"/>
    <x v="6"/>
    <x v="0"/>
    <x v="6"/>
    <x v="0"/>
    <x v="3"/>
    <x v="0"/>
    <x v="0"/>
    <x v="7"/>
    <x v="15"/>
    <x v="0"/>
    <x v="5"/>
    <x v="9"/>
    <x v="0"/>
    <x v="0"/>
    <x v="0"/>
    <x v="0"/>
    <x v="0"/>
    <x v="9"/>
  </r>
  <r>
    <x v="9"/>
    <x v="6"/>
    <x v="8"/>
    <x v="1"/>
    <x v="6"/>
    <x v="6"/>
    <x v="0"/>
    <x v="6"/>
    <x v="0"/>
    <x v="3"/>
    <x v="0"/>
    <x v="0"/>
    <x v="0"/>
    <x v="15"/>
    <x v="0"/>
    <x v="5"/>
    <x v="9"/>
    <x v="0"/>
    <x v="0"/>
    <x v="0"/>
    <x v="0"/>
    <x v="0"/>
    <x v="9"/>
  </r>
  <r>
    <x v="9"/>
    <x v="6"/>
    <x v="8"/>
    <x v="1"/>
    <x v="6"/>
    <x v="6"/>
    <x v="0"/>
    <x v="6"/>
    <x v="0"/>
    <x v="3"/>
    <x v="0"/>
    <x v="0"/>
    <x v="4"/>
    <x v="13"/>
    <x v="0"/>
    <x v="5"/>
    <x v="10"/>
    <x v="0"/>
    <x v="0"/>
    <x v="0"/>
    <x v="0"/>
    <x v="0"/>
    <x v="10"/>
  </r>
  <r>
    <x v="9"/>
    <x v="6"/>
    <x v="8"/>
    <x v="1"/>
    <x v="6"/>
    <x v="6"/>
    <x v="0"/>
    <x v="6"/>
    <x v="0"/>
    <x v="3"/>
    <x v="0"/>
    <x v="0"/>
    <x v="7"/>
    <x v="15"/>
    <x v="0"/>
    <x v="5"/>
    <x v="2"/>
    <x v="0"/>
    <x v="0"/>
    <x v="0"/>
    <x v="0"/>
    <x v="0"/>
    <x v="2"/>
  </r>
  <r>
    <x v="10"/>
    <x v="8"/>
    <x v="8"/>
    <x v="2"/>
    <x v="7"/>
    <x v="7"/>
    <x v="0"/>
    <x v="7"/>
    <x v="0"/>
    <x v="0"/>
    <x v="0"/>
    <x v="0"/>
    <x v="2"/>
    <x v="7"/>
    <x v="0"/>
    <x v="5"/>
    <x v="10"/>
    <x v="0"/>
    <x v="0"/>
    <x v="0"/>
    <x v="0"/>
    <x v="0"/>
    <x v="10"/>
  </r>
  <r>
    <x v="10"/>
    <x v="8"/>
    <x v="8"/>
    <x v="2"/>
    <x v="7"/>
    <x v="7"/>
    <x v="0"/>
    <x v="7"/>
    <x v="0"/>
    <x v="0"/>
    <x v="0"/>
    <x v="0"/>
    <x v="5"/>
    <x v="7"/>
    <x v="0"/>
    <x v="5"/>
    <x v="10"/>
    <x v="0"/>
    <x v="0"/>
    <x v="0"/>
    <x v="0"/>
    <x v="0"/>
    <x v="10"/>
  </r>
  <r>
    <x v="10"/>
    <x v="8"/>
    <x v="3"/>
    <x v="2"/>
    <x v="7"/>
    <x v="7"/>
    <x v="0"/>
    <x v="7"/>
    <x v="0"/>
    <x v="0"/>
    <x v="0"/>
    <x v="0"/>
    <x v="3"/>
    <x v="8"/>
    <x v="0"/>
    <x v="5"/>
    <x v="9"/>
    <x v="0"/>
    <x v="0"/>
    <x v="0"/>
    <x v="0"/>
    <x v="0"/>
    <x v="9"/>
  </r>
  <r>
    <x v="11"/>
    <x v="4"/>
    <x v="4"/>
    <x v="2"/>
    <x v="8"/>
    <x v="8"/>
    <x v="0"/>
    <x v="2"/>
    <x v="0"/>
    <x v="0"/>
    <x v="0"/>
    <x v="0"/>
    <x v="0"/>
    <x v="16"/>
    <x v="0"/>
    <x v="5"/>
    <x v="3"/>
    <x v="0"/>
    <x v="0"/>
    <x v="0"/>
    <x v="0"/>
    <x v="0"/>
    <x v="3"/>
  </r>
  <r>
    <x v="11"/>
    <x v="3"/>
    <x v="3"/>
    <x v="2"/>
    <x v="8"/>
    <x v="8"/>
    <x v="0"/>
    <x v="2"/>
    <x v="0"/>
    <x v="0"/>
    <x v="0"/>
    <x v="0"/>
    <x v="1"/>
    <x v="8"/>
    <x v="0"/>
    <x v="5"/>
    <x v="2"/>
    <x v="0"/>
    <x v="0"/>
    <x v="0"/>
    <x v="0"/>
    <x v="0"/>
    <x v="2"/>
  </r>
  <r>
    <x v="11"/>
    <x v="3"/>
    <x v="3"/>
    <x v="2"/>
    <x v="8"/>
    <x v="8"/>
    <x v="0"/>
    <x v="2"/>
    <x v="0"/>
    <x v="0"/>
    <x v="0"/>
    <x v="0"/>
    <x v="2"/>
    <x v="16"/>
    <x v="0"/>
    <x v="5"/>
    <x v="12"/>
    <x v="0"/>
    <x v="0"/>
    <x v="0"/>
    <x v="0"/>
    <x v="0"/>
    <x v="12"/>
  </r>
  <r>
    <x v="11"/>
    <x v="3"/>
    <x v="3"/>
    <x v="2"/>
    <x v="8"/>
    <x v="8"/>
    <x v="0"/>
    <x v="2"/>
    <x v="0"/>
    <x v="0"/>
    <x v="0"/>
    <x v="0"/>
    <x v="2"/>
    <x v="16"/>
    <x v="0"/>
    <x v="5"/>
    <x v="4"/>
    <x v="0"/>
    <x v="0"/>
    <x v="0"/>
    <x v="0"/>
    <x v="0"/>
    <x v="4"/>
  </r>
  <r>
    <x v="11"/>
    <x v="3"/>
    <x v="3"/>
    <x v="2"/>
    <x v="8"/>
    <x v="8"/>
    <x v="0"/>
    <x v="2"/>
    <x v="0"/>
    <x v="0"/>
    <x v="0"/>
    <x v="0"/>
    <x v="0"/>
    <x v="3"/>
    <x v="0"/>
    <x v="5"/>
    <x v="9"/>
    <x v="0"/>
    <x v="0"/>
    <x v="0"/>
    <x v="0"/>
    <x v="0"/>
    <x v="9"/>
  </r>
  <r>
    <x v="11"/>
    <x v="4"/>
    <x v="4"/>
    <x v="2"/>
    <x v="8"/>
    <x v="9"/>
    <x v="1"/>
    <x v="0"/>
    <x v="0"/>
    <x v="0"/>
    <x v="0"/>
    <x v="0"/>
    <x v="2"/>
    <x v="13"/>
    <x v="0"/>
    <x v="5"/>
    <x v="7"/>
    <x v="0"/>
    <x v="0"/>
    <x v="0"/>
    <x v="0"/>
    <x v="0"/>
    <x v="7"/>
  </r>
  <r>
    <x v="11"/>
    <x v="3"/>
    <x v="3"/>
    <x v="2"/>
    <x v="8"/>
    <x v="9"/>
    <x v="1"/>
    <x v="0"/>
    <x v="0"/>
    <x v="0"/>
    <x v="0"/>
    <x v="0"/>
    <x v="4"/>
    <x v="7"/>
    <x v="0"/>
    <x v="5"/>
    <x v="3"/>
    <x v="0"/>
    <x v="0"/>
    <x v="0"/>
    <x v="0"/>
    <x v="0"/>
    <x v="3"/>
  </r>
  <r>
    <x v="11"/>
    <x v="3"/>
    <x v="3"/>
    <x v="2"/>
    <x v="8"/>
    <x v="9"/>
    <x v="1"/>
    <x v="0"/>
    <x v="0"/>
    <x v="0"/>
    <x v="0"/>
    <x v="0"/>
    <x v="4"/>
    <x v="7"/>
    <x v="0"/>
    <x v="5"/>
    <x v="13"/>
    <x v="0"/>
    <x v="0"/>
    <x v="0"/>
    <x v="0"/>
    <x v="0"/>
    <x v="13"/>
  </r>
  <r>
    <x v="11"/>
    <x v="6"/>
    <x v="12"/>
    <x v="2"/>
    <x v="8"/>
    <x v="9"/>
    <x v="2"/>
    <x v="0"/>
    <x v="0"/>
    <x v="0"/>
    <x v="0"/>
    <x v="0"/>
    <x v="1"/>
    <x v="0"/>
    <x v="0"/>
    <x v="5"/>
    <x v="13"/>
    <x v="0"/>
    <x v="2"/>
    <x v="0"/>
    <x v="0"/>
    <x v="0"/>
    <x v="13"/>
  </r>
  <r>
    <x v="11"/>
    <x v="6"/>
    <x v="12"/>
    <x v="2"/>
    <x v="8"/>
    <x v="9"/>
    <x v="2"/>
    <x v="0"/>
    <x v="0"/>
    <x v="0"/>
    <x v="0"/>
    <x v="0"/>
    <x v="5"/>
    <x v="13"/>
    <x v="0"/>
    <x v="5"/>
    <x v="9"/>
    <x v="0"/>
    <x v="0"/>
    <x v="0"/>
    <x v="0"/>
    <x v="0"/>
    <x v="9"/>
  </r>
  <r>
    <x v="11"/>
    <x v="6"/>
    <x v="11"/>
    <x v="2"/>
    <x v="8"/>
    <x v="9"/>
    <x v="2"/>
    <x v="0"/>
    <x v="0"/>
    <x v="0"/>
    <x v="0"/>
    <x v="0"/>
    <x v="5"/>
    <x v="13"/>
    <x v="0"/>
    <x v="5"/>
    <x v="3"/>
    <x v="0"/>
    <x v="0"/>
    <x v="0"/>
    <x v="0"/>
    <x v="0"/>
    <x v="3"/>
  </r>
  <r>
    <x v="4"/>
    <x v="4"/>
    <x v="4"/>
    <x v="2"/>
    <x v="4"/>
    <x v="4"/>
    <x v="0"/>
    <x v="8"/>
    <x v="0"/>
    <x v="0"/>
    <x v="0"/>
    <x v="0"/>
    <x v="2"/>
    <x v="5"/>
    <x v="0"/>
    <x v="5"/>
    <x v="11"/>
    <x v="0"/>
    <x v="0"/>
    <x v="0"/>
    <x v="0"/>
    <x v="0"/>
    <x v="11"/>
  </r>
  <r>
    <x v="4"/>
    <x v="4"/>
    <x v="4"/>
    <x v="2"/>
    <x v="4"/>
    <x v="4"/>
    <x v="0"/>
    <x v="8"/>
    <x v="0"/>
    <x v="0"/>
    <x v="0"/>
    <x v="0"/>
    <x v="2"/>
    <x v="5"/>
    <x v="0"/>
    <x v="5"/>
    <x v="11"/>
    <x v="0"/>
    <x v="0"/>
    <x v="0"/>
    <x v="0"/>
    <x v="0"/>
    <x v="11"/>
  </r>
  <r>
    <x v="4"/>
    <x v="3"/>
    <x v="3"/>
    <x v="2"/>
    <x v="4"/>
    <x v="10"/>
    <x v="1"/>
    <x v="0"/>
    <x v="0"/>
    <x v="0"/>
    <x v="0"/>
    <x v="0"/>
    <x v="0"/>
    <x v="5"/>
    <x v="0"/>
    <x v="5"/>
    <x v="3"/>
    <x v="1"/>
    <x v="4"/>
    <x v="0"/>
    <x v="0"/>
    <x v="0"/>
    <x v="3"/>
  </r>
  <r>
    <x v="4"/>
    <x v="3"/>
    <x v="3"/>
    <x v="2"/>
    <x v="4"/>
    <x v="10"/>
    <x v="1"/>
    <x v="0"/>
    <x v="0"/>
    <x v="0"/>
    <x v="0"/>
    <x v="0"/>
    <x v="5"/>
    <x v="5"/>
    <x v="0"/>
    <x v="5"/>
    <x v="9"/>
    <x v="0"/>
    <x v="0"/>
    <x v="0"/>
    <x v="0"/>
    <x v="0"/>
    <x v="9"/>
  </r>
  <r>
    <x v="12"/>
    <x v="0"/>
    <x v="13"/>
    <x v="0"/>
    <x v="0"/>
    <x v="11"/>
    <x v="0"/>
    <x v="0"/>
    <x v="0"/>
    <x v="0"/>
    <x v="0"/>
    <x v="0"/>
    <x v="2"/>
    <x v="1"/>
    <x v="4"/>
    <x v="5"/>
    <x v="11"/>
    <x v="0"/>
    <x v="0"/>
    <x v="0"/>
    <x v="0"/>
    <x v="0"/>
    <x v="11"/>
  </r>
  <r>
    <x v="12"/>
    <x v="0"/>
    <x v="13"/>
    <x v="0"/>
    <x v="0"/>
    <x v="11"/>
    <x v="0"/>
    <x v="0"/>
    <x v="0"/>
    <x v="0"/>
    <x v="0"/>
    <x v="0"/>
    <x v="5"/>
    <x v="1"/>
    <x v="5"/>
    <x v="5"/>
    <x v="10"/>
    <x v="0"/>
    <x v="0"/>
    <x v="0"/>
    <x v="0"/>
    <x v="0"/>
    <x v="10"/>
  </r>
  <r>
    <x v="12"/>
    <x v="0"/>
    <x v="13"/>
    <x v="0"/>
    <x v="0"/>
    <x v="11"/>
    <x v="0"/>
    <x v="0"/>
    <x v="0"/>
    <x v="0"/>
    <x v="0"/>
    <x v="0"/>
    <x v="4"/>
    <x v="1"/>
    <x v="6"/>
    <x v="5"/>
    <x v="11"/>
    <x v="0"/>
    <x v="0"/>
    <x v="0"/>
    <x v="0"/>
    <x v="0"/>
    <x v="11"/>
  </r>
  <r>
    <x v="2"/>
    <x v="4"/>
    <x v="4"/>
    <x v="0"/>
    <x v="2"/>
    <x v="2"/>
    <x v="0"/>
    <x v="1"/>
    <x v="0"/>
    <x v="0"/>
    <x v="0"/>
    <x v="0"/>
    <x v="0"/>
    <x v="14"/>
    <x v="0"/>
    <x v="5"/>
    <x v="9"/>
    <x v="0"/>
    <x v="0"/>
    <x v="0"/>
    <x v="0"/>
    <x v="0"/>
    <x v="9"/>
  </r>
  <r>
    <x v="2"/>
    <x v="4"/>
    <x v="4"/>
    <x v="0"/>
    <x v="2"/>
    <x v="2"/>
    <x v="0"/>
    <x v="1"/>
    <x v="0"/>
    <x v="0"/>
    <x v="0"/>
    <x v="0"/>
    <x v="0"/>
    <x v="14"/>
    <x v="0"/>
    <x v="5"/>
    <x v="3"/>
    <x v="0"/>
    <x v="0"/>
    <x v="0"/>
    <x v="0"/>
    <x v="0"/>
    <x v="3"/>
  </r>
  <r>
    <x v="2"/>
    <x v="4"/>
    <x v="4"/>
    <x v="0"/>
    <x v="2"/>
    <x v="2"/>
    <x v="0"/>
    <x v="1"/>
    <x v="0"/>
    <x v="0"/>
    <x v="0"/>
    <x v="0"/>
    <x v="0"/>
    <x v="14"/>
    <x v="0"/>
    <x v="5"/>
    <x v="9"/>
    <x v="0"/>
    <x v="0"/>
    <x v="0"/>
    <x v="0"/>
    <x v="0"/>
    <x v="9"/>
  </r>
  <r>
    <x v="2"/>
    <x v="4"/>
    <x v="4"/>
    <x v="0"/>
    <x v="2"/>
    <x v="2"/>
    <x v="0"/>
    <x v="1"/>
    <x v="0"/>
    <x v="0"/>
    <x v="0"/>
    <x v="0"/>
    <x v="0"/>
    <x v="14"/>
    <x v="0"/>
    <x v="5"/>
    <x v="10"/>
    <x v="0"/>
    <x v="0"/>
    <x v="0"/>
    <x v="0"/>
    <x v="0"/>
    <x v="10"/>
  </r>
  <r>
    <x v="2"/>
    <x v="4"/>
    <x v="4"/>
    <x v="0"/>
    <x v="2"/>
    <x v="2"/>
    <x v="0"/>
    <x v="1"/>
    <x v="0"/>
    <x v="0"/>
    <x v="0"/>
    <x v="0"/>
    <x v="4"/>
    <x v="17"/>
    <x v="0"/>
    <x v="5"/>
    <x v="2"/>
    <x v="0"/>
    <x v="0"/>
    <x v="0"/>
    <x v="0"/>
    <x v="0"/>
    <x v="2"/>
  </r>
  <r>
    <x v="13"/>
    <x v="4"/>
    <x v="4"/>
    <x v="0"/>
    <x v="1"/>
    <x v="1"/>
    <x v="0"/>
    <x v="0"/>
    <x v="0"/>
    <x v="5"/>
    <x v="0"/>
    <x v="0"/>
    <x v="2"/>
    <x v="18"/>
    <x v="0"/>
    <x v="5"/>
    <x v="10"/>
    <x v="0"/>
    <x v="0"/>
    <x v="0"/>
    <x v="0"/>
    <x v="0"/>
    <x v="10"/>
  </r>
  <r>
    <x v="13"/>
    <x v="4"/>
    <x v="4"/>
    <x v="0"/>
    <x v="1"/>
    <x v="1"/>
    <x v="0"/>
    <x v="0"/>
    <x v="0"/>
    <x v="5"/>
    <x v="0"/>
    <x v="0"/>
    <x v="2"/>
    <x v="18"/>
    <x v="0"/>
    <x v="5"/>
    <x v="10"/>
    <x v="0"/>
    <x v="0"/>
    <x v="0"/>
    <x v="0"/>
    <x v="0"/>
    <x v="10"/>
  </r>
  <r>
    <x v="13"/>
    <x v="1"/>
    <x v="1"/>
    <x v="0"/>
    <x v="1"/>
    <x v="1"/>
    <x v="0"/>
    <x v="0"/>
    <x v="0"/>
    <x v="6"/>
    <x v="0"/>
    <x v="0"/>
    <x v="1"/>
    <x v="1"/>
    <x v="7"/>
    <x v="5"/>
    <x v="10"/>
    <x v="0"/>
    <x v="0"/>
    <x v="0"/>
    <x v="0"/>
    <x v="0"/>
    <x v="10"/>
  </r>
  <r>
    <x v="13"/>
    <x v="4"/>
    <x v="4"/>
    <x v="0"/>
    <x v="1"/>
    <x v="1"/>
    <x v="1"/>
    <x v="0"/>
    <x v="0"/>
    <x v="7"/>
    <x v="0"/>
    <x v="0"/>
    <x v="1"/>
    <x v="19"/>
    <x v="0"/>
    <x v="5"/>
    <x v="9"/>
    <x v="0"/>
    <x v="0"/>
    <x v="0"/>
    <x v="0"/>
    <x v="0"/>
    <x v="9"/>
  </r>
  <r>
    <x v="13"/>
    <x v="4"/>
    <x v="4"/>
    <x v="0"/>
    <x v="1"/>
    <x v="1"/>
    <x v="1"/>
    <x v="0"/>
    <x v="0"/>
    <x v="7"/>
    <x v="0"/>
    <x v="0"/>
    <x v="1"/>
    <x v="19"/>
    <x v="0"/>
    <x v="5"/>
    <x v="11"/>
    <x v="0"/>
    <x v="0"/>
    <x v="0"/>
    <x v="0"/>
    <x v="0"/>
    <x v="11"/>
  </r>
  <r>
    <x v="13"/>
    <x v="4"/>
    <x v="4"/>
    <x v="0"/>
    <x v="1"/>
    <x v="1"/>
    <x v="1"/>
    <x v="0"/>
    <x v="0"/>
    <x v="7"/>
    <x v="0"/>
    <x v="0"/>
    <x v="1"/>
    <x v="19"/>
    <x v="0"/>
    <x v="5"/>
    <x v="1"/>
    <x v="0"/>
    <x v="0"/>
    <x v="0"/>
    <x v="0"/>
    <x v="0"/>
    <x v="1"/>
  </r>
  <r>
    <x v="13"/>
    <x v="4"/>
    <x v="4"/>
    <x v="0"/>
    <x v="1"/>
    <x v="1"/>
    <x v="1"/>
    <x v="0"/>
    <x v="0"/>
    <x v="7"/>
    <x v="0"/>
    <x v="0"/>
    <x v="2"/>
    <x v="19"/>
    <x v="0"/>
    <x v="5"/>
    <x v="3"/>
    <x v="0"/>
    <x v="0"/>
    <x v="0"/>
    <x v="0"/>
    <x v="0"/>
    <x v="3"/>
  </r>
  <r>
    <x v="13"/>
    <x v="4"/>
    <x v="4"/>
    <x v="0"/>
    <x v="1"/>
    <x v="1"/>
    <x v="1"/>
    <x v="0"/>
    <x v="0"/>
    <x v="7"/>
    <x v="0"/>
    <x v="0"/>
    <x v="2"/>
    <x v="19"/>
    <x v="0"/>
    <x v="5"/>
    <x v="11"/>
    <x v="0"/>
    <x v="0"/>
    <x v="0"/>
    <x v="0"/>
    <x v="0"/>
    <x v="11"/>
  </r>
  <r>
    <x v="13"/>
    <x v="4"/>
    <x v="4"/>
    <x v="0"/>
    <x v="1"/>
    <x v="1"/>
    <x v="1"/>
    <x v="0"/>
    <x v="0"/>
    <x v="7"/>
    <x v="0"/>
    <x v="0"/>
    <x v="2"/>
    <x v="19"/>
    <x v="0"/>
    <x v="5"/>
    <x v="2"/>
    <x v="0"/>
    <x v="0"/>
    <x v="0"/>
    <x v="0"/>
    <x v="0"/>
    <x v="2"/>
  </r>
  <r>
    <x v="13"/>
    <x v="4"/>
    <x v="4"/>
    <x v="0"/>
    <x v="1"/>
    <x v="1"/>
    <x v="1"/>
    <x v="0"/>
    <x v="0"/>
    <x v="7"/>
    <x v="0"/>
    <x v="0"/>
    <x v="2"/>
    <x v="19"/>
    <x v="0"/>
    <x v="5"/>
    <x v="10"/>
    <x v="0"/>
    <x v="0"/>
    <x v="0"/>
    <x v="0"/>
    <x v="0"/>
    <x v="10"/>
  </r>
  <r>
    <x v="13"/>
    <x v="4"/>
    <x v="4"/>
    <x v="0"/>
    <x v="1"/>
    <x v="1"/>
    <x v="1"/>
    <x v="0"/>
    <x v="0"/>
    <x v="7"/>
    <x v="0"/>
    <x v="0"/>
    <x v="2"/>
    <x v="19"/>
    <x v="0"/>
    <x v="5"/>
    <x v="10"/>
    <x v="0"/>
    <x v="0"/>
    <x v="0"/>
    <x v="0"/>
    <x v="0"/>
    <x v="10"/>
  </r>
  <r>
    <x v="13"/>
    <x v="4"/>
    <x v="4"/>
    <x v="0"/>
    <x v="1"/>
    <x v="1"/>
    <x v="1"/>
    <x v="0"/>
    <x v="0"/>
    <x v="7"/>
    <x v="0"/>
    <x v="0"/>
    <x v="0"/>
    <x v="19"/>
    <x v="0"/>
    <x v="5"/>
    <x v="11"/>
    <x v="0"/>
    <x v="0"/>
    <x v="0"/>
    <x v="0"/>
    <x v="0"/>
    <x v="11"/>
  </r>
  <r>
    <x v="13"/>
    <x v="4"/>
    <x v="4"/>
    <x v="0"/>
    <x v="1"/>
    <x v="1"/>
    <x v="1"/>
    <x v="0"/>
    <x v="0"/>
    <x v="7"/>
    <x v="0"/>
    <x v="0"/>
    <x v="0"/>
    <x v="19"/>
    <x v="0"/>
    <x v="5"/>
    <x v="8"/>
    <x v="0"/>
    <x v="0"/>
    <x v="0"/>
    <x v="0"/>
    <x v="0"/>
    <x v="8"/>
  </r>
  <r>
    <x v="13"/>
    <x v="4"/>
    <x v="4"/>
    <x v="0"/>
    <x v="1"/>
    <x v="1"/>
    <x v="1"/>
    <x v="0"/>
    <x v="0"/>
    <x v="7"/>
    <x v="0"/>
    <x v="0"/>
    <x v="0"/>
    <x v="19"/>
    <x v="0"/>
    <x v="5"/>
    <x v="11"/>
    <x v="0"/>
    <x v="0"/>
    <x v="0"/>
    <x v="0"/>
    <x v="0"/>
    <x v="11"/>
  </r>
  <r>
    <x v="13"/>
    <x v="4"/>
    <x v="4"/>
    <x v="0"/>
    <x v="1"/>
    <x v="1"/>
    <x v="1"/>
    <x v="0"/>
    <x v="0"/>
    <x v="7"/>
    <x v="0"/>
    <x v="0"/>
    <x v="0"/>
    <x v="19"/>
    <x v="0"/>
    <x v="5"/>
    <x v="3"/>
    <x v="0"/>
    <x v="0"/>
    <x v="0"/>
    <x v="0"/>
    <x v="0"/>
    <x v="3"/>
  </r>
  <r>
    <x v="13"/>
    <x v="1"/>
    <x v="1"/>
    <x v="0"/>
    <x v="1"/>
    <x v="1"/>
    <x v="1"/>
    <x v="0"/>
    <x v="0"/>
    <x v="7"/>
    <x v="0"/>
    <x v="0"/>
    <x v="1"/>
    <x v="1"/>
    <x v="8"/>
    <x v="5"/>
    <x v="0"/>
    <x v="0"/>
    <x v="0"/>
    <x v="0"/>
    <x v="0"/>
    <x v="0"/>
    <x v="0"/>
  </r>
  <r>
    <x v="13"/>
    <x v="1"/>
    <x v="1"/>
    <x v="0"/>
    <x v="1"/>
    <x v="1"/>
    <x v="1"/>
    <x v="0"/>
    <x v="0"/>
    <x v="7"/>
    <x v="0"/>
    <x v="0"/>
    <x v="2"/>
    <x v="1"/>
    <x v="9"/>
    <x v="5"/>
    <x v="3"/>
    <x v="0"/>
    <x v="0"/>
    <x v="0"/>
    <x v="0"/>
    <x v="0"/>
    <x v="3"/>
  </r>
  <r>
    <x v="13"/>
    <x v="1"/>
    <x v="1"/>
    <x v="0"/>
    <x v="1"/>
    <x v="1"/>
    <x v="1"/>
    <x v="0"/>
    <x v="0"/>
    <x v="7"/>
    <x v="0"/>
    <x v="0"/>
    <x v="2"/>
    <x v="1"/>
    <x v="9"/>
    <x v="5"/>
    <x v="10"/>
    <x v="0"/>
    <x v="0"/>
    <x v="0"/>
    <x v="0"/>
    <x v="0"/>
    <x v="10"/>
  </r>
  <r>
    <x v="13"/>
    <x v="1"/>
    <x v="1"/>
    <x v="0"/>
    <x v="1"/>
    <x v="1"/>
    <x v="1"/>
    <x v="0"/>
    <x v="0"/>
    <x v="7"/>
    <x v="0"/>
    <x v="0"/>
    <x v="2"/>
    <x v="1"/>
    <x v="9"/>
    <x v="5"/>
    <x v="3"/>
    <x v="0"/>
    <x v="0"/>
    <x v="0"/>
    <x v="0"/>
    <x v="0"/>
    <x v="3"/>
  </r>
  <r>
    <x v="13"/>
    <x v="1"/>
    <x v="1"/>
    <x v="0"/>
    <x v="1"/>
    <x v="1"/>
    <x v="1"/>
    <x v="0"/>
    <x v="0"/>
    <x v="7"/>
    <x v="0"/>
    <x v="0"/>
    <x v="2"/>
    <x v="1"/>
    <x v="9"/>
    <x v="5"/>
    <x v="10"/>
    <x v="0"/>
    <x v="0"/>
    <x v="0"/>
    <x v="0"/>
    <x v="0"/>
    <x v="10"/>
  </r>
  <r>
    <x v="13"/>
    <x v="1"/>
    <x v="1"/>
    <x v="0"/>
    <x v="1"/>
    <x v="1"/>
    <x v="1"/>
    <x v="0"/>
    <x v="0"/>
    <x v="7"/>
    <x v="0"/>
    <x v="0"/>
    <x v="2"/>
    <x v="1"/>
    <x v="9"/>
    <x v="5"/>
    <x v="3"/>
    <x v="0"/>
    <x v="0"/>
    <x v="0"/>
    <x v="0"/>
    <x v="0"/>
    <x v="3"/>
  </r>
  <r>
    <x v="13"/>
    <x v="1"/>
    <x v="1"/>
    <x v="0"/>
    <x v="1"/>
    <x v="1"/>
    <x v="1"/>
    <x v="0"/>
    <x v="0"/>
    <x v="7"/>
    <x v="0"/>
    <x v="0"/>
    <x v="0"/>
    <x v="1"/>
    <x v="10"/>
    <x v="5"/>
    <x v="2"/>
    <x v="0"/>
    <x v="0"/>
    <x v="0"/>
    <x v="0"/>
    <x v="0"/>
    <x v="2"/>
  </r>
  <r>
    <x v="13"/>
    <x v="1"/>
    <x v="1"/>
    <x v="0"/>
    <x v="1"/>
    <x v="1"/>
    <x v="1"/>
    <x v="0"/>
    <x v="0"/>
    <x v="7"/>
    <x v="0"/>
    <x v="0"/>
    <x v="0"/>
    <x v="1"/>
    <x v="10"/>
    <x v="5"/>
    <x v="14"/>
    <x v="0"/>
    <x v="0"/>
    <x v="0"/>
    <x v="0"/>
    <x v="0"/>
    <x v="14"/>
  </r>
  <r>
    <x v="13"/>
    <x v="1"/>
    <x v="1"/>
    <x v="0"/>
    <x v="1"/>
    <x v="1"/>
    <x v="1"/>
    <x v="0"/>
    <x v="0"/>
    <x v="7"/>
    <x v="0"/>
    <x v="0"/>
    <x v="0"/>
    <x v="1"/>
    <x v="10"/>
    <x v="5"/>
    <x v="9"/>
    <x v="0"/>
    <x v="0"/>
    <x v="0"/>
    <x v="0"/>
    <x v="0"/>
    <x v="9"/>
  </r>
  <r>
    <x v="13"/>
    <x v="1"/>
    <x v="1"/>
    <x v="0"/>
    <x v="1"/>
    <x v="1"/>
    <x v="1"/>
    <x v="0"/>
    <x v="0"/>
    <x v="7"/>
    <x v="0"/>
    <x v="0"/>
    <x v="0"/>
    <x v="1"/>
    <x v="10"/>
    <x v="5"/>
    <x v="2"/>
    <x v="0"/>
    <x v="0"/>
    <x v="0"/>
    <x v="0"/>
    <x v="0"/>
    <x v="2"/>
  </r>
  <r>
    <x v="13"/>
    <x v="1"/>
    <x v="1"/>
    <x v="0"/>
    <x v="1"/>
    <x v="1"/>
    <x v="1"/>
    <x v="0"/>
    <x v="0"/>
    <x v="7"/>
    <x v="0"/>
    <x v="0"/>
    <x v="0"/>
    <x v="1"/>
    <x v="10"/>
    <x v="5"/>
    <x v="10"/>
    <x v="0"/>
    <x v="0"/>
    <x v="0"/>
    <x v="0"/>
    <x v="0"/>
    <x v="10"/>
  </r>
  <r>
    <x v="1"/>
    <x v="4"/>
    <x v="4"/>
    <x v="0"/>
    <x v="1"/>
    <x v="1"/>
    <x v="0"/>
    <x v="0"/>
    <x v="0"/>
    <x v="0"/>
    <x v="0"/>
    <x v="0"/>
    <x v="1"/>
    <x v="0"/>
    <x v="0"/>
    <x v="5"/>
    <x v="11"/>
    <x v="0"/>
    <x v="0"/>
    <x v="0"/>
    <x v="0"/>
    <x v="0"/>
    <x v="11"/>
  </r>
  <r>
    <x v="1"/>
    <x v="4"/>
    <x v="4"/>
    <x v="0"/>
    <x v="1"/>
    <x v="1"/>
    <x v="0"/>
    <x v="0"/>
    <x v="0"/>
    <x v="0"/>
    <x v="0"/>
    <x v="0"/>
    <x v="1"/>
    <x v="0"/>
    <x v="0"/>
    <x v="5"/>
    <x v="2"/>
    <x v="0"/>
    <x v="0"/>
    <x v="0"/>
    <x v="0"/>
    <x v="0"/>
    <x v="2"/>
  </r>
  <r>
    <x v="1"/>
    <x v="4"/>
    <x v="4"/>
    <x v="0"/>
    <x v="1"/>
    <x v="1"/>
    <x v="0"/>
    <x v="0"/>
    <x v="0"/>
    <x v="0"/>
    <x v="0"/>
    <x v="0"/>
    <x v="2"/>
    <x v="4"/>
    <x v="0"/>
    <x v="5"/>
    <x v="7"/>
    <x v="0"/>
    <x v="0"/>
    <x v="0"/>
    <x v="0"/>
    <x v="0"/>
    <x v="7"/>
  </r>
  <r>
    <x v="1"/>
    <x v="4"/>
    <x v="4"/>
    <x v="0"/>
    <x v="1"/>
    <x v="1"/>
    <x v="0"/>
    <x v="0"/>
    <x v="0"/>
    <x v="0"/>
    <x v="0"/>
    <x v="0"/>
    <x v="2"/>
    <x v="4"/>
    <x v="0"/>
    <x v="5"/>
    <x v="2"/>
    <x v="0"/>
    <x v="0"/>
    <x v="0"/>
    <x v="0"/>
    <x v="0"/>
    <x v="2"/>
  </r>
  <r>
    <x v="1"/>
    <x v="4"/>
    <x v="4"/>
    <x v="0"/>
    <x v="1"/>
    <x v="1"/>
    <x v="0"/>
    <x v="0"/>
    <x v="0"/>
    <x v="0"/>
    <x v="0"/>
    <x v="0"/>
    <x v="0"/>
    <x v="16"/>
    <x v="0"/>
    <x v="5"/>
    <x v="9"/>
    <x v="0"/>
    <x v="0"/>
    <x v="0"/>
    <x v="0"/>
    <x v="0"/>
    <x v="9"/>
  </r>
  <r>
    <x v="1"/>
    <x v="4"/>
    <x v="4"/>
    <x v="0"/>
    <x v="1"/>
    <x v="1"/>
    <x v="0"/>
    <x v="0"/>
    <x v="0"/>
    <x v="0"/>
    <x v="0"/>
    <x v="0"/>
    <x v="0"/>
    <x v="16"/>
    <x v="0"/>
    <x v="5"/>
    <x v="11"/>
    <x v="1"/>
    <x v="0"/>
    <x v="0"/>
    <x v="0"/>
    <x v="0"/>
    <x v="11"/>
  </r>
  <r>
    <x v="1"/>
    <x v="1"/>
    <x v="1"/>
    <x v="0"/>
    <x v="1"/>
    <x v="1"/>
    <x v="0"/>
    <x v="0"/>
    <x v="0"/>
    <x v="0"/>
    <x v="0"/>
    <x v="0"/>
    <x v="5"/>
    <x v="1"/>
    <x v="11"/>
    <x v="5"/>
    <x v="3"/>
    <x v="0"/>
    <x v="0"/>
    <x v="0"/>
    <x v="0"/>
    <x v="0"/>
    <x v="3"/>
  </r>
  <r>
    <x v="14"/>
    <x v="9"/>
    <x v="14"/>
    <x v="0"/>
    <x v="2"/>
    <x v="12"/>
    <x v="0"/>
    <x v="0"/>
    <x v="0"/>
    <x v="0"/>
    <x v="0"/>
    <x v="0"/>
    <x v="1"/>
    <x v="1"/>
    <x v="12"/>
    <x v="5"/>
    <x v="11"/>
    <x v="0"/>
    <x v="0"/>
    <x v="0"/>
    <x v="0"/>
    <x v="0"/>
    <x v="11"/>
  </r>
  <r>
    <x v="14"/>
    <x v="9"/>
    <x v="14"/>
    <x v="0"/>
    <x v="2"/>
    <x v="12"/>
    <x v="0"/>
    <x v="0"/>
    <x v="0"/>
    <x v="0"/>
    <x v="0"/>
    <x v="0"/>
    <x v="1"/>
    <x v="1"/>
    <x v="12"/>
    <x v="5"/>
    <x v="10"/>
    <x v="0"/>
    <x v="0"/>
    <x v="0"/>
    <x v="0"/>
    <x v="0"/>
    <x v="10"/>
  </r>
  <r>
    <x v="14"/>
    <x v="9"/>
    <x v="14"/>
    <x v="0"/>
    <x v="2"/>
    <x v="12"/>
    <x v="0"/>
    <x v="0"/>
    <x v="0"/>
    <x v="0"/>
    <x v="0"/>
    <x v="0"/>
    <x v="2"/>
    <x v="1"/>
    <x v="13"/>
    <x v="5"/>
    <x v="10"/>
    <x v="0"/>
    <x v="0"/>
    <x v="0"/>
    <x v="0"/>
    <x v="0"/>
    <x v="10"/>
  </r>
  <r>
    <x v="14"/>
    <x v="9"/>
    <x v="14"/>
    <x v="0"/>
    <x v="2"/>
    <x v="12"/>
    <x v="0"/>
    <x v="0"/>
    <x v="0"/>
    <x v="0"/>
    <x v="0"/>
    <x v="0"/>
    <x v="2"/>
    <x v="1"/>
    <x v="13"/>
    <x v="5"/>
    <x v="10"/>
    <x v="0"/>
    <x v="0"/>
    <x v="0"/>
    <x v="0"/>
    <x v="0"/>
    <x v="10"/>
  </r>
  <r>
    <x v="14"/>
    <x v="9"/>
    <x v="14"/>
    <x v="0"/>
    <x v="2"/>
    <x v="12"/>
    <x v="0"/>
    <x v="0"/>
    <x v="0"/>
    <x v="0"/>
    <x v="0"/>
    <x v="0"/>
    <x v="2"/>
    <x v="1"/>
    <x v="13"/>
    <x v="5"/>
    <x v="10"/>
    <x v="0"/>
    <x v="0"/>
    <x v="0"/>
    <x v="0"/>
    <x v="0"/>
    <x v="10"/>
  </r>
  <r>
    <x v="5"/>
    <x v="4"/>
    <x v="4"/>
    <x v="0"/>
    <x v="0"/>
    <x v="0"/>
    <x v="0"/>
    <x v="0"/>
    <x v="0"/>
    <x v="0"/>
    <x v="0"/>
    <x v="0"/>
    <x v="2"/>
    <x v="1"/>
    <x v="14"/>
    <x v="5"/>
    <x v="3"/>
    <x v="0"/>
    <x v="0"/>
    <x v="0"/>
    <x v="0"/>
    <x v="0"/>
    <x v="3"/>
  </r>
  <r>
    <x v="5"/>
    <x v="4"/>
    <x v="4"/>
    <x v="0"/>
    <x v="0"/>
    <x v="0"/>
    <x v="0"/>
    <x v="0"/>
    <x v="0"/>
    <x v="0"/>
    <x v="0"/>
    <x v="0"/>
    <x v="2"/>
    <x v="1"/>
    <x v="14"/>
    <x v="5"/>
    <x v="3"/>
    <x v="0"/>
    <x v="0"/>
    <x v="0"/>
    <x v="0"/>
    <x v="0"/>
    <x v="3"/>
  </r>
  <r>
    <x v="5"/>
    <x v="4"/>
    <x v="4"/>
    <x v="0"/>
    <x v="0"/>
    <x v="0"/>
    <x v="0"/>
    <x v="0"/>
    <x v="0"/>
    <x v="0"/>
    <x v="0"/>
    <x v="0"/>
    <x v="2"/>
    <x v="1"/>
    <x v="14"/>
    <x v="5"/>
    <x v="2"/>
    <x v="0"/>
    <x v="0"/>
    <x v="0"/>
    <x v="0"/>
    <x v="0"/>
    <x v="2"/>
  </r>
  <r>
    <x v="5"/>
    <x v="4"/>
    <x v="4"/>
    <x v="0"/>
    <x v="0"/>
    <x v="0"/>
    <x v="0"/>
    <x v="0"/>
    <x v="0"/>
    <x v="0"/>
    <x v="0"/>
    <x v="0"/>
    <x v="2"/>
    <x v="1"/>
    <x v="14"/>
    <x v="5"/>
    <x v="3"/>
    <x v="0"/>
    <x v="0"/>
    <x v="0"/>
    <x v="0"/>
    <x v="0"/>
    <x v="3"/>
  </r>
  <r>
    <x v="5"/>
    <x v="10"/>
    <x v="15"/>
    <x v="0"/>
    <x v="0"/>
    <x v="0"/>
    <x v="0"/>
    <x v="0"/>
    <x v="0"/>
    <x v="0"/>
    <x v="0"/>
    <x v="0"/>
    <x v="1"/>
    <x v="1"/>
    <x v="15"/>
    <x v="5"/>
    <x v="2"/>
    <x v="0"/>
    <x v="0"/>
    <x v="0"/>
    <x v="0"/>
    <x v="0"/>
    <x v="2"/>
  </r>
  <r>
    <x v="5"/>
    <x v="4"/>
    <x v="4"/>
    <x v="0"/>
    <x v="0"/>
    <x v="0"/>
    <x v="1"/>
    <x v="0"/>
    <x v="0"/>
    <x v="0"/>
    <x v="0"/>
    <x v="0"/>
    <x v="4"/>
    <x v="1"/>
    <x v="3"/>
    <x v="5"/>
    <x v="2"/>
    <x v="0"/>
    <x v="0"/>
    <x v="0"/>
    <x v="0"/>
    <x v="0"/>
    <x v="2"/>
  </r>
  <r>
    <x v="15"/>
    <x v="11"/>
    <x v="16"/>
    <x v="3"/>
    <x v="9"/>
    <x v="13"/>
    <x v="3"/>
    <x v="0"/>
    <x v="0"/>
    <x v="0"/>
    <x v="0"/>
    <x v="0"/>
    <x v="8"/>
    <x v="1"/>
    <x v="0"/>
    <x v="6"/>
    <x v="15"/>
    <x v="0"/>
    <x v="7"/>
    <x v="0"/>
    <x v="0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3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C17" firstHeaderRow="2" firstDataRow="2" firstDataCol="2"/>
  <pivotFields count="7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10">
        <item x="3"/>
        <item x="0"/>
        <item x="5"/>
        <item x="1"/>
        <item x="6"/>
        <item x="4"/>
        <item x="7"/>
        <item x="2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13">
    <i>
      <x/>
      <x v="1"/>
    </i>
    <i r="1">
      <x v="3"/>
    </i>
    <i r="1">
      <x v="7"/>
    </i>
    <i t="default">
      <x/>
    </i>
    <i>
      <x v="1"/>
      <x/>
    </i>
    <i r="1">
      <x v="2"/>
    </i>
    <i r="1">
      <x v="5"/>
    </i>
    <i t="default">
      <x v="1"/>
    </i>
    <i>
      <x v="2"/>
      <x v="4"/>
    </i>
    <i r="1">
      <x v="6"/>
    </i>
    <i r="1">
      <x v="8"/>
    </i>
    <i t="default">
      <x v="2"/>
    </i>
    <i t="grand">
      <x/>
    </i>
  </rowItems>
  <colItems count="1">
    <i/>
  </colItems>
  <dataFields count="1">
    <dataField name="Sum of Rockfish Biomass (kg/180m3)" fld="6" baseField="0" baseItem="0"/>
  </dataFields>
</pivotTableDefinition>
</file>

<file path=xl/pivotTables/pivotTable2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updatedVersion="2" showMultipleLabel="0" showMemberPropertyTips="0" useAutoFormatting="1" itemPrintTitles="1" indent="0" compact="0" compactData="0" gridDropZones="1" multipleFieldFilters="0">
  <location ref="A1:E344" firstHeaderRow="2" firstDataRow="2" firstDataCol="4"/>
  <pivotFields count="26">
    <pivotField compact="0" numFmtId="15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12">
        <item x="6"/>
        <item x="3"/>
        <item x="8"/>
        <item x="4"/>
        <item x="0"/>
        <item x="7"/>
        <item x="9"/>
        <item m="1" x="10"/>
        <item x="5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3">
        <item x="4"/>
        <item x="7"/>
        <item h="1" x="8"/>
        <item x="0"/>
        <item x="2"/>
        <item x="3"/>
        <item x="10"/>
        <item n="Scalyhead sculpin" m="1" x="39"/>
        <item x="11"/>
        <item n="Sculpin spp." m="1" x="40"/>
        <item x="6"/>
        <item x="1"/>
        <item n="Sculpin spp.2" x="5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41"/>
        <item x="29"/>
        <item x="30"/>
        <item x="31"/>
        <item x="32"/>
        <item x="33"/>
        <item x="34"/>
        <item x="35"/>
        <item x="36"/>
        <item x="37"/>
        <item x="38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1"/>
    <field x="2"/>
    <field x="7"/>
    <field x="13"/>
  </rowFields>
  <rowItems count="342">
    <i>
      <x/>
      <x v="4"/>
      <x/>
      <x/>
    </i>
    <i r="3">
      <x v="3"/>
    </i>
    <i r="3">
      <x v="4"/>
    </i>
    <i r="3">
      <x v="5"/>
    </i>
    <i r="3">
      <x v="11"/>
    </i>
    <i t="default" r="2">
      <x/>
    </i>
    <i r="2">
      <x v="1"/>
      <x v="3"/>
    </i>
    <i r="3">
      <x v="4"/>
    </i>
    <i r="3">
      <x v="10"/>
    </i>
    <i r="3">
      <x v="11"/>
    </i>
    <i r="3">
      <x v="12"/>
    </i>
    <i t="default" r="2">
      <x v="1"/>
    </i>
    <i r="2">
      <x v="2"/>
      <x v="1"/>
    </i>
    <i r="3">
      <x v="4"/>
    </i>
    <i r="3">
      <x v="11"/>
    </i>
    <i t="default" r="2">
      <x v="2"/>
    </i>
    <i t="default" r="1">
      <x v="4"/>
    </i>
    <i r="1">
      <x v="9"/>
      <x/>
      <x/>
    </i>
    <i r="3">
      <x v="4"/>
    </i>
    <i r="3">
      <x v="11"/>
    </i>
    <i t="default" r="2">
      <x/>
    </i>
    <i r="2">
      <x v="1"/>
      <x v="3"/>
    </i>
    <i r="3">
      <x v="4"/>
    </i>
    <i r="3">
      <x v="11"/>
    </i>
    <i r="3">
      <x v="13"/>
    </i>
    <i t="default" r="2">
      <x v="1"/>
    </i>
    <i r="2">
      <x v="2"/>
      <x/>
    </i>
    <i r="3">
      <x v="3"/>
    </i>
    <i r="3">
      <x v="4"/>
    </i>
    <i r="3">
      <x v="5"/>
    </i>
    <i r="3">
      <x v="6"/>
    </i>
    <i t="default" r="2">
      <x v="2"/>
    </i>
    <i t="default" r="1">
      <x v="9"/>
    </i>
    <i r="1">
      <x v="10"/>
      <x/>
      <x/>
    </i>
    <i r="3">
      <x v="8"/>
    </i>
    <i t="default" r="2">
      <x/>
    </i>
    <i r="2">
      <x v="1"/>
      <x/>
    </i>
    <i r="3">
      <x v="1"/>
    </i>
    <i r="3">
      <x v="3"/>
    </i>
    <i r="3">
      <x v="4"/>
    </i>
    <i r="3">
      <x v="5"/>
    </i>
    <i r="3">
      <x v="8"/>
    </i>
    <i t="default" r="2">
      <x v="1"/>
    </i>
    <i t="default" r="1">
      <x v="10"/>
    </i>
    <i t="default">
      <x/>
    </i>
    <i>
      <x v="1"/>
      <x v="1"/>
      <x/>
      <x/>
    </i>
    <i r="3">
      <x v="11"/>
    </i>
    <i t="default" r="2">
      <x/>
    </i>
    <i r="2">
      <x v="1"/>
      <x/>
    </i>
    <i r="3">
      <x v="4"/>
    </i>
    <i r="3">
      <x v="13"/>
    </i>
    <i r="3">
      <x v="14"/>
    </i>
    <i r="3">
      <x v="15"/>
    </i>
    <i t="default" r="2">
      <x v="1"/>
    </i>
    <i r="2">
      <x v="2"/>
      <x v="3"/>
    </i>
    <i r="3">
      <x v="4"/>
    </i>
    <i r="3">
      <x v="5"/>
    </i>
    <i r="3">
      <x v="11"/>
    </i>
    <i r="3">
      <x v="16"/>
    </i>
    <i t="default" r="2">
      <x v="2"/>
    </i>
    <i r="2">
      <x v="3"/>
      <x v="5"/>
    </i>
    <i r="3">
      <x v="17"/>
    </i>
    <i t="default" r="2">
      <x v="3"/>
    </i>
    <i r="2">
      <x v="4"/>
      <x v="4"/>
    </i>
    <i r="3">
      <x v="11"/>
    </i>
    <i r="3">
      <x v="17"/>
    </i>
    <i r="3">
      <x v="26"/>
    </i>
    <i t="default" r="2">
      <x v="4"/>
    </i>
    <i r="2">
      <x v="5"/>
      <x v="5"/>
    </i>
    <i r="3">
      <x v="17"/>
    </i>
    <i t="default" r="2">
      <x v="5"/>
    </i>
    <i t="default" r="1">
      <x v="1"/>
    </i>
    <i r="1">
      <x v="3"/>
      <x/>
      <x/>
    </i>
    <i r="3">
      <x v="1"/>
    </i>
    <i r="3">
      <x v="3"/>
    </i>
    <i r="3">
      <x v="4"/>
    </i>
    <i r="3">
      <x v="13"/>
    </i>
    <i r="3">
      <x v="17"/>
    </i>
    <i r="3">
      <x v="18"/>
    </i>
    <i r="3">
      <x v="19"/>
    </i>
    <i r="3">
      <x v="22"/>
    </i>
    <i r="3">
      <x v="23"/>
    </i>
    <i t="default" r="2">
      <x/>
    </i>
    <i r="2">
      <x v="1"/>
      <x/>
    </i>
    <i r="3">
      <x v="1"/>
    </i>
    <i r="3">
      <x v="4"/>
    </i>
    <i r="3">
      <x v="5"/>
    </i>
    <i r="3">
      <x v="17"/>
    </i>
    <i r="3">
      <x v="20"/>
    </i>
    <i r="3">
      <x v="21"/>
    </i>
    <i t="default" r="2">
      <x v="1"/>
    </i>
    <i r="2">
      <x v="2"/>
      <x v="4"/>
    </i>
    <i r="3">
      <x v="17"/>
    </i>
    <i t="default" r="2">
      <x v="2"/>
    </i>
    <i r="2">
      <x v="3"/>
      <x/>
    </i>
    <i r="3">
      <x v="1"/>
    </i>
    <i r="3">
      <x v="4"/>
    </i>
    <i r="3">
      <x v="11"/>
    </i>
    <i r="3">
      <x v="17"/>
    </i>
    <i r="3">
      <x v="21"/>
    </i>
    <i t="default" r="2">
      <x v="3"/>
    </i>
    <i t="default" r="1">
      <x v="3"/>
    </i>
    <i r="1">
      <x v="8"/>
      <x/>
      <x/>
    </i>
    <i r="3">
      <x v="3"/>
    </i>
    <i r="3">
      <x v="4"/>
    </i>
    <i r="3">
      <x v="16"/>
    </i>
    <i r="3">
      <x v="17"/>
    </i>
    <i r="3">
      <x v="19"/>
    </i>
    <i t="default" r="2">
      <x/>
    </i>
    <i r="2">
      <x v="1"/>
      <x/>
    </i>
    <i r="3">
      <x v="4"/>
    </i>
    <i r="3">
      <x v="5"/>
    </i>
    <i r="3">
      <x v="11"/>
    </i>
    <i r="3">
      <x v="17"/>
    </i>
    <i r="3">
      <x v="19"/>
    </i>
    <i r="3">
      <x v="25"/>
    </i>
    <i t="default" r="2">
      <x v="1"/>
    </i>
    <i r="2">
      <x v="2"/>
      <x/>
    </i>
    <i r="3">
      <x v="3"/>
    </i>
    <i r="3">
      <x v="4"/>
    </i>
    <i r="3">
      <x v="17"/>
    </i>
    <i t="default" r="2">
      <x v="2"/>
    </i>
    <i r="2">
      <x v="3"/>
      <x v="3"/>
    </i>
    <i r="3">
      <x v="17"/>
    </i>
    <i r="3">
      <x v="24"/>
    </i>
    <i t="default" r="2">
      <x v="3"/>
    </i>
    <i t="default" r="1">
      <x v="8"/>
    </i>
    <i t="default">
      <x v="1"/>
    </i>
    <i>
      <x v="2"/>
      <x/>
      <x/>
      <x/>
    </i>
    <i r="3">
      <x v="1"/>
    </i>
    <i r="3">
      <x v="4"/>
    </i>
    <i r="3">
      <x v="17"/>
    </i>
    <i r="3">
      <x v="27"/>
    </i>
    <i t="default" r="2">
      <x/>
    </i>
    <i r="2">
      <x v="1"/>
      <x v="1"/>
    </i>
    <i r="3">
      <x v="4"/>
    </i>
    <i t="default" r="2">
      <x v="1"/>
    </i>
    <i r="2">
      <x v="2"/>
      <x/>
    </i>
    <i r="3">
      <x v="17"/>
    </i>
    <i r="3">
      <x v="28"/>
    </i>
    <i t="default" r="2">
      <x v="2"/>
    </i>
    <i r="2">
      <x v="3"/>
      <x v="3"/>
    </i>
    <i t="default" r="2">
      <x v="3"/>
    </i>
    <i r="2">
      <x v="4"/>
      <x/>
    </i>
    <i r="3">
      <x v="3"/>
    </i>
    <i r="3">
      <x v="4"/>
    </i>
    <i r="3">
      <x v="17"/>
    </i>
    <i r="3">
      <x v="19"/>
    </i>
    <i t="default" r="2">
      <x v="4"/>
    </i>
    <i t="default" r="1">
      <x/>
    </i>
    <i r="1">
      <x v="2"/>
      <x/>
      <x v="3"/>
    </i>
    <i r="3">
      <x v="4"/>
    </i>
    <i r="3">
      <x v="5"/>
    </i>
    <i r="3">
      <x v="17"/>
    </i>
    <i r="3">
      <x v="29"/>
    </i>
    <i t="default" r="2">
      <x/>
    </i>
    <i r="2">
      <x v="1"/>
      <x v="4"/>
    </i>
    <i r="3">
      <x v="11"/>
    </i>
    <i r="3">
      <x v="17"/>
    </i>
    <i r="3">
      <x v="19"/>
    </i>
    <i t="default" r="2">
      <x v="1"/>
    </i>
    <i r="2">
      <x v="2"/>
      <x v="4"/>
    </i>
    <i r="3">
      <x v="5"/>
    </i>
    <i r="3">
      <x v="17"/>
    </i>
    <i t="default" r="2">
      <x v="2"/>
    </i>
    <i r="2">
      <x v="3"/>
      <x v="3"/>
    </i>
    <i r="3">
      <x v="4"/>
    </i>
    <i r="3">
      <x v="33"/>
    </i>
    <i t="default" r="2">
      <x v="3"/>
    </i>
    <i t="default" r="1">
      <x v="2"/>
    </i>
    <i r="1">
      <x v="5"/>
      <x/>
      <x v="4"/>
    </i>
    <i r="3">
      <x v="17"/>
    </i>
    <i r="3">
      <x v="29"/>
    </i>
    <i t="default" r="2">
      <x/>
    </i>
    <i r="2">
      <x v="1"/>
      <x/>
    </i>
    <i r="3">
      <x v="1"/>
    </i>
    <i r="3">
      <x v="4"/>
    </i>
    <i r="3">
      <x v="29"/>
    </i>
    <i r="3">
      <x v="41"/>
    </i>
    <i t="default" r="2">
      <x v="1"/>
    </i>
    <i r="2">
      <x v="2"/>
      <x v="4"/>
    </i>
    <i r="3">
      <x v="31"/>
    </i>
    <i r="3">
      <x v="32"/>
    </i>
    <i t="default" r="2">
      <x v="2"/>
    </i>
    <i r="2">
      <x v="3"/>
      <x/>
    </i>
    <i r="3">
      <x v="1"/>
    </i>
    <i r="3">
      <x v="3"/>
    </i>
    <i r="3">
      <x v="4"/>
    </i>
    <i r="3">
      <x v="11"/>
    </i>
    <i t="default" r="2">
      <x v="3"/>
    </i>
    <i r="2">
      <x v="4"/>
      <x/>
    </i>
    <i r="3">
      <x v="1"/>
    </i>
    <i r="3">
      <x v="4"/>
    </i>
    <i r="3">
      <x v="17"/>
    </i>
    <i t="default" r="2">
      <x v="4"/>
    </i>
    <i r="2">
      <x v="5"/>
      <x/>
    </i>
    <i r="3">
      <x v="3"/>
    </i>
    <i r="3">
      <x v="17"/>
    </i>
    <i t="default" r="2">
      <x v="5"/>
    </i>
    <i t="default" r="1">
      <x v="5"/>
    </i>
    <i t="default">
      <x v="2"/>
    </i>
    <i>
      <x v="3"/>
      <x v="4"/>
      <x/>
      <x v="3"/>
    </i>
    <i r="3">
      <x v="4"/>
    </i>
    <i r="3">
      <x v="17"/>
    </i>
    <i r="3">
      <x v="29"/>
    </i>
    <i t="default" r="2">
      <x/>
    </i>
    <i r="2">
      <x v="1"/>
      <x/>
    </i>
    <i r="3">
      <x v="1"/>
    </i>
    <i r="3">
      <x v="4"/>
    </i>
    <i r="3">
      <x v="10"/>
    </i>
    <i r="3">
      <x v="11"/>
    </i>
    <i r="3">
      <x v="37"/>
    </i>
    <i t="default" r="2">
      <x v="1"/>
    </i>
    <i r="2">
      <x v="2"/>
      <x/>
    </i>
    <i r="3">
      <x v="1"/>
    </i>
    <i r="3">
      <x v="4"/>
    </i>
    <i r="3">
      <x v="10"/>
    </i>
    <i t="default" r="2">
      <x v="2"/>
    </i>
    <i r="2">
      <x v="3"/>
      <x/>
    </i>
    <i r="3">
      <x v="1"/>
    </i>
    <i r="3">
      <x v="3"/>
    </i>
    <i r="3">
      <x v="4"/>
    </i>
    <i r="3">
      <x v="10"/>
    </i>
    <i r="3">
      <x v="11"/>
    </i>
    <i r="3">
      <x v="17"/>
    </i>
    <i t="default" r="2">
      <x v="3"/>
    </i>
    <i r="2">
      <x v="4"/>
      <x/>
    </i>
    <i r="3">
      <x v="1"/>
    </i>
    <i r="3">
      <x v="4"/>
    </i>
    <i r="3">
      <x v="11"/>
    </i>
    <i r="3">
      <x v="17"/>
    </i>
    <i r="3">
      <x v="33"/>
    </i>
    <i r="3">
      <x v="36"/>
    </i>
    <i t="default" r="2">
      <x v="4"/>
    </i>
    <i r="2">
      <x v="5"/>
      <x/>
    </i>
    <i r="3">
      <x v="1"/>
    </i>
    <i r="3">
      <x v="5"/>
    </i>
    <i r="3">
      <x v="11"/>
    </i>
    <i r="3">
      <x v="17"/>
    </i>
    <i r="3">
      <x v="22"/>
    </i>
    <i t="default" r="2">
      <x v="5"/>
    </i>
    <i t="default" r="1">
      <x v="4"/>
    </i>
    <i r="1">
      <x v="6"/>
      <x/>
      <x/>
    </i>
    <i r="3">
      <x v="3"/>
    </i>
    <i r="3">
      <x v="4"/>
    </i>
    <i r="3">
      <x v="5"/>
    </i>
    <i r="3">
      <x v="10"/>
    </i>
    <i r="3">
      <x v="23"/>
    </i>
    <i t="default" r="2">
      <x/>
    </i>
    <i r="2">
      <x v="1"/>
      <x/>
    </i>
    <i r="3">
      <x v="1"/>
    </i>
    <i r="3">
      <x v="4"/>
    </i>
    <i r="3">
      <x v="17"/>
    </i>
    <i r="3">
      <x v="22"/>
    </i>
    <i r="3">
      <x v="36"/>
    </i>
    <i r="3">
      <x v="38"/>
    </i>
    <i t="default" r="2">
      <x v="1"/>
    </i>
    <i r="2">
      <x v="2"/>
      <x/>
    </i>
    <i r="3">
      <x v="3"/>
    </i>
    <i r="3">
      <x v="4"/>
    </i>
    <i r="3">
      <x v="5"/>
    </i>
    <i r="3">
      <x v="17"/>
    </i>
    <i t="default" r="2">
      <x v="2"/>
    </i>
    <i r="2">
      <x v="3"/>
      <x/>
    </i>
    <i r="3">
      <x v="1"/>
    </i>
    <i r="3">
      <x v="3"/>
    </i>
    <i r="3">
      <x v="4"/>
    </i>
    <i r="3">
      <x v="10"/>
    </i>
    <i r="3">
      <x v="35"/>
    </i>
    <i r="3">
      <x v="39"/>
    </i>
    <i t="default" r="2">
      <x v="3"/>
    </i>
    <i r="2">
      <x v="4"/>
      <x/>
    </i>
    <i r="3">
      <x v="1"/>
    </i>
    <i r="3">
      <x v="3"/>
    </i>
    <i r="3">
      <x v="4"/>
    </i>
    <i r="3">
      <x v="17"/>
    </i>
    <i r="3">
      <x v="36"/>
    </i>
    <i t="default" r="2">
      <x v="4"/>
    </i>
    <i r="2">
      <x v="5"/>
      <x/>
    </i>
    <i r="3">
      <x v="1"/>
    </i>
    <i r="3">
      <x v="3"/>
    </i>
    <i r="3">
      <x v="4"/>
    </i>
    <i r="3">
      <x v="10"/>
    </i>
    <i r="3">
      <x v="11"/>
    </i>
    <i r="3">
      <x v="17"/>
    </i>
    <i t="default" r="2">
      <x v="5"/>
    </i>
    <i r="2">
      <x v="6"/>
      <x v="1"/>
    </i>
    <i r="3">
      <x v="4"/>
    </i>
    <i r="3">
      <x v="5"/>
    </i>
    <i r="3">
      <x v="11"/>
    </i>
    <i r="3">
      <x v="17"/>
    </i>
    <i t="default" r="2">
      <x v="6"/>
    </i>
    <i t="default" r="1">
      <x v="6"/>
    </i>
    <i r="1">
      <x v="9"/>
      <x/>
      <x/>
    </i>
    <i r="3">
      <x v="1"/>
    </i>
    <i r="3">
      <x v="3"/>
    </i>
    <i r="3">
      <x v="4"/>
    </i>
    <i r="3">
      <x v="11"/>
    </i>
    <i r="3">
      <x v="16"/>
    </i>
    <i r="3">
      <x v="17"/>
    </i>
    <i r="3">
      <x v="34"/>
    </i>
    <i r="3">
      <x v="36"/>
    </i>
    <i t="default" r="2">
      <x/>
    </i>
    <i r="2">
      <x v="1"/>
      <x/>
    </i>
    <i r="3">
      <x v="1"/>
    </i>
    <i r="3">
      <x v="3"/>
    </i>
    <i r="3">
      <x v="4"/>
    </i>
    <i r="3">
      <x v="5"/>
    </i>
    <i r="3">
      <x v="10"/>
    </i>
    <i r="3">
      <x v="11"/>
    </i>
    <i r="3">
      <x v="17"/>
    </i>
    <i r="3">
      <x v="36"/>
    </i>
    <i r="3">
      <x v="40"/>
    </i>
    <i t="default" r="2">
      <x v="1"/>
    </i>
    <i r="2">
      <x v="2"/>
      <x/>
    </i>
    <i r="3">
      <x v="3"/>
    </i>
    <i r="3">
      <x v="4"/>
    </i>
    <i r="3">
      <x v="17"/>
    </i>
    <i r="3">
      <x v="35"/>
    </i>
    <i t="default" r="2">
      <x v="2"/>
    </i>
    <i r="2">
      <x v="3"/>
      <x/>
    </i>
    <i r="3">
      <x v="1"/>
    </i>
    <i r="3">
      <x v="3"/>
    </i>
    <i r="3">
      <x v="4"/>
    </i>
    <i r="3">
      <x v="17"/>
    </i>
    <i r="3">
      <x v="26"/>
    </i>
    <i r="3">
      <x v="36"/>
    </i>
    <i t="default" r="2">
      <x v="3"/>
    </i>
    <i r="2">
      <x v="4"/>
      <x v="1"/>
    </i>
    <i r="3">
      <x v="5"/>
    </i>
    <i r="3">
      <x v="17"/>
    </i>
    <i r="3">
      <x v="23"/>
    </i>
    <i t="default" r="2">
      <x v="4"/>
    </i>
    <i r="2">
      <x v="5"/>
      <x/>
    </i>
    <i r="3">
      <x v="3"/>
    </i>
    <i r="3">
      <x v="4"/>
    </i>
    <i r="3">
      <x v="17"/>
    </i>
    <i r="3">
      <x v="33"/>
    </i>
    <i t="default" r="2">
      <x v="5"/>
    </i>
    <i t="default" r="1">
      <x v="9"/>
    </i>
    <i t="default">
      <x v="3"/>
    </i>
    <i t="grand">
      <x/>
    </i>
  </rowItems>
  <colItems count="1">
    <i/>
  </colItems>
  <dataFields count="1">
    <dataField name="Sum of Biomass (kg per 180m3)" fld="25" baseField="0" baseItem="0"/>
  </dataFields>
</pivotTableDefinition>
</file>

<file path=xl/pivotTables/pivotTable3.xml><?xml version="1.0" encoding="utf-8"?>
<pivotTableDefinition xmlns="http://schemas.openxmlformats.org/spreadsheetml/2006/main" name="PivotTable2" cacheId="9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R75:T91" firstHeaderRow="2" firstDataRow="2" firstDataCol="2"/>
  <pivotFields count="6"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11">
        <item x="3"/>
        <item x="0"/>
        <item x="5"/>
        <item x="1"/>
        <item x="6"/>
        <item x="4"/>
        <item x="7"/>
        <item x="2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0"/>
    <field x="1"/>
  </rowFields>
  <rowItems count="15">
    <i>
      <x/>
      <x v="1"/>
    </i>
    <i r="1">
      <x v="3"/>
    </i>
    <i r="1">
      <x v="7"/>
    </i>
    <i t="default">
      <x/>
    </i>
    <i>
      <x v="1"/>
      <x/>
    </i>
    <i r="1">
      <x v="2"/>
    </i>
    <i r="1">
      <x v="5"/>
    </i>
    <i t="default">
      <x v="1"/>
    </i>
    <i>
      <x v="2"/>
      <x v="4"/>
    </i>
    <i r="1">
      <x v="6"/>
    </i>
    <i r="1">
      <x v="8"/>
    </i>
    <i t="default">
      <x v="2"/>
    </i>
    <i>
      <x v="3"/>
      <x v="9"/>
    </i>
    <i t="default">
      <x v="3"/>
    </i>
    <i t="grand">
      <x/>
    </i>
  </rowItems>
  <colItems count="1">
    <i/>
  </colItems>
  <dataFields count="1">
    <dataField name="StdDev of CRF Biomass" fld="4" subtotal="stdDev" baseField="0" baseItem="0"/>
  </dataFields>
</pivotTableDefinition>
</file>

<file path=xl/pivotTables/pivotTable4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BG15:BH20" firstHeaderRow="2" firstDataRow="2" firstDataCol="1"/>
  <pivotFields count="10">
    <pivotField axis="axisRow" compact="0" outline="0" subtotalTop="0" showAll="0" includeNewItemsInFilter="1" stdDevSubtotal="1">
      <items count="4">
        <item x="0"/>
        <item x="1"/>
        <item x="2"/>
        <item t="stdDev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tdDev of juv rf" fld="9" subtotal="stdDev" baseField="0" baseItem="0"/>
  </dataFields>
</pivotTableDefinition>
</file>

<file path=xl/pivotTables/pivotTable5.xml><?xml version="1.0" encoding="utf-8"?>
<pivotTableDefinition xmlns="http://schemas.openxmlformats.org/spreadsheetml/2006/main" name="PivotTable3" cacheId="1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Q4:AS18" firstHeaderRow="2" firstDataRow="2" firstDataCol="2"/>
  <pivotFields count="39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10">
        <item x="3"/>
        <item x="4"/>
        <item x="1"/>
        <item x="6"/>
        <item x="5"/>
        <item x="7"/>
        <item x="0"/>
        <item x="2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0"/>
    <field x="1"/>
  </rowFields>
  <rowItems count="13">
    <i>
      <x/>
      <x v="2"/>
    </i>
    <i r="1">
      <x v="6"/>
    </i>
    <i r="1">
      <x v="7"/>
    </i>
    <i t="default">
      <x/>
    </i>
    <i>
      <x v="1"/>
      <x/>
    </i>
    <i r="1">
      <x v="1"/>
    </i>
    <i r="1">
      <x v="4"/>
    </i>
    <i t="default">
      <x v="1"/>
    </i>
    <i>
      <x v="2"/>
      <x v="3"/>
    </i>
    <i r="1">
      <x v="5"/>
    </i>
    <i r="1">
      <x v="8"/>
    </i>
    <i t="default">
      <x v="2"/>
    </i>
    <i t="grand">
      <x/>
    </i>
  </rowItems>
  <colItems count="1">
    <i/>
  </colItems>
  <dataFields count="1">
    <dataField name="Average of Pelagic Reef Fishes (Ed Gregr model kg/m2)" fld="37" subtotal="average" baseField="0" baseItem="0"/>
  </dataFields>
</pivotTableDefinition>
</file>

<file path=xl/pivotTables/pivotTable6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V74" firstHeaderRow="1" firstDataRow="2" firstDataCol="3"/>
  <pivotFields count="29">
    <pivotField compact="0" outline="0" subtotalTop="0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outline="0" subtotalTop="0" showAll="0" includeNewItemsInFilter="1">
      <items count="6">
        <item x="0"/>
        <item x="1"/>
        <item m="1" x="4"/>
        <item x="2"/>
        <item x="3"/>
        <item t="default"/>
      </items>
    </pivotField>
    <pivotField axis="axisRow" compact="0" outline="0" subtotalTop="0" showAll="0" includeNewItemsInFilter="1">
      <items count="12">
        <item x="3"/>
        <item x="0"/>
        <item x="5"/>
        <item x="1"/>
        <item x="7"/>
        <item x="4"/>
        <item m="1" x="10"/>
        <item x="8"/>
        <item x="2"/>
        <item x="6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9">
        <item x="13"/>
        <item x="0"/>
        <item x="6"/>
        <item x="7"/>
        <item x="11"/>
        <item x="12"/>
        <item x="15"/>
        <item x="2"/>
        <item x="4"/>
        <item x="10"/>
        <item x="9"/>
        <item x="8"/>
        <item x="17"/>
        <item x="16"/>
        <item x="3"/>
        <item x="1"/>
        <item x="5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"/>
    <field x="2"/>
    <field x="8"/>
  </rowFields>
  <rowItems count="70">
    <i>
      <x/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8"/>
      <x/>
    </i>
    <i r="2">
      <x v="1"/>
    </i>
    <i r="2">
      <x v="2"/>
    </i>
    <i r="2">
      <x v="3"/>
    </i>
    <i r="2">
      <x v="4"/>
    </i>
    <i r="2">
      <x v="5"/>
    </i>
    <i t="default" r="1">
      <x v="8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2"/>
      <x/>
    </i>
    <i r="2">
      <x v="1"/>
    </i>
    <i r="2">
      <x v="2"/>
    </i>
    <i r="2">
      <x v="3"/>
    </i>
    <i t="default" r="1">
      <x v="2"/>
    </i>
    <i r="1">
      <x v="5"/>
      <x/>
    </i>
    <i r="2">
      <x v="1"/>
    </i>
    <i r="2">
      <x v="2"/>
    </i>
    <i r="2">
      <x v="3"/>
    </i>
    <i r="2">
      <x v="4"/>
    </i>
    <i r="2">
      <x v="5"/>
    </i>
    <i t="default" r="1">
      <x v="5"/>
    </i>
    <i t="default">
      <x v="1"/>
    </i>
    <i>
      <x v="3"/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7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9"/>
    </i>
    <i t="default">
      <x v="3"/>
    </i>
    <i>
      <x v="4"/>
      <x v="10"/>
      <x v="8"/>
    </i>
    <i t="default" r="1">
      <x v="10"/>
    </i>
    <i t="default">
      <x v="4"/>
    </i>
    <i t="grand">
      <x/>
    </i>
  </rowItems>
  <colFields count="1">
    <field x="1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30-35cm" fld="21" baseField="0" baseItem="0"/>
  </dataFields>
</pivotTableDefinition>
</file>

<file path=xl/pivotTables/pivotTable7.xml><?xml version="1.0" encoding="utf-8"?>
<pivotTableDefinition xmlns="http://schemas.openxmlformats.org/spreadsheetml/2006/main" name="PivotTable6" cacheId="1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Y8:AB66" firstHeaderRow="2" firstDataRow="2" firstDataCol="3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axis="axisRow" compact="0" outline="0" subtotalTop="0" showAll="0" includeNewItemsInFilter="1">
      <items count="11">
        <item x="7"/>
        <item x="6"/>
        <item x="4"/>
        <item x="3"/>
        <item x="0"/>
        <item x="8"/>
        <item x="5"/>
        <item x="2"/>
        <item x="1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1"/>
        <item x="2"/>
        <item x="0"/>
        <item x="5"/>
        <item x="4"/>
        <item x="6"/>
        <item x="3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3">
    <field x="3"/>
    <field x="4"/>
    <field x="12"/>
  </rowFields>
  <rowItems count="57">
    <i>
      <x/>
      <x v="1"/>
      <x v="2"/>
    </i>
    <i r="2">
      <x v="4"/>
    </i>
    <i r="2">
      <x v="7"/>
    </i>
    <i t="default" r="1">
      <x v="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"/>
    </i>
    <i r="1">
      <x v="6"/>
      <x/>
    </i>
    <i r="2">
      <x v="1"/>
    </i>
    <i r="2">
      <x v="2"/>
    </i>
    <i r="2">
      <x v="3"/>
    </i>
    <i r="2">
      <x v="4"/>
    </i>
    <i r="2">
      <x v="5"/>
    </i>
    <i t="default" r="1">
      <x v="6"/>
    </i>
    <i t="default">
      <x/>
    </i>
    <i>
      <x v="1"/>
      <x/>
      <x v="1"/>
    </i>
    <i r="2">
      <x v="3"/>
    </i>
    <i r="2">
      <x v="6"/>
    </i>
    <i t="default" r="1">
      <x/>
    </i>
    <i r="1">
      <x v="2"/>
      <x v="1"/>
    </i>
    <i r="2">
      <x v="2"/>
    </i>
    <i r="2">
      <x v="3"/>
    </i>
    <i r="2">
      <x v="4"/>
    </i>
    <i t="default" r="1">
      <x v="2"/>
    </i>
    <i r="1">
      <x v="5"/>
      <x/>
    </i>
    <i r="2">
      <x v="1"/>
    </i>
    <i r="2">
      <x v="2"/>
    </i>
    <i r="2">
      <x v="3"/>
    </i>
    <i r="2">
      <x v="4"/>
    </i>
    <i t="default" r="1">
      <x v="5"/>
    </i>
    <i t="default">
      <x v="1"/>
    </i>
    <i>
      <x v="2"/>
      <x v="4"/>
      <x/>
    </i>
    <i r="2">
      <x v="1"/>
    </i>
    <i r="2">
      <x v="2"/>
    </i>
    <i r="2">
      <x v="3"/>
    </i>
    <i r="2">
      <x v="4"/>
    </i>
    <i t="default" r="1">
      <x v="4"/>
    </i>
    <i r="1">
      <x v="7"/>
      <x/>
    </i>
    <i r="2">
      <x v="1"/>
    </i>
    <i r="2">
      <x v="2"/>
    </i>
    <i r="2">
      <x v="4"/>
    </i>
    <i t="default" r="1">
      <x v="7"/>
    </i>
    <i r="1">
      <x v="8"/>
      <x/>
    </i>
    <i r="2">
      <x v="1"/>
    </i>
    <i r="2">
      <x v="2"/>
    </i>
    <i r="2">
      <x v="3"/>
    </i>
    <i t="default" r="1">
      <x v="8"/>
    </i>
    <i t="default">
      <x v="2"/>
    </i>
    <i>
      <x v="3"/>
      <x v="9"/>
      <x v="8"/>
    </i>
    <i t="default" r="1">
      <x v="9"/>
    </i>
    <i t="default">
      <x v="3"/>
    </i>
    <i t="grand">
      <x/>
    </i>
  </rowItems>
  <colItems count="1">
    <i/>
  </colItems>
  <dataFields count="1">
    <dataField name="Sum of Biomass (g)2" fld="22" baseField="0" baseItem="0"/>
  </dataFields>
</pivotTableDefinition>
</file>

<file path=xl/pivotTables/pivotTable8.xml><?xml version="1.0" encoding="utf-8"?>
<pivotTableDefinition xmlns="http://schemas.openxmlformats.org/spreadsheetml/2006/main" name="PivotTable7" cacheId="1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K7:AM21" firstHeaderRow="2" firstDataRow="2" firstDataCol="2"/>
  <pivotFields count="4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10">
        <item x="3"/>
        <item x="0"/>
        <item x="4"/>
        <item x="1"/>
        <item x="6"/>
        <item x="5"/>
        <item x="2"/>
        <item x="7"/>
        <item x="8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13">
    <i>
      <x/>
      <x v="1"/>
    </i>
    <i r="1">
      <x v="3"/>
    </i>
    <i r="1">
      <x v="6"/>
    </i>
    <i t="default">
      <x/>
    </i>
    <i>
      <x v="1"/>
      <x/>
    </i>
    <i r="1">
      <x v="2"/>
    </i>
    <i r="1">
      <x v="5"/>
    </i>
    <i t="default">
      <x v="1"/>
    </i>
    <i>
      <x v="2"/>
      <x v="4"/>
    </i>
    <i r="1">
      <x v="7"/>
    </i>
    <i r="1">
      <x v="8"/>
    </i>
    <i t="default">
      <x v="2"/>
    </i>
    <i t="grand">
      <x/>
    </i>
  </rowItems>
  <colItems count="1">
    <i/>
  </colItems>
  <dataFields count="1">
    <dataField name="Average of Biomass" fld="3" subtotal="average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hbase.org/PopDyn/FishLWSummary.php?ID=4247&amp;id2=5901&amp;genusname=Microstomus&amp;speciesname=pacificus&amp;fc=440&amp;variable_Length=10&amp;gm_a=0.01222&amp;gm_b=2.93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1"/>
  <sheetViews>
    <sheetView workbookViewId="0">
      <selection activeCell="I11" sqref="I11"/>
    </sheetView>
  </sheetViews>
  <sheetFormatPr baseColWidth="10" defaultRowHeight="12"/>
  <cols>
    <col min="2" max="2" width="23.1640625" bestFit="1" customWidth="1"/>
    <col min="3" max="3" width="12.1640625" bestFit="1" customWidth="1"/>
  </cols>
  <sheetData>
    <row r="1" spans="1:8">
      <c r="E1" t="s">
        <v>735</v>
      </c>
      <c r="F1" t="s">
        <v>774</v>
      </c>
      <c r="G1" t="s">
        <v>737</v>
      </c>
      <c r="H1" t="s">
        <v>736</v>
      </c>
    </row>
    <row r="2" spans="1:8">
      <c r="E2" t="s">
        <v>734</v>
      </c>
      <c r="F2" s="16" t="s">
        <v>290</v>
      </c>
      <c r="G2" s="19">
        <v>12324.253125000001</v>
      </c>
      <c r="H2">
        <f t="shared" ref="H2:H7" si="0">G2/720</f>
        <v>17.117018229166668</v>
      </c>
    </row>
    <row r="3" spans="1:8">
      <c r="A3" s="16" t="s">
        <v>733</v>
      </c>
      <c r="B3" s="17"/>
      <c r="C3" s="18"/>
      <c r="E3" t="s">
        <v>734</v>
      </c>
      <c r="F3" s="21" t="s">
        <v>234</v>
      </c>
      <c r="G3" s="22">
        <v>4545.05</v>
      </c>
      <c r="H3">
        <f t="shared" si="0"/>
        <v>6.3125694444444447</v>
      </c>
    </row>
    <row r="4" spans="1:8">
      <c r="A4" s="29" t="s">
        <v>765</v>
      </c>
      <c r="B4" s="29" t="s">
        <v>767</v>
      </c>
      <c r="C4" s="18" t="s">
        <v>730</v>
      </c>
      <c r="E4" t="s">
        <v>734</v>
      </c>
      <c r="F4" s="21" t="s">
        <v>461</v>
      </c>
      <c r="G4" s="22">
        <v>1894.7140625000002</v>
      </c>
      <c r="H4">
        <f t="shared" si="0"/>
        <v>2.6315473090277779</v>
      </c>
    </row>
    <row r="5" spans="1:8">
      <c r="A5" s="16" t="s">
        <v>276</v>
      </c>
      <c r="B5" s="16" t="s">
        <v>290</v>
      </c>
      <c r="C5" s="19">
        <v>12324.253125000001</v>
      </c>
      <c r="E5" s="16" t="s">
        <v>502</v>
      </c>
      <c r="F5" s="16" t="s">
        <v>503</v>
      </c>
      <c r="G5" s="19">
        <v>1928.9950000000001</v>
      </c>
      <c r="H5">
        <f t="shared" si="0"/>
        <v>2.6791597222222223</v>
      </c>
    </row>
    <row r="6" spans="1:8">
      <c r="A6" s="20"/>
      <c r="B6" s="21" t="s">
        <v>234</v>
      </c>
      <c r="C6" s="22">
        <v>4545.05</v>
      </c>
      <c r="E6" s="16" t="s">
        <v>502</v>
      </c>
      <c r="F6" s="21" t="s">
        <v>186</v>
      </c>
      <c r="G6" s="22">
        <v>0</v>
      </c>
      <c r="H6">
        <f t="shared" si="0"/>
        <v>0</v>
      </c>
    </row>
    <row r="7" spans="1:8">
      <c r="A7" s="20"/>
      <c r="B7" s="21" t="s">
        <v>461</v>
      </c>
      <c r="C7" s="22">
        <v>1894.7140625000002</v>
      </c>
      <c r="E7" s="16" t="s">
        <v>502</v>
      </c>
      <c r="F7" s="21" t="s">
        <v>302</v>
      </c>
      <c r="G7" s="22">
        <v>2355.3287499999997</v>
      </c>
      <c r="H7">
        <f t="shared" si="0"/>
        <v>3.2712899305555552</v>
      </c>
    </row>
    <row r="8" spans="1:8">
      <c r="A8" s="16" t="s">
        <v>823</v>
      </c>
      <c r="B8" s="23"/>
      <c r="C8" s="19">
        <v>18764.017187500001</v>
      </c>
      <c r="E8" s="16" t="s">
        <v>670</v>
      </c>
      <c r="F8" s="16" t="s">
        <v>400</v>
      </c>
      <c r="G8" s="19">
        <v>15012.321562499999</v>
      </c>
      <c r="H8">
        <f t="shared" ref="H8:H10" si="1">G8/720</f>
        <v>20.850446614583333</v>
      </c>
    </row>
    <row r="9" spans="1:8">
      <c r="A9" s="16" t="s">
        <v>502</v>
      </c>
      <c r="B9" s="16" t="s">
        <v>503</v>
      </c>
      <c r="C9" s="19">
        <v>1928.9950000000001</v>
      </c>
      <c r="E9" s="16" t="s">
        <v>670</v>
      </c>
      <c r="F9" s="21" t="s">
        <v>671</v>
      </c>
      <c r="G9" s="22">
        <v>30935.256874999992</v>
      </c>
      <c r="H9">
        <f t="shared" si="1"/>
        <v>42.965634548611099</v>
      </c>
    </row>
    <row r="10" spans="1:8">
      <c r="A10" s="20"/>
      <c r="B10" s="21" t="s">
        <v>186</v>
      </c>
      <c r="C10" s="22">
        <v>0</v>
      </c>
      <c r="E10" s="16" t="s">
        <v>670</v>
      </c>
      <c r="F10" s="21" t="s">
        <v>41</v>
      </c>
      <c r="G10" s="22">
        <v>6349.5434375000004</v>
      </c>
      <c r="H10">
        <f t="shared" si="1"/>
        <v>8.8188103298611118</v>
      </c>
    </row>
    <row r="11" spans="1:8">
      <c r="A11" s="20"/>
      <c r="B11" s="21" t="s">
        <v>302</v>
      </c>
      <c r="C11" s="22">
        <v>2355.3287499999997</v>
      </c>
    </row>
    <row r="12" spans="1:8">
      <c r="A12" s="16" t="s">
        <v>752</v>
      </c>
      <c r="B12" s="23"/>
      <c r="C12" s="19">
        <v>4284.3237499999996</v>
      </c>
    </row>
    <row r="13" spans="1:8">
      <c r="A13" s="16" t="s">
        <v>670</v>
      </c>
      <c r="B13" s="16" t="s">
        <v>400</v>
      </c>
      <c r="C13" s="19">
        <v>15012.321562499999</v>
      </c>
    </row>
    <row r="14" spans="1:8">
      <c r="A14" s="20"/>
      <c r="B14" s="21" t="s">
        <v>671</v>
      </c>
      <c r="C14" s="22">
        <v>30935.256874999992</v>
      </c>
    </row>
    <row r="15" spans="1:8">
      <c r="A15" s="20"/>
      <c r="B15" s="21" t="s">
        <v>41</v>
      </c>
      <c r="C15" s="22">
        <v>6349.5434375000004</v>
      </c>
    </row>
    <row r="16" spans="1:8">
      <c r="A16" s="16" t="s">
        <v>754</v>
      </c>
      <c r="B16" s="23"/>
      <c r="C16" s="19">
        <v>52297.121874999997</v>
      </c>
    </row>
    <row r="17" spans="1:8">
      <c r="A17" s="26" t="s">
        <v>755</v>
      </c>
      <c r="B17" s="27"/>
      <c r="C17" s="28">
        <v>75345.462812500002</v>
      </c>
    </row>
    <row r="19" spans="1:8">
      <c r="G19" t="s">
        <v>830</v>
      </c>
    </row>
    <row r="20" spans="1:8">
      <c r="H20" t="s">
        <v>831</v>
      </c>
    </row>
    <row r="21" spans="1:8">
      <c r="H21" t="s">
        <v>832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260"/>
  <sheetViews>
    <sheetView topLeftCell="G1" zoomScale="90" workbookViewId="0">
      <pane ySplit="860" activePane="bottomLeft"/>
      <selection activeCell="AB1" sqref="AB1:AB1048576"/>
      <selection pane="bottomLeft" activeCell="AA81" sqref="AA81"/>
    </sheetView>
  </sheetViews>
  <sheetFormatPr baseColWidth="10" defaultColWidth="5.83203125" defaultRowHeight="12"/>
  <cols>
    <col min="1" max="1" width="10.1640625" customWidth="1"/>
    <col min="4" max="4" width="12.6640625" customWidth="1"/>
    <col min="5" max="5" width="5.5" customWidth="1"/>
    <col min="6" max="6" width="7.83203125" style="7" customWidth="1"/>
    <col min="8" max="9" width="9" customWidth="1"/>
    <col min="11" max="13" width="9.83203125" customWidth="1"/>
    <col min="14" max="14" width="15.1640625" customWidth="1"/>
    <col min="15" max="24" width="9" customWidth="1"/>
    <col min="26" max="26" width="9.1640625" customWidth="1"/>
  </cols>
  <sheetData>
    <row r="1" spans="1:28" s="38" customFormat="1" ht="40">
      <c r="A1" s="1" t="s">
        <v>379</v>
      </c>
      <c r="B1" s="1" t="s">
        <v>380</v>
      </c>
      <c r="C1" s="1" t="s">
        <v>381</v>
      </c>
      <c r="D1" s="2" t="s">
        <v>382</v>
      </c>
      <c r="E1" s="3" t="s">
        <v>383</v>
      </c>
      <c r="F1" s="4" t="s">
        <v>384</v>
      </c>
      <c r="G1" s="2" t="s">
        <v>385</v>
      </c>
      <c r="H1" s="2" t="s">
        <v>386</v>
      </c>
      <c r="I1" s="2" t="s">
        <v>757</v>
      </c>
      <c r="J1" s="5" t="s">
        <v>387</v>
      </c>
      <c r="K1" s="5" t="s">
        <v>388</v>
      </c>
      <c r="L1" s="5" t="s">
        <v>262</v>
      </c>
      <c r="M1" s="5" t="s">
        <v>253</v>
      </c>
      <c r="N1" s="3" t="s">
        <v>389</v>
      </c>
      <c r="O1" s="5" t="s">
        <v>86</v>
      </c>
      <c r="P1" s="39" t="s">
        <v>87</v>
      </c>
      <c r="Q1" s="39" t="s">
        <v>88</v>
      </c>
      <c r="R1" s="39" t="s">
        <v>89</v>
      </c>
      <c r="S1" s="39" t="s">
        <v>90</v>
      </c>
      <c r="T1" s="39" t="s">
        <v>91</v>
      </c>
      <c r="U1" s="40" t="s">
        <v>394</v>
      </c>
      <c r="V1" s="40" t="s">
        <v>395</v>
      </c>
      <c r="W1" s="40" t="s">
        <v>396</v>
      </c>
      <c r="X1" s="40" t="s">
        <v>397</v>
      </c>
      <c r="Y1" s="39" t="s">
        <v>398</v>
      </c>
      <c r="Z1" s="39" t="s">
        <v>819</v>
      </c>
      <c r="AA1" s="39" t="s">
        <v>19</v>
      </c>
      <c r="AB1" s="39" t="s">
        <v>140</v>
      </c>
    </row>
    <row r="2" spans="1:28">
      <c r="A2" s="6">
        <v>39993</v>
      </c>
      <c r="B2" t="s">
        <v>276</v>
      </c>
      <c r="C2" s="9" t="s">
        <v>290</v>
      </c>
      <c r="D2" t="s">
        <v>277</v>
      </c>
      <c r="E2" t="s">
        <v>402</v>
      </c>
      <c r="F2" s="7">
        <v>5</v>
      </c>
      <c r="G2" t="s">
        <v>278</v>
      </c>
      <c r="H2">
        <v>1</v>
      </c>
      <c r="I2">
        <v>1</v>
      </c>
      <c r="J2" t="s">
        <v>404</v>
      </c>
      <c r="K2" t="s">
        <v>405</v>
      </c>
      <c r="L2" t="s">
        <v>252</v>
      </c>
      <c r="M2" t="s">
        <v>263</v>
      </c>
      <c r="N2" t="s">
        <v>211</v>
      </c>
      <c r="P2">
        <v>3</v>
      </c>
      <c r="Q2">
        <v>1</v>
      </c>
      <c r="U2">
        <v>2</v>
      </c>
      <c r="V2">
        <v>2</v>
      </c>
      <c r="Z2">
        <f>(P2*(0.0211*(12.5^3)))+(Q2*(0.0211*(17.5^3)))+(R2*(0.0211*(22.5^3)))+(S2*(0.0211*(27.5^3)))+(T2*(0.0211*(32.5^3)))+(U2*(0.0211*(37.5^3)))+(V2*(0.0211*(42.5^3)))+(W2*(0.0211*(27.5^3)))</f>
        <v>5701.6156250000004</v>
      </c>
      <c r="AA2">
        <f>SUM(O2:X2)</f>
        <v>8</v>
      </c>
      <c r="AB2">
        <f>SUM(Q2:X2)</f>
        <v>5</v>
      </c>
    </row>
    <row r="3" spans="1:28">
      <c r="A3" s="6">
        <v>39993</v>
      </c>
      <c r="B3" t="s">
        <v>276</v>
      </c>
      <c r="C3" s="9" t="s">
        <v>290</v>
      </c>
      <c r="D3" t="s">
        <v>277</v>
      </c>
      <c r="E3" t="s">
        <v>402</v>
      </c>
      <c r="F3" s="7">
        <v>5</v>
      </c>
      <c r="G3" t="s">
        <v>278</v>
      </c>
      <c r="H3">
        <v>1</v>
      </c>
      <c r="I3">
        <v>1</v>
      </c>
      <c r="J3" t="s">
        <v>404</v>
      </c>
      <c r="K3" t="s">
        <v>405</v>
      </c>
      <c r="L3" t="s">
        <v>172</v>
      </c>
      <c r="M3" t="s">
        <v>65</v>
      </c>
      <c r="N3" t="s">
        <v>407</v>
      </c>
      <c r="P3">
        <v>100</v>
      </c>
      <c r="Z3">
        <f>(100*(0.0004*(10^3.43)))</f>
        <v>107.66139215707673</v>
      </c>
      <c r="AA3">
        <f t="shared" ref="AA3:AA66" si="0">SUM(O3:X3)</f>
        <v>100</v>
      </c>
      <c r="AB3">
        <f t="shared" ref="AB3:AB66" si="1">SUM(Q3:X3)</f>
        <v>0</v>
      </c>
    </row>
    <row r="4" spans="1:28">
      <c r="A4" s="6">
        <v>39993</v>
      </c>
      <c r="B4" t="s">
        <v>276</v>
      </c>
      <c r="C4" s="9" t="s">
        <v>290</v>
      </c>
      <c r="D4" t="s">
        <v>280</v>
      </c>
      <c r="E4" t="s">
        <v>402</v>
      </c>
      <c r="F4" s="7">
        <v>10</v>
      </c>
      <c r="G4">
        <v>8.5</v>
      </c>
      <c r="H4">
        <v>2</v>
      </c>
      <c r="I4">
        <v>2</v>
      </c>
      <c r="J4" t="s">
        <v>404</v>
      </c>
      <c r="K4" t="s">
        <v>405</v>
      </c>
      <c r="L4" t="s">
        <v>252</v>
      </c>
      <c r="M4" t="s">
        <v>263</v>
      </c>
      <c r="N4" t="s">
        <v>211</v>
      </c>
      <c r="P4">
        <v>2</v>
      </c>
      <c r="Q4">
        <v>9</v>
      </c>
      <c r="R4">
        <v>3</v>
      </c>
      <c r="S4">
        <v>3</v>
      </c>
      <c r="T4">
        <v>3</v>
      </c>
      <c r="U4">
        <v>1</v>
      </c>
      <c r="Z4">
        <f>(P4*(0.0211*(12.5^3)))+(Q4*(0.0211*(17.5^3)))+(R4*(0.0211*(22.5^3)))+(S4*(0.0211*(27.5^3)))+(T4*(0.0211*(32.5^3)))+(U4*(0.0211*(37.5^3)))+(V4*(0.0211*(42.5^3)))+(W4*(0.0211*(27.5^3)))</f>
        <v>6423.3015625000007</v>
      </c>
      <c r="AA4">
        <f t="shared" si="0"/>
        <v>21</v>
      </c>
      <c r="AB4">
        <f t="shared" si="1"/>
        <v>19</v>
      </c>
    </row>
    <row r="5" spans="1:28">
      <c r="A5" s="6">
        <v>39993</v>
      </c>
      <c r="B5" t="s">
        <v>276</v>
      </c>
      <c r="C5" s="9" t="s">
        <v>290</v>
      </c>
      <c r="D5" t="s">
        <v>280</v>
      </c>
      <c r="E5" t="s">
        <v>402</v>
      </c>
      <c r="F5" s="7">
        <v>10</v>
      </c>
      <c r="G5">
        <v>8.5</v>
      </c>
      <c r="H5">
        <v>2</v>
      </c>
      <c r="I5">
        <v>2</v>
      </c>
      <c r="J5" t="s">
        <v>404</v>
      </c>
      <c r="K5" t="s">
        <v>405</v>
      </c>
      <c r="L5" t="s">
        <v>170</v>
      </c>
      <c r="M5" t="s">
        <v>170</v>
      </c>
      <c r="N5" t="s">
        <v>281</v>
      </c>
      <c r="O5">
        <v>8</v>
      </c>
      <c r="Y5" t="s">
        <v>282</v>
      </c>
      <c r="Z5">
        <f>(1*(0.0156*(8^3))+P5*(0.0156*(12.5^3)))+(Q5*(0.0156*(17.5^3)))+(R5*(0.0156*(22.5^3)))+(S5*(0.0156*(27.5^3)))+(T5*(0.0156*(32.5^3)))+(U5*(0.0156*(37.5^3)))+(V5*(0.0156*(42.5^3)))+(W5*(0.0156*(27.5^3)))</f>
        <v>7.9871999999999996</v>
      </c>
      <c r="AA5">
        <f t="shared" si="0"/>
        <v>8</v>
      </c>
      <c r="AB5">
        <f t="shared" si="1"/>
        <v>0</v>
      </c>
    </row>
    <row r="6" spans="1:28">
      <c r="A6" s="6">
        <v>39993</v>
      </c>
      <c r="B6" t="s">
        <v>276</v>
      </c>
      <c r="C6" s="9" t="s">
        <v>290</v>
      </c>
      <c r="D6" t="s">
        <v>280</v>
      </c>
      <c r="E6" t="s">
        <v>402</v>
      </c>
      <c r="F6" s="7">
        <v>10</v>
      </c>
      <c r="G6">
        <v>8.5</v>
      </c>
      <c r="H6">
        <v>2</v>
      </c>
      <c r="I6">
        <v>2</v>
      </c>
      <c r="J6" t="s">
        <v>404</v>
      </c>
      <c r="K6" t="s">
        <v>405</v>
      </c>
      <c r="L6" t="s">
        <v>170</v>
      </c>
      <c r="M6" t="s">
        <v>170</v>
      </c>
      <c r="N6" t="s">
        <v>281</v>
      </c>
      <c r="O6">
        <v>8</v>
      </c>
      <c r="Z6">
        <f>(1*(0.0156*(8^3))+P6*(0.0156*(12.5^3)))+(Q6*(0.0156*(17.5^3)))+(R6*(0.0156*(22.5^3)))+(S6*(0.0156*(27.5^3)))+(T6*(0.0156*(32.5^3)))+(U6*(0.0156*(37.5^3)))+(V6*(0.0156*(42.5^3)))+(W6*(0.0156*(27.5^3)))</f>
        <v>7.9871999999999996</v>
      </c>
      <c r="AA6">
        <f t="shared" si="0"/>
        <v>8</v>
      </c>
      <c r="AB6">
        <f t="shared" si="1"/>
        <v>0</v>
      </c>
    </row>
    <row r="7" spans="1:28">
      <c r="A7" s="6">
        <v>39993</v>
      </c>
      <c r="B7" t="s">
        <v>276</v>
      </c>
      <c r="C7" s="9" t="s">
        <v>290</v>
      </c>
      <c r="D7" t="s">
        <v>280</v>
      </c>
      <c r="E7" t="s">
        <v>402</v>
      </c>
      <c r="F7" s="7">
        <v>10</v>
      </c>
      <c r="G7">
        <v>8.5</v>
      </c>
      <c r="H7">
        <v>2</v>
      </c>
      <c r="I7">
        <v>2</v>
      </c>
      <c r="J7" t="s">
        <v>404</v>
      </c>
      <c r="K7" t="s">
        <v>405</v>
      </c>
      <c r="L7" t="s">
        <v>170</v>
      </c>
      <c r="M7" t="s">
        <v>170</v>
      </c>
      <c r="N7" t="s">
        <v>281</v>
      </c>
      <c r="O7">
        <v>8</v>
      </c>
      <c r="Z7">
        <f>(1*(0.0156*(8^3))+P7*(0.0156*(12.5^3)))+(Q7*(0.0156*(17.5^3)))+(R7*(0.0156*(22.5^3)))+(S7*(0.0156*(27.5^3)))+(T7*(0.0156*(32.5^3)))+(U7*(0.0156*(37.5^3)))+(V7*(0.0156*(42.5^3)))+(W7*(0.0156*(27.5^3)))</f>
        <v>7.9871999999999996</v>
      </c>
      <c r="AA7">
        <f t="shared" si="0"/>
        <v>8</v>
      </c>
      <c r="AB7">
        <f t="shared" si="1"/>
        <v>0</v>
      </c>
    </row>
    <row r="8" spans="1:28">
      <c r="A8" s="6">
        <v>39993</v>
      </c>
      <c r="B8" t="s">
        <v>276</v>
      </c>
      <c r="C8" s="9" t="s">
        <v>290</v>
      </c>
      <c r="D8" t="s">
        <v>280</v>
      </c>
      <c r="E8" t="s">
        <v>402</v>
      </c>
      <c r="F8" s="7">
        <v>10</v>
      </c>
      <c r="G8">
        <v>8.5</v>
      </c>
      <c r="H8">
        <v>2</v>
      </c>
      <c r="I8">
        <v>2</v>
      </c>
      <c r="J8" t="s">
        <v>404</v>
      </c>
      <c r="K8" t="s">
        <v>405</v>
      </c>
      <c r="L8" t="s">
        <v>170</v>
      </c>
      <c r="M8" t="s">
        <v>170</v>
      </c>
      <c r="N8" t="s">
        <v>409</v>
      </c>
      <c r="T8">
        <v>1</v>
      </c>
      <c r="Z8">
        <f>(P8*(0.0156*(12.5^3)))+(Q8*(0.0156*(17.5^3)))+(R8*(0.0156*(22.5^3)))+(S8*(0.0156*(27.5^3)))+(T8*(0.0156*(32.5^3)))+(U8*(0.0156*(37.5^3)))+(V8*(0.0156*(42.5^3)))+(W8*(0.0156*(27.5^3)))</f>
        <v>535.51874999999995</v>
      </c>
      <c r="AA8">
        <f t="shared" si="0"/>
        <v>1</v>
      </c>
      <c r="AB8">
        <f t="shared" si="1"/>
        <v>1</v>
      </c>
    </row>
    <row r="9" spans="1:28">
      <c r="A9" s="6">
        <v>39993</v>
      </c>
      <c r="B9" t="s">
        <v>276</v>
      </c>
      <c r="C9" s="9" t="s">
        <v>290</v>
      </c>
      <c r="D9" t="s">
        <v>280</v>
      </c>
      <c r="E9" t="s">
        <v>402</v>
      </c>
      <c r="F9" s="7">
        <v>10</v>
      </c>
      <c r="G9">
        <v>8.5</v>
      </c>
      <c r="H9">
        <v>2</v>
      </c>
      <c r="I9">
        <v>2</v>
      </c>
      <c r="J9" t="s">
        <v>404</v>
      </c>
      <c r="K9" t="s">
        <v>405</v>
      </c>
      <c r="L9" t="s">
        <v>177</v>
      </c>
      <c r="M9" t="s">
        <v>265</v>
      </c>
      <c r="N9" t="s">
        <v>45</v>
      </c>
      <c r="O9">
        <v>6</v>
      </c>
      <c r="Z9">
        <f>(1*(0.009*(60^3.06)))/1000</f>
        <v>2.4853372876419679</v>
      </c>
      <c r="AA9">
        <f t="shared" si="0"/>
        <v>6</v>
      </c>
      <c r="AB9">
        <f t="shared" si="1"/>
        <v>0</v>
      </c>
    </row>
    <row r="10" spans="1:28">
      <c r="A10" s="6">
        <v>39993</v>
      </c>
      <c r="B10" t="s">
        <v>276</v>
      </c>
      <c r="C10" s="9" t="s">
        <v>290</v>
      </c>
      <c r="D10" t="s">
        <v>280</v>
      </c>
      <c r="E10" t="s">
        <v>402</v>
      </c>
      <c r="F10" s="7">
        <v>10</v>
      </c>
      <c r="G10">
        <v>8.5</v>
      </c>
      <c r="H10">
        <v>2</v>
      </c>
      <c r="I10">
        <v>2</v>
      </c>
      <c r="J10" t="s">
        <v>404</v>
      </c>
      <c r="K10" t="s">
        <v>405</v>
      </c>
      <c r="L10" t="s">
        <v>177</v>
      </c>
      <c r="M10" t="s">
        <v>265</v>
      </c>
      <c r="N10" t="s">
        <v>45</v>
      </c>
      <c r="P10">
        <v>10</v>
      </c>
      <c r="Z10">
        <f>(1*(0.009*(100^3.06)))/1000</f>
        <v>11.864310647007688</v>
      </c>
      <c r="AA10">
        <f t="shared" si="0"/>
        <v>10</v>
      </c>
      <c r="AB10">
        <f t="shared" si="1"/>
        <v>0</v>
      </c>
    </row>
    <row r="11" spans="1:28">
      <c r="A11" s="6">
        <v>39993</v>
      </c>
      <c r="B11" t="s">
        <v>276</v>
      </c>
      <c r="C11" s="9" t="s">
        <v>290</v>
      </c>
      <c r="D11" t="s">
        <v>280</v>
      </c>
      <c r="E11" t="s">
        <v>402</v>
      </c>
      <c r="F11" s="7">
        <v>10</v>
      </c>
      <c r="G11">
        <v>8.5</v>
      </c>
      <c r="H11">
        <v>2</v>
      </c>
      <c r="I11">
        <v>2</v>
      </c>
      <c r="J11" t="s">
        <v>404</v>
      </c>
      <c r="K11" t="s">
        <v>405</v>
      </c>
      <c r="L11" t="s">
        <v>177</v>
      </c>
      <c r="M11" t="s">
        <v>265</v>
      </c>
      <c r="N11" t="s">
        <v>283</v>
      </c>
      <c r="P11">
        <v>12</v>
      </c>
      <c r="Z11">
        <f>(1*(0.009*(120^3.06)))/1000</f>
        <v>20.727032212067943</v>
      </c>
      <c r="AA11">
        <f t="shared" si="0"/>
        <v>12</v>
      </c>
      <c r="AB11">
        <f t="shared" si="1"/>
        <v>0</v>
      </c>
    </row>
    <row r="12" spans="1:28">
      <c r="A12" s="6">
        <v>39993</v>
      </c>
      <c r="B12" t="s">
        <v>276</v>
      </c>
      <c r="C12" s="9" t="s">
        <v>290</v>
      </c>
      <c r="D12" t="s">
        <v>280</v>
      </c>
      <c r="E12" t="s">
        <v>402</v>
      </c>
      <c r="F12" s="7">
        <v>10</v>
      </c>
      <c r="G12">
        <v>8.5</v>
      </c>
      <c r="H12">
        <v>3</v>
      </c>
      <c r="I12">
        <v>3</v>
      </c>
      <c r="J12" t="s">
        <v>404</v>
      </c>
      <c r="K12" t="s">
        <v>405</v>
      </c>
      <c r="L12" t="s">
        <v>170</v>
      </c>
      <c r="M12" t="s">
        <v>170</v>
      </c>
      <c r="N12" t="s">
        <v>406</v>
      </c>
      <c r="Q12">
        <v>1</v>
      </c>
      <c r="Z12">
        <f>(P12*(0.0156*(12.5^3)))+(Q12*(0.0156*(17.5^3)))+(R12*(0.0156*(22.5^3)))+(S12*(0.0156*(27.5^3)))+(T12*(0.0156*(32.5^3)))+(U12*(0.0156*(37.5^3)))+(V12*(0.0156*(42.5^3)))+(W12*(0.0156*(27.5^3)))</f>
        <v>83.606250000000003</v>
      </c>
      <c r="AA12">
        <f t="shared" si="0"/>
        <v>1</v>
      </c>
      <c r="AB12">
        <f t="shared" si="1"/>
        <v>1</v>
      </c>
    </row>
    <row r="13" spans="1:28">
      <c r="A13" s="6">
        <v>39993</v>
      </c>
      <c r="B13" t="s">
        <v>276</v>
      </c>
      <c r="C13" s="9" t="s">
        <v>290</v>
      </c>
      <c r="D13" t="s">
        <v>280</v>
      </c>
      <c r="E13" t="s">
        <v>402</v>
      </c>
      <c r="F13" s="7">
        <v>10</v>
      </c>
      <c r="G13">
        <v>8.5</v>
      </c>
      <c r="H13">
        <v>3</v>
      </c>
      <c r="I13">
        <v>3</v>
      </c>
      <c r="J13" t="s">
        <v>404</v>
      </c>
      <c r="K13" t="s">
        <v>405</v>
      </c>
      <c r="L13" t="s">
        <v>177</v>
      </c>
      <c r="M13" t="s">
        <v>265</v>
      </c>
      <c r="N13" t="s">
        <v>284</v>
      </c>
      <c r="O13">
        <v>7</v>
      </c>
      <c r="Z13">
        <f>(1*(0.009*(70^3.06)))/1000</f>
        <v>3.9832953736762806</v>
      </c>
      <c r="AA13">
        <f t="shared" si="0"/>
        <v>7</v>
      </c>
      <c r="AB13">
        <f t="shared" si="1"/>
        <v>0</v>
      </c>
    </row>
    <row r="14" spans="1:28">
      <c r="A14" s="6">
        <v>39993</v>
      </c>
      <c r="B14" t="s">
        <v>276</v>
      </c>
      <c r="C14" s="9" t="s">
        <v>290</v>
      </c>
      <c r="D14" t="s">
        <v>280</v>
      </c>
      <c r="E14" t="s">
        <v>402</v>
      </c>
      <c r="F14" s="7">
        <v>10</v>
      </c>
      <c r="G14">
        <v>8.5</v>
      </c>
      <c r="H14">
        <v>3</v>
      </c>
      <c r="I14">
        <v>3</v>
      </c>
      <c r="J14" t="s">
        <v>404</v>
      </c>
      <c r="K14" t="s">
        <v>405</v>
      </c>
      <c r="L14" t="s">
        <v>172</v>
      </c>
      <c r="M14" t="s">
        <v>65</v>
      </c>
      <c r="N14" t="s">
        <v>407</v>
      </c>
      <c r="O14">
        <v>13</v>
      </c>
      <c r="Z14">
        <f>13*(0.0004*(3^3.43))</f>
        <v>0.22517970576739735</v>
      </c>
      <c r="AA14">
        <f t="shared" si="0"/>
        <v>13</v>
      </c>
      <c r="AB14">
        <f t="shared" si="1"/>
        <v>0</v>
      </c>
    </row>
    <row r="15" spans="1:28">
      <c r="A15" s="6">
        <v>39993</v>
      </c>
      <c r="B15" t="s">
        <v>276</v>
      </c>
      <c r="C15" s="9" t="s">
        <v>290</v>
      </c>
      <c r="D15" t="s">
        <v>280</v>
      </c>
      <c r="E15" t="s">
        <v>402</v>
      </c>
      <c r="F15" s="7">
        <v>10</v>
      </c>
      <c r="G15">
        <v>8.5</v>
      </c>
      <c r="H15">
        <v>3</v>
      </c>
      <c r="I15">
        <v>3</v>
      </c>
      <c r="J15" t="s">
        <v>404</v>
      </c>
      <c r="K15" t="s">
        <v>405</v>
      </c>
      <c r="L15" t="s">
        <v>170</v>
      </c>
      <c r="M15" t="s">
        <v>170</v>
      </c>
      <c r="N15" t="s">
        <v>409</v>
      </c>
      <c r="Q15">
        <v>3</v>
      </c>
      <c r="Z15">
        <f>(P15*(0.0156*(12.5^3)))+(Q15*(0.0156*(17.5^3)))+(R15*(0.0156*(22.5^3)))+(S15*(0.0156*(27.5^3)))+(T15*(0.0156*(32.5^3)))+(U15*(0.0156*(37.5^3)))+(V15*(0.0156*(42.5^3)))+(W15*(0.0156*(27.5^3)))</f>
        <v>250.81875000000002</v>
      </c>
      <c r="AA15">
        <f t="shared" si="0"/>
        <v>3</v>
      </c>
      <c r="AB15">
        <f t="shared" si="1"/>
        <v>3</v>
      </c>
    </row>
    <row r="16" spans="1:28">
      <c r="A16" s="6">
        <v>39993</v>
      </c>
      <c r="B16" t="s">
        <v>276</v>
      </c>
      <c r="C16" s="9" t="s">
        <v>290</v>
      </c>
      <c r="D16" t="s">
        <v>280</v>
      </c>
      <c r="E16" t="s">
        <v>402</v>
      </c>
      <c r="F16" s="7">
        <v>10</v>
      </c>
      <c r="G16">
        <v>8.5</v>
      </c>
      <c r="H16">
        <v>3</v>
      </c>
      <c r="I16">
        <v>3</v>
      </c>
      <c r="J16" t="s">
        <v>404</v>
      </c>
      <c r="K16" t="s">
        <v>405</v>
      </c>
      <c r="L16" t="s">
        <v>174</v>
      </c>
      <c r="M16" t="s">
        <v>174</v>
      </c>
      <c r="N16" t="s">
        <v>210</v>
      </c>
      <c r="T16">
        <v>1</v>
      </c>
      <c r="Z16">
        <f>(T16*(0.013*(32.5^3)))</f>
        <v>446.265625</v>
      </c>
      <c r="AA16">
        <f t="shared" si="0"/>
        <v>1</v>
      </c>
      <c r="AB16">
        <f t="shared" si="1"/>
        <v>1</v>
      </c>
    </row>
    <row r="17" spans="1:28">
      <c r="A17" s="6">
        <v>39994</v>
      </c>
      <c r="B17" t="s">
        <v>276</v>
      </c>
      <c r="C17" t="s">
        <v>234</v>
      </c>
      <c r="D17" t="s">
        <v>235</v>
      </c>
      <c r="E17" t="s">
        <v>402</v>
      </c>
      <c r="F17" s="7">
        <v>12</v>
      </c>
      <c r="G17" t="s">
        <v>236</v>
      </c>
      <c r="H17">
        <v>1</v>
      </c>
      <c r="I17">
        <v>1</v>
      </c>
      <c r="J17" t="s">
        <v>404</v>
      </c>
      <c r="K17" t="s">
        <v>237</v>
      </c>
      <c r="L17" t="s">
        <v>170</v>
      </c>
      <c r="M17" t="s">
        <v>170</v>
      </c>
      <c r="N17" t="s">
        <v>238</v>
      </c>
      <c r="O17">
        <v>3</v>
      </c>
      <c r="P17">
        <v>2</v>
      </c>
      <c r="Z17">
        <f>(2*(0.0156*(9^3))+1*(0.0156*(8^3))+2*(0.0156*(10^3)))+(Q17*(0.0156*(17.5^3)))+(R17*(0.0156*(22.5^3)))+(S17*(0.0156*(27.5^3)))+(T17*(0.0156*(32.5^3)))+(U17*(0.0156*(37.5^3)))+(V17*(0.0156*(42.5^3)))+(W17*(0.0156*(27.5^3)))</f>
        <v>61.932000000000002</v>
      </c>
      <c r="AA17">
        <f t="shared" si="0"/>
        <v>5</v>
      </c>
      <c r="AB17">
        <f t="shared" si="1"/>
        <v>0</v>
      </c>
    </row>
    <row r="18" spans="1:28">
      <c r="A18" s="6">
        <v>39994</v>
      </c>
      <c r="B18" t="s">
        <v>276</v>
      </c>
      <c r="C18" t="s">
        <v>234</v>
      </c>
      <c r="D18" t="s">
        <v>235</v>
      </c>
      <c r="E18" t="s">
        <v>402</v>
      </c>
      <c r="F18" s="7">
        <v>12</v>
      </c>
      <c r="G18" t="s">
        <v>236</v>
      </c>
      <c r="H18">
        <v>1</v>
      </c>
      <c r="I18">
        <v>1</v>
      </c>
      <c r="J18" t="s">
        <v>404</v>
      </c>
      <c r="K18" t="s">
        <v>546</v>
      </c>
      <c r="L18" t="s">
        <v>206</v>
      </c>
      <c r="M18" t="s">
        <v>202</v>
      </c>
      <c r="N18" t="s">
        <v>446</v>
      </c>
      <c r="P18">
        <v>1</v>
      </c>
      <c r="Z18">
        <f>(1*(0.0043*(10^3.018)))</f>
        <v>4.4819649463912077</v>
      </c>
      <c r="AA18">
        <f t="shared" si="0"/>
        <v>1</v>
      </c>
      <c r="AB18">
        <f t="shared" si="1"/>
        <v>0</v>
      </c>
    </row>
    <row r="19" spans="1:28">
      <c r="A19" s="6">
        <v>39994</v>
      </c>
      <c r="B19" t="s">
        <v>276</v>
      </c>
      <c r="C19" t="s">
        <v>234</v>
      </c>
      <c r="D19" t="s">
        <v>235</v>
      </c>
      <c r="E19" t="s">
        <v>402</v>
      </c>
      <c r="F19" s="7">
        <v>12</v>
      </c>
      <c r="G19" t="s">
        <v>236</v>
      </c>
      <c r="H19">
        <v>1</v>
      </c>
      <c r="I19">
        <v>1</v>
      </c>
      <c r="J19" t="s">
        <v>404</v>
      </c>
      <c r="K19" t="s">
        <v>643</v>
      </c>
      <c r="L19" t="s">
        <v>177</v>
      </c>
      <c r="M19" t="s">
        <v>265</v>
      </c>
      <c r="N19" t="s">
        <v>45</v>
      </c>
      <c r="O19">
        <v>6</v>
      </c>
      <c r="P19">
        <v>1</v>
      </c>
      <c r="Z19">
        <f>((0.009*(80^3.06))+(0.009*(50^3.06))+(0.009*(40^3.06))+(3*(0.009*(30^3.06)))+(1*(0.009*(100^3.06))))/1000</f>
        <v>20.893409163700582</v>
      </c>
      <c r="AA19">
        <f t="shared" si="0"/>
        <v>7</v>
      </c>
      <c r="AB19">
        <f t="shared" si="1"/>
        <v>0</v>
      </c>
    </row>
    <row r="20" spans="1:28">
      <c r="A20" s="6">
        <v>39994</v>
      </c>
      <c r="B20" t="s">
        <v>276</v>
      </c>
      <c r="C20" t="s">
        <v>234</v>
      </c>
      <c r="D20" t="s">
        <v>235</v>
      </c>
      <c r="E20" t="s">
        <v>402</v>
      </c>
      <c r="F20" s="7">
        <v>12</v>
      </c>
      <c r="G20" t="s">
        <v>236</v>
      </c>
      <c r="H20">
        <v>1</v>
      </c>
      <c r="I20">
        <v>1</v>
      </c>
      <c r="J20" t="s">
        <v>404</v>
      </c>
      <c r="K20" t="s">
        <v>643</v>
      </c>
      <c r="L20" t="s">
        <v>207</v>
      </c>
      <c r="M20" t="s">
        <v>60</v>
      </c>
      <c r="N20" t="s">
        <v>448</v>
      </c>
      <c r="X20">
        <v>1</v>
      </c>
      <c r="Z20">
        <f>(1*(0.0000055*(550^3.185)))</f>
        <v>2940.4774656398595</v>
      </c>
      <c r="AA20">
        <f t="shared" si="0"/>
        <v>1</v>
      </c>
      <c r="AB20">
        <f t="shared" si="1"/>
        <v>1</v>
      </c>
    </row>
    <row r="21" spans="1:28">
      <c r="A21" s="6">
        <v>39994</v>
      </c>
      <c r="B21" t="s">
        <v>276</v>
      </c>
      <c r="C21" t="s">
        <v>234</v>
      </c>
      <c r="D21" t="s">
        <v>235</v>
      </c>
      <c r="E21" t="s">
        <v>402</v>
      </c>
      <c r="F21" s="7">
        <v>12</v>
      </c>
      <c r="G21" t="s">
        <v>236</v>
      </c>
      <c r="H21">
        <v>1</v>
      </c>
      <c r="I21">
        <v>1</v>
      </c>
      <c r="J21" t="s">
        <v>404</v>
      </c>
      <c r="K21" t="s">
        <v>237</v>
      </c>
      <c r="L21" t="s">
        <v>170</v>
      </c>
      <c r="M21" t="s">
        <v>170</v>
      </c>
      <c r="N21" t="s">
        <v>406</v>
      </c>
      <c r="R21">
        <v>1</v>
      </c>
      <c r="V21">
        <v>1</v>
      </c>
      <c r="Z21">
        <f>(0*(0.0156*(9^3))+0*(0.0156*(8^3))+P21*(0.0156*(12.5^3)))+(Q21*(0.0156*(17.5^3)))+(R21*(0.0156*(22.5^3)))+(S21*(0.0156*(27.5^3)))+(T21*(0.0156*(32.5^3)))+(U21*(0.0156*(37.5^3)))+(V21*(0.0156*(42.5^3)))+(W21*(0.0156*(27.5^3)))</f>
        <v>1375.2375</v>
      </c>
      <c r="AA21">
        <f t="shared" si="0"/>
        <v>2</v>
      </c>
      <c r="AB21">
        <f t="shared" si="1"/>
        <v>2</v>
      </c>
    </row>
    <row r="22" spans="1:28">
      <c r="A22" s="6">
        <v>39994</v>
      </c>
      <c r="B22" t="s">
        <v>276</v>
      </c>
      <c r="C22" t="s">
        <v>234</v>
      </c>
      <c r="D22" t="s">
        <v>235</v>
      </c>
      <c r="E22" t="s">
        <v>402</v>
      </c>
      <c r="F22" s="7">
        <v>12</v>
      </c>
      <c r="G22" t="s">
        <v>270</v>
      </c>
      <c r="H22">
        <v>2</v>
      </c>
      <c r="I22">
        <v>2</v>
      </c>
      <c r="J22" t="s">
        <v>404</v>
      </c>
      <c r="K22" t="s">
        <v>237</v>
      </c>
      <c r="L22" t="s">
        <v>170</v>
      </c>
      <c r="M22" t="s">
        <v>170</v>
      </c>
      <c r="N22" t="s">
        <v>409</v>
      </c>
      <c r="Q22">
        <v>1</v>
      </c>
      <c r="T22">
        <v>1</v>
      </c>
      <c r="U22">
        <v>1</v>
      </c>
      <c r="Z22">
        <f>(0*(0.0156*(9^3))+0*(0.0156*(8^3))+P22*(0.0156*(12.5^3)))+(Q22*(0.0156*(17.5^3)))+(R22*(0.0156*(22.5^3)))+(S22*(0.0156*(27.5^3)))+(T22*(0.0156*(32.5^3)))+(U22*(0.0156*(37.5^3)))+(V22*(0.0156*(42.5^3)))+(W22*(0.0156*(27.5^3)))</f>
        <v>1441.78125</v>
      </c>
      <c r="AA22">
        <f t="shared" si="0"/>
        <v>3</v>
      </c>
      <c r="AB22">
        <f t="shared" si="1"/>
        <v>3</v>
      </c>
    </row>
    <row r="23" spans="1:28">
      <c r="A23" s="6">
        <v>39994</v>
      </c>
      <c r="B23" t="s">
        <v>276</v>
      </c>
      <c r="C23" t="s">
        <v>234</v>
      </c>
      <c r="D23" t="s">
        <v>235</v>
      </c>
      <c r="E23" t="s">
        <v>402</v>
      </c>
      <c r="F23" s="7">
        <v>12</v>
      </c>
      <c r="G23" t="s">
        <v>270</v>
      </c>
      <c r="H23">
        <v>2</v>
      </c>
      <c r="I23">
        <v>2</v>
      </c>
      <c r="J23" t="s">
        <v>404</v>
      </c>
      <c r="K23" t="s">
        <v>237</v>
      </c>
      <c r="L23" t="s">
        <v>177</v>
      </c>
      <c r="M23" t="s">
        <v>202</v>
      </c>
      <c r="N23" t="s">
        <v>450</v>
      </c>
      <c r="O23">
        <v>4</v>
      </c>
      <c r="P23">
        <v>1</v>
      </c>
      <c r="Z23">
        <f>((2*(0.009*(60^3.06)))+(2*(0.009*(30^3.06)))+(1*(0.009*(100^3.06))))/1000</f>
        <v>17.431008943405651</v>
      </c>
      <c r="AA23">
        <f t="shared" si="0"/>
        <v>5</v>
      </c>
      <c r="AB23">
        <f t="shared" si="1"/>
        <v>0</v>
      </c>
    </row>
    <row r="24" spans="1:28">
      <c r="A24" s="6">
        <v>39994</v>
      </c>
      <c r="B24" t="s">
        <v>276</v>
      </c>
      <c r="C24" t="s">
        <v>234</v>
      </c>
      <c r="D24" t="s">
        <v>235</v>
      </c>
      <c r="E24" t="s">
        <v>402</v>
      </c>
      <c r="F24" s="7">
        <v>12</v>
      </c>
      <c r="G24" t="s">
        <v>270</v>
      </c>
      <c r="H24">
        <v>2</v>
      </c>
      <c r="I24">
        <v>2</v>
      </c>
      <c r="J24" t="s">
        <v>404</v>
      </c>
      <c r="K24" t="s">
        <v>237</v>
      </c>
      <c r="L24" t="s">
        <v>199</v>
      </c>
      <c r="M24" t="s">
        <v>175</v>
      </c>
      <c r="N24" t="s">
        <v>38</v>
      </c>
      <c r="R24">
        <v>1</v>
      </c>
      <c r="Z24">
        <f>(P24*(0.0175*(12.5^3)))+(Q24*(0.0175*(17.5^3)))+(R24*(0.0175*(22.5^3)))+(S24*(0.0175*(27.5^3)))+(T24*(0.0175*(32.5^3)))+(U24*(0.0175*(37.5^3)))+(V24*(0.0175*(42.5^3)))+(W24*(0.0175*(27.5^3)))</f>
        <v>199.33593750000003</v>
      </c>
      <c r="AA24">
        <f t="shared" si="0"/>
        <v>1</v>
      </c>
      <c r="AB24">
        <f t="shared" si="1"/>
        <v>1</v>
      </c>
    </row>
    <row r="25" spans="1:28">
      <c r="A25" s="6">
        <v>39994</v>
      </c>
      <c r="B25" t="s">
        <v>276</v>
      </c>
      <c r="C25" t="s">
        <v>234</v>
      </c>
      <c r="D25" t="s">
        <v>235</v>
      </c>
      <c r="E25" t="s">
        <v>402</v>
      </c>
      <c r="F25" s="7">
        <v>12</v>
      </c>
      <c r="G25" t="s">
        <v>270</v>
      </c>
      <c r="H25">
        <v>2</v>
      </c>
      <c r="I25">
        <v>2</v>
      </c>
      <c r="J25" t="s">
        <v>404</v>
      </c>
      <c r="K25" t="s">
        <v>237</v>
      </c>
      <c r="L25" t="s">
        <v>170</v>
      </c>
      <c r="M25" t="s">
        <v>170</v>
      </c>
      <c r="N25" t="s">
        <v>238</v>
      </c>
      <c r="P25">
        <v>1</v>
      </c>
      <c r="Z25">
        <f>(0*(0.0156*(9^3))+0*(0.0156*(8^3))+1*(0.0156*(10^3)))+(Q25*(0.0156*(17.5^3)))+(R25*(0.0156*(22.5^3)))+(S25*(0.0156*(27.5^3)))+(T25*(0.0156*(32.5^3)))+(U25*(0.0156*(37.5^3)))+(V25*(0.0156*(42.5^3)))+(W25*(0.0156*(27.5^3)))</f>
        <v>15.6</v>
      </c>
      <c r="AA25">
        <f t="shared" si="0"/>
        <v>1</v>
      </c>
      <c r="AB25">
        <f t="shared" si="1"/>
        <v>0</v>
      </c>
    </row>
    <row r="26" spans="1:28">
      <c r="A26" s="6">
        <v>39994</v>
      </c>
      <c r="B26" t="s">
        <v>276</v>
      </c>
      <c r="C26" t="s">
        <v>234</v>
      </c>
      <c r="D26" t="s">
        <v>235</v>
      </c>
      <c r="E26" t="s">
        <v>402</v>
      </c>
      <c r="G26" t="s">
        <v>452</v>
      </c>
      <c r="H26">
        <v>3</v>
      </c>
      <c r="I26">
        <v>3</v>
      </c>
      <c r="J26" t="s">
        <v>404</v>
      </c>
      <c r="K26" t="s">
        <v>237</v>
      </c>
      <c r="L26" t="s">
        <v>170</v>
      </c>
      <c r="M26" t="s">
        <v>170</v>
      </c>
      <c r="N26" t="s">
        <v>409</v>
      </c>
      <c r="Q26">
        <v>1</v>
      </c>
      <c r="V26">
        <v>1</v>
      </c>
      <c r="Z26">
        <f>(0*(0.0156*(9^3))+0*(0.0156*(8^3))+P26*(0.0156*(10^3)))+(Q26*(0.0156*(17.5^3)))+(R26*(0.0156*(22.5^3)))+(S26*(0.0156*(27.5^3)))+(T26*(0.0156*(32.5^3)))+(U26*(0.0156*(37.5^3)))+(V26*(0.0156*(42.5^3)))+(W26*(0.0156*(27.5^3)))</f>
        <v>1281.1500000000001</v>
      </c>
      <c r="AA26">
        <f t="shared" si="0"/>
        <v>2</v>
      </c>
      <c r="AB26">
        <f t="shared" si="1"/>
        <v>2</v>
      </c>
    </row>
    <row r="27" spans="1:28">
      <c r="A27" s="6">
        <v>39994</v>
      </c>
      <c r="B27" t="s">
        <v>276</v>
      </c>
      <c r="C27" t="s">
        <v>234</v>
      </c>
      <c r="D27" t="s">
        <v>235</v>
      </c>
      <c r="E27" t="s">
        <v>402</v>
      </c>
      <c r="G27" t="s">
        <v>452</v>
      </c>
      <c r="H27">
        <v>3</v>
      </c>
      <c r="I27">
        <v>3</v>
      </c>
      <c r="J27" t="s">
        <v>404</v>
      </c>
      <c r="K27" t="s">
        <v>237</v>
      </c>
      <c r="L27" t="s">
        <v>170</v>
      </c>
      <c r="M27" t="s">
        <v>170</v>
      </c>
      <c r="N27" t="s">
        <v>238</v>
      </c>
      <c r="O27">
        <v>2</v>
      </c>
      <c r="P27">
        <v>1</v>
      </c>
      <c r="Z27">
        <f>(1*(0.0156*(9^3))+1*(0.0156*(8^3))+1*(0.0156*(10^3)))+(Q27*(0.0156*(17.5^3)))+(R27*(0.0156*(22.5^3)))+(S27*(0.0156*(27.5^3)))+(T27*(0.0156*(32.5^3)))+(U27*(0.0156*(37.5^3)))+(V27*(0.0156*(42.5^3)))+(W27*(0.0156*(27.5^3)))</f>
        <v>34.959600000000002</v>
      </c>
      <c r="AA27">
        <f t="shared" si="0"/>
        <v>3</v>
      </c>
      <c r="AB27">
        <f t="shared" si="1"/>
        <v>0</v>
      </c>
    </row>
    <row r="28" spans="1:28">
      <c r="A28" s="6">
        <v>39994</v>
      </c>
      <c r="B28" t="s">
        <v>276</v>
      </c>
      <c r="C28" t="s">
        <v>234</v>
      </c>
      <c r="D28" t="s">
        <v>235</v>
      </c>
      <c r="E28" t="s">
        <v>402</v>
      </c>
      <c r="G28" t="s">
        <v>452</v>
      </c>
      <c r="H28">
        <v>4</v>
      </c>
      <c r="I28">
        <v>4</v>
      </c>
      <c r="J28" t="s">
        <v>404</v>
      </c>
      <c r="K28" t="s">
        <v>237</v>
      </c>
      <c r="L28" t="s">
        <v>252</v>
      </c>
      <c r="M28" t="s">
        <v>263</v>
      </c>
      <c r="N28" t="s">
        <v>211</v>
      </c>
      <c r="P28">
        <v>3</v>
      </c>
      <c r="Q28">
        <v>2</v>
      </c>
      <c r="Z28">
        <f>(P28*(0.0211*(12.5^3)))+(Q28*(0.0211*(17.5^3)))+(R28*(0.0211*(22.5^3)))+(S28*(0.0211*(27.5^3)))+(T28*(0.0211*(32.5^3)))+(U28*(0.0211*(37.5^3)))+(V28*(0.0211*(42.5^3)))+(W28*(0.0211*(27.5^3)))</f>
        <v>349.79843749999998</v>
      </c>
      <c r="AA28">
        <f t="shared" si="0"/>
        <v>5</v>
      </c>
      <c r="AB28">
        <f t="shared" si="1"/>
        <v>2</v>
      </c>
    </row>
    <row r="29" spans="1:28">
      <c r="A29" s="6">
        <v>39994</v>
      </c>
      <c r="B29" t="s">
        <v>276</v>
      </c>
      <c r="C29" t="s">
        <v>234</v>
      </c>
      <c r="D29" t="s">
        <v>235</v>
      </c>
      <c r="E29" t="s">
        <v>402</v>
      </c>
      <c r="G29" t="s">
        <v>452</v>
      </c>
      <c r="H29">
        <v>4</v>
      </c>
      <c r="I29">
        <v>4</v>
      </c>
      <c r="J29" t="s">
        <v>404</v>
      </c>
      <c r="K29" t="s">
        <v>454</v>
      </c>
      <c r="L29" t="s">
        <v>170</v>
      </c>
      <c r="M29" t="s">
        <v>170</v>
      </c>
      <c r="N29" t="s">
        <v>238</v>
      </c>
      <c r="O29">
        <v>10</v>
      </c>
      <c r="P29">
        <v>1</v>
      </c>
      <c r="Z29">
        <f>(1*(0.0156*(6^3))+4*(0.0156*(7^3))+5*(0.0156*(8^3))+1*(0.0156*(10^3)))+(Q29*(0.0156*(17.5^3)))+(R29*(0.0156*(22.5^3)))+(S29*(0.0156*(27.5^3)))+(T29*(0.0156*(32.5^3)))+(U29*(0.0156*(37.5^3)))+(V29*(0.0156*(42.5^3)))+(W29*(0.0156*(27.5^3)))</f>
        <v>80.308799999999991</v>
      </c>
      <c r="AA29">
        <f t="shared" si="0"/>
        <v>11</v>
      </c>
      <c r="AB29">
        <f t="shared" si="1"/>
        <v>0</v>
      </c>
    </row>
    <row r="30" spans="1:28">
      <c r="A30" s="6">
        <v>39994</v>
      </c>
      <c r="B30" t="s">
        <v>276</v>
      </c>
      <c r="C30" t="s">
        <v>234</v>
      </c>
      <c r="D30" t="s">
        <v>235</v>
      </c>
      <c r="E30" t="s">
        <v>402</v>
      </c>
      <c r="G30" t="s">
        <v>452</v>
      </c>
      <c r="H30">
        <v>4</v>
      </c>
      <c r="I30">
        <v>4</v>
      </c>
      <c r="J30" t="s">
        <v>404</v>
      </c>
      <c r="K30" t="s">
        <v>546</v>
      </c>
      <c r="L30" t="s">
        <v>170</v>
      </c>
      <c r="M30" t="s">
        <v>170</v>
      </c>
      <c r="N30" t="s">
        <v>409</v>
      </c>
      <c r="T30">
        <v>1</v>
      </c>
      <c r="U30">
        <v>1</v>
      </c>
      <c r="Z30">
        <f>(0*(0.0156*(9^3))+0*(0.0156*(8^3))+P30*(0.0156*(12.5^3)))+(Q30*(0.0156*(17.5^3)))+(R30*(0.0156*(22.5^3)))+(S30*(0.0156*(27.5^3)))+(T30*(0.0156*(32.5^3)))+(U30*(0.0156*(37.5^3)))+(V30*(0.0156*(42.5^3)))+(W30*(0.0156*(27.5^3)))</f>
        <v>1358.175</v>
      </c>
      <c r="AA30">
        <f t="shared" si="0"/>
        <v>2</v>
      </c>
      <c r="AB30">
        <f t="shared" si="1"/>
        <v>2</v>
      </c>
    </row>
    <row r="31" spans="1:28">
      <c r="A31" s="6">
        <v>39994</v>
      </c>
      <c r="B31" t="s">
        <v>276</v>
      </c>
      <c r="C31" t="s">
        <v>234</v>
      </c>
      <c r="D31" t="s">
        <v>235</v>
      </c>
      <c r="E31" t="s">
        <v>402</v>
      </c>
      <c r="G31" t="s">
        <v>452</v>
      </c>
      <c r="H31">
        <v>4</v>
      </c>
      <c r="I31">
        <v>4</v>
      </c>
      <c r="J31" t="s">
        <v>404</v>
      </c>
      <c r="K31" t="s">
        <v>546</v>
      </c>
      <c r="L31" t="s">
        <v>172</v>
      </c>
      <c r="M31" t="s">
        <v>65</v>
      </c>
      <c r="N31" t="s">
        <v>407</v>
      </c>
      <c r="Q31">
        <v>2</v>
      </c>
      <c r="Z31">
        <f>(Q31*(0.0004*(17.5^3.43)))</f>
        <v>14.679473997210593</v>
      </c>
      <c r="AA31">
        <f t="shared" si="0"/>
        <v>2</v>
      </c>
      <c r="AB31">
        <f t="shared" si="1"/>
        <v>2</v>
      </c>
    </row>
    <row r="32" spans="1:28">
      <c r="A32" s="6">
        <v>39994</v>
      </c>
      <c r="B32" t="s">
        <v>276</v>
      </c>
      <c r="C32" t="s">
        <v>234</v>
      </c>
      <c r="D32" t="s">
        <v>235</v>
      </c>
      <c r="E32" t="s">
        <v>402</v>
      </c>
      <c r="G32" t="s">
        <v>452</v>
      </c>
      <c r="H32">
        <v>4</v>
      </c>
      <c r="I32">
        <v>4</v>
      </c>
      <c r="J32" t="s">
        <v>404</v>
      </c>
      <c r="K32" t="s">
        <v>546</v>
      </c>
      <c r="L32" t="s">
        <v>179</v>
      </c>
      <c r="M32" s="9" t="s">
        <v>76</v>
      </c>
      <c r="N32" t="s">
        <v>241</v>
      </c>
      <c r="P32">
        <v>30</v>
      </c>
      <c r="Z32">
        <f>30*(0.000491*(10^3.05))</f>
        <v>16.527331831867926</v>
      </c>
      <c r="AA32">
        <f t="shared" si="0"/>
        <v>30</v>
      </c>
      <c r="AB32">
        <f t="shared" si="1"/>
        <v>0</v>
      </c>
    </row>
    <row r="33" spans="1:28">
      <c r="A33" s="6">
        <v>39994</v>
      </c>
      <c r="B33" t="s">
        <v>276</v>
      </c>
      <c r="C33" t="s">
        <v>234</v>
      </c>
      <c r="D33" t="s">
        <v>235</v>
      </c>
      <c r="E33" t="s">
        <v>402</v>
      </c>
      <c r="G33" t="s">
        <v>452</v>
      </c>
      <c r="H33">
        <v>4</v>
      </c>
      <c r="I33">
        <v>4</v>
      </c>
      <c r="J33" t="s">
        <v>404</v>
      </c>
      <c r="K33" t="s">
        <v>454</v>
      </c>
      <c r="L33" t="s">
        <v>199</v>
      </c>
      <c r="M33" t="s">
        <v>175</v>
      </c>
      <c r="N33" t="s">
        <v>38</v>
      </c>
      <c r="T33">
        <v>1</v>
      </c>
      <c r="Z33">
        <f>(P33*(0.0175*(12.5^3)))+(Q33*(0.0175*(17.5^3)))+(R33*(0.0175*(22.5^3)))+(S33*(0.0175*(27.5^3)))+(T33*(0.0175*(32.5^3)))+(U33*(0.0175*(37.5^3)))+(V33*(0.0175*(42.5^3)))+(W33*(0.0175*(27.5^3)))</f>
        <v>600.74218750000011</v>
      </c>
      <c r="AA33">
        <f t="shared" si="0"/>
        <v>1</v>
      </c>
      <c r="AB33">
        <f t="shared" si="1"/>
        <v>1</v>
      </c>
    </row>
    <row r="34" spans="1:28">
      <c r="A34" s="6">
        <v>39995</v>
      </c>
      <c r="B34" s="9" t="s">
        <v>276</v>
      </c>
      <c r="C34" s="9" t="s">
        <v>234</v>
      </c>
      <c r="D34" s="9" t="s">
        <v>235</v>
      </c>
      <c r="E34" s="9" t="s">
        <v>402</v>
      </c>
      <c r="F34" s="10">
        <v>10</v>
      </c>
      <c r="G34">
        <v>7.7</v>
      </c>
      <c r="H34">
        <v>1</v>
      </c>
      <c r="I34">
        <v>5</v>
      </c>
      <c r="J34" s="9" t="s">
        <v>404</v>
      </c>
      <c r="K34" s="9" t="s">
        <v>405</v>
      </c>
      <c r="L34" s="9" t="s">
        <v>209</v>
      </c>
      <c r="M34" s="9" t="s">
        <v>62</v>
      </c>
      <c r="N34" s="9" t="s">
        <v>243</v>
      </c>
      <c r="Q34">
        <v>1</v>
      </c>
      <c r="Z34">
        <f>(Q34*((2.53*((17.5*10))-0.13)))</f>
        <v>442.61999999999995</v>
      </c>
      <c r="AA34">
        <f t="shared" si="0"/>
        <v>1</v>
      </c>
      <c r="AB34">
        <f t="shared" si="1"/>
        <v>1</v>
      </c>
    </row>
    <row r="35" spans="1:28">
      <c r="A35" s="6">
        <v>39995</v>
      </c>
      <c r="B35" s="9" t="s">
        <v>276</v>
      </c>
      <c r="C35" s="9" t="s">
        <v>234</v>
      </c>
      <c r="D35" s="9" t="s">
        <v>235</v>
      </c>
      <c r="E35" s="9" t="s">
        <v>402</v>
      </c>
      <c r="F35" s="10">
        <v>10</v>
      </c>
      <c r="G35">
        <v>7.7</v>
      </c>
      <c r="H35">
        <v>1</v>
      </c>
      <c r="I35">
        <v>5</v>
      </c>
      <c r="J35" s="9" t="s">
        <v>404</v>
      </c>
      <c r="K35" s="9" t="s">
        <v>405</v>
      </c>
      <c r="L35" t="s">
        <v>170</v>
      </c>
      <c r="M35" t="s">
        <v>170</v>
      </c>
      <c r="N35" s="9" t="s">
        <v>238</v>
      </c>
      <c r="O35">
        <v>2</v>
      </c>
      <c r="P35">
        <v>3</v>
      </c>
      <c r="Z35">
        <f>(0*(0.0156*(6^3))+0*(0.0156*(7^3))+2*(0.0156*(8^3))+3*(0.0156*(10^3)))+(Q35*(0.0156*(17.5^3)))+(R35*(0.0156*(22.5^3)))+(S35*(0.0156*(27.5^3)))+(T35*(0.0156*(32.5^3)))+(U35*(0.0156*(37.5^3)))+(V35*(0.0156*(42.5^3)))+(W35*(0.0156*(27.5^3)))</f>
        <v>62.7744</v>
      </c>
      <c r="AA35">
        <f t="shared" si="0"/>
        <v>5</v>
      </c>
      <c r="AB35">
        <f t="shared" si="1"/>
        <v>0</v>
      </c>
    </row>
    <row r="36" spans="1:28">
      <c r="A36" s="6">
        <v>39995</v>
      </c>
      <c r="B36" s="9" t="s">
        <v>276</v>
      </c>
      <c r="C36" s="9" t="s">
        <v>234</v>
      </c>
      <c r="D36" s="9" t="s">
        <v>235</v>
      </c>
      <c r="E36" s="9" t="s">
        <v>402</v>
      </c>
      <c r="F36" s="10">
        <v>10</v>
      </c>
      <c r="G36">
        <v>7.7</v>
      </c>
      <c r="H36">
        <v>1</v>
      </c>
      <c r="I36">
        <v>5</v>
      </c>
      <c r="J36" s="9" t="s">
        <v>404</v>
      </c>
      <c r="K36" s="9" t="s">
        <v>405</v>
      </c>
      <c r="L36" t="s">
        <v>170</v>
      </c>
      <c r="M36" t="s">
        <v>170</v>
      </c>
      <c r="N36" s="9" t="s">
        <v>406</v>
      </c>
      <c r="R36">
        <v>2</v>
      </c>
      <c r="Z36">
        <f>(0*(0.0156*(6^3))+0*(0.0156*(7^3))+0*(0.0156*(8^3))+P36*(0.0156*(12.5^3)))+(Q36*(0.0156*(17.5^3)))+(R36*(0.0156*(22.5^3)))+(S36*(0.0156*(27.5^3)))+(T36*(0.0156*(32.5^3)))+(U36*(0.0156*(37.5^3)))+(V36*(0.0156*(42.5^3)))+(W36*(0.0156*(27.5^3)))</f>
        <v>355.38749999999999</v>
      </c>
      <c r="AA36">
        <f t="shared" si="0"/>
        <v>2</v>
      </c>
      <c r="AB36">
        <f t="shared" si="1"/>
        <v>2</v>
      </c>
    </row>
    <row r="37" spans="1:28">
      <c r="A37" s="6">
        <v>39995</v>
      </c>
      <c r="B37" s="9" t="s">
        <v>276</v>
      </c>
      <c r="C37" s="9" t="s">
        <v>234</v>
      </c>
      <c r="D37" s="9" t="s">
        <v>235</v>
      </c>
      <c r="E37" s="9" t="s">
        <v>402</v>
      </c>
      <c r="F37" s="10">
        <v>10</v>
      </c>
      <c r="G37">
        <v>7.7</v>
      </c>
      <c r="H37">
        <v>1</v>
      </c>
      <c r="I37">
        <v>5</v>
      </c>
      <c r="J37" s="9" t="s">
        <v>404</v>
      </c>
      <c r="K37" s="9" t="s">
        <v>405</v>
      </c>
      <c r="L37" t="s">
        <v>170</v>
      </c>
      <c r="M37" t="s">
        <v>170</v>
      </c>
      <c r="N37" s="9" t="s">
        <v>409</v>
      </c>
      <c r="Q37">
        <v>2</v>
      </c>
      <c r="Z37">
        <f>(0*(0.0156*(6^3))+0*(0.0156*(7^3))+0*(0.0156*(8^3))+P37*(0.0156*(12.5^3)))+(Q37*(0.0156*(17.5^3)))+(R37*(0.0156*(22.5^3)))+(S37*(0.0156*(27.5^3)))+(T37*(0.0156*(32.5^3)))+(U37*(0.0156*(37.5^3)))+(V37*(0.0156*(42.5^3)))+(W37*(0.0156*(27.5^3)))</f>
        <v>167.21250000000001</v>
      </c>
      <c r="AA37">
        <f t="shared" si="0"/>
        <v>2</v>
      </c>
      <c r="AB37">
        <f t="shared" si="1"/>
        <v>2</v>
      </c>
    </row>
    <row r="38" spans="1:28">
      <c r="A38" s="6">
        <v>39995</v>
      </c>
      <c r="B38" s="9" t="s">
        <v>276</v>
      </c>
      <c r="C38" s="9" t="s">
        <v>234</v>
      </c>
      <c r="D38" s="9" t="s">
        <v>235</v>
      </c>
      <c r="E38" s="9" t="s">
        <v>402</v>
      </c>
      <c r="F38" s="10">
        <v>10</v>
      </c>
      <c r="G38">
        <v>7.7</v>
      </c>
      <c r="H38">
        <v>1</v>
      </c>
      <c r="I38">
        <v>5</v>
      </c>
      <c r="J38" s="9" t="s">
        <v>404</v>
      </c>
      <c r="K38" s="9" t="s">
        <v>405</v>
      </c>
      <c r="L38" t="s">
        <v>252</v>
      </c>
      <c r="M38" t="s">
        <v>263</v>
      </c>
      <c r="N38" t="s">
        <v>211</v>
      </c>
      <c r="P38">
        <v>17</v>
      </c>
      <c r="Q38">
        <v>3</v>
      </c>
      <c r="T38">
        <v>1</v>
      </c>
      <c r="Z38">
        <f>(17*(0.0211*(12.5^3)))+(Q38*(0.0211*(17.5^3)))+(R38*(0.0211*(22.5^3)))+(S38*(0.0211*(27.5^3)))+(T38*(0.0211*(32.5^3)))+(U38*(0.0211*(37.5^3)))+(V38*(0.0211*(42.5^3)))+(W38*(0.0211*(27.5^3)))</f>
        <v>1764.1578125000001</v>
      </c>
      <c r="AA38">
        <f t="shared" si="0"/>
        <v>21</v>
      </c>
      <c r="AB38">
        <f t="shared" si="1"/>
        <v>4</v>
      </c>
    </row>
    <row r="39" spans="1:28">
      <c r="A39" s="6">
        <v>39995</v>
      </c>
      <c r="B39" s="9" t="s">
        <v>276</v>
      </c>
      <c r="C39" s="9" t="s">
        <v>234</v>
      </c>
      <c r="D39" s="9" t="s">
        <v>235</v>
      </c>
      <c r="E39" s="9" t="s">
        <v>402</v>
      </c>
      <c r="F39" s="10">
        <v>10</v>
      </c>
      <c r="G39">
        <v>7.7</v>
      </c>
      <c r="H39">
        <v>1</v>
      </c>
      <c r="I39">
        <v>5</v>
      </c>
      <c r="J39" s="9" t="s">
        <v>404</v>
      </c>
      <c r="K39" s="9" t="s">
        <v>405</v>
      </c>
      <c r="L39" s="9" t="s">
        <v>57</v>
      </c>
      <c r="M39" s="9" t="s">
        <v>175</v>
      </c>
      <c r="N39" s="9" t="s">
        <v>458</v>
      </c>
      <c r="P39">
        <v>20</v>
      </c>
      <c r="Q39">
        <v>1</v>
      </c>
      <c r="Z39">
        <f>(20*(0.000007*(130^3.144)))+(Q39*(0.000007*(175^3.144)))</f>
        <v>698.88733925985878</v>
      </c>
      <c r="AA39">
        <f t="shared" si="0"/>
        <v>21</v>
      </c>
      <c r="AB39">
        <f t="shared" si="1"/>
        <v>1</v>
      </c>
    </row>
    <row r="40" spans="1:28">
      <c r="A40" s="6">
        <v>39995</v>
      </c>
      <c r="B40" s="9" t="s">
        <v>276</v>
      </c>
      <c r="C40" s="9" t="s">
        <v>234</v>
      </c>
      <c r="D40" s="9" t="s">
        <v>235</v>
      </c>
      <c r="E40" s="9" t="s">
        <v>402</v>
      </c>
      <c r="F40" s="10">
        <v>10</v>
      </c>
      <c r="G40">
        <v>7.7</v>
      </c>
      <c r="H40">
        <v>1</v>
      </c>
      <c r="I40">
        <v>5</v>
      </c>
      <c r="J40" s="9" t="s">
        <v>404</v>
      </c>
      <c r="K40" s="9" t="s">
        <v>405</v>
      </c>
      <c r="L40" t="s">
        <v>199</v>
      </c>
      <c r="M40" t="s">
        <v>175</v>
      </c>
      <c r="N40" s="9" t="s">
        <v>38</v>
      </c>
      <c r="T40">
        <v>1</v>
      </c>
      <c r="Z40">
        <f>(P40*(0.0175*(12.5^3)))+(Q40*(0.0175*(17.5^3)))+(R40*(0.0175*(22.5^3)))+(S40*(0.0175*(27.5^3)))+(T40*(0.0175*(32.5^3)))+(U40*(0.0175*(37.5^3)))+(V40*(0.0175*(42.5^3)))+(W40*(0.0175*(27.5^3)))</f>
        <v>600.74218750000011</v>
      </c>
      <c r="AA40">
        <f t="shared" si="0"/>
        <v>1</v>
      </c>
      <c r="AB40">
        <f t="shared" si="1"/>
        <v>1</v>
      </c>
    </row>
    <row r="41" spans="1:28">
      <c r="A41" s="6">
        <v>39995</v>
      </c>
      <c r="B41" s="9" t="s">
        <v>276</v>
      </c>
      <c r="C41" s="9" t="s">
        <v>234</v>
      </c>
      <c r="D41" s="9" t="s">
        <v>235</v>
      </c>
      <c r="E41" s="9" t="s">
        <v>402</v>
      </c>
      <c r="F41" s="10">
        <v>10</v>
      </c>
      <c r="G41">
        <v>8</v>
      </c>
      <c r="H41">
        <v>2</v>
      </c>
      <c r="I41">
        <v>6</v>
      </c>
      <c r="J41" s="9" t="s">
        <v>404</v>
      </c>
      <c r="K41" s="9" t="s">
        <v>405</v>
      </c>
      <c r="L41" s="9" t="s">
        <v>76</v>
      </c>
      <c r="M41" s="9" t="s">
        <v>76</v>
      </c>
      <c r="N41" s="9" t="s">
        <v>241</v>
      </c>
      <c r="R41">
        <v>1</v>
      </c>
      <c r="Z41">
        <f>1*(0.000491*(22.5^3.05))</f>
        <v>6.5348883560053395</v>
      </c>
      <c r="AA41">
        <f t="shared" si="0"/>
        <v>1</v>
      </c>
      <c r="AB41">
        <f t="shared" si="1"/>
        <v>1</v>
      </c>
    </row>
    <row r="42" spans="1:28">
      <c r="A42" s="6">
        <v>39995</v>
      </c>
      <c r="B42" s="9" t="s">
        <v>276</v>
      </c>
      <c r="C42" s="9" t="s">
        <v>234</v>
      </c>
      <c r="D42" s="9" t="s">
        <v>235</v>
      </c>
      <c r="E42" s="9" t="s">
        <v>402</v>
      </c>
      <c r="F42" s="10">
        <v>10</v>
      </c>
      <c r="G42">
        <v>8</v>
      </c>
      <c r="H42">
        <v>2</v>
      </c>
      <c r="I42">
        <v>6</v>
      </c>
      <c r="J42" s="9" t="s">
        <v>404</v>
      </c>
      <c r="K42" s="9" t="s">
        <v>405</v>
      </c>
      <c r="L42" t="s">
        <v>252</v>
      </c>
      <c r="M42" t="s">
        <v>263</v>
      </c>
      <c r="N42" t="s">
        <v>211</v>
      </c>
      <c r="P42">
        <v>25</v>
      </c>
      <c r="Z42">
        <f>(P42*(0.0211*(12.5^3)))+(Q42*(0.0211*(17.5^3)))+(R42*(0.0211*(22.5^3)))+(S42*(0.0211*(27.5^3)))+(T42*(0.0211*(32.5^3)))+(U42*(0.0211*(37.5^3)))+(V42*(0.0211*(42.5^3)))+(W42*(0.0211*(27.5^3)))</f>
        <v>1030.2734375</v>
      </c>
      <c r="AA42">
        <f t="shared" si="0"/>
        <v>25</v>
      </c>
      <c r="AB42">
        <f t="shared" si="1"/>
        <v>0</v>
      </c>
    </row>
    <row r="43" spans="1:28">
      <c r="A43" s="6">
        <v>39995</v>
      </c>
      <c r="B43" s="9" t="s">
        <v>276</v>
      </c>
      <c r="C43" s="9" t="s">
        <v>234</v>
      </c>
      <c r="D43" s="9" t="s">
        <v>235</v>
      </c>
      <c r="E43" s="9" t="s">
        <v>402</v>
      </c>
      <c r="F43" s="10">
        <v>10</v>
      </c>
      <c r="G43">
        <v>8</v>
      </c>
      <c r="H43">
        <v>2</v>
      </c>
      <c r="I43">
        <v>6</v>
      </c>
      <c r="J43" s="9" t="s">
        <v>404</v>
      </c>
      <c r="K43" s="9" t="s">
        <v>405</v>
      </c>
      <c r="L43" t="s">
        <v>170</v>
      </c>
      <c r="M43" t="s">
        <v>170</v>
      </c>
      <c r="N43" s="9" t="s">
        <v>238</v>
      </c>
      <c r="O43">
        <v>6</v>
      </c>
      <c r="Z43">
        <f>(1*(0.0156*(9^3))+1*(0.0156*(7^3))+4*(0.0156*(8^3))+P43*(0.0156*(12.5^3)))+(Q43*(0.0156*(17.5^3)))+(R43*(0.0156*(22.5^3)))+(S43*(0.0156*(27.5^3)))+(T43*(0.0156*(32.5^3)))+(U43*(0.0156*(37.5^3)))+(V43*(0.0156*(42.5^3)))+(W43*(0.0156*(27.5^3)))</f>
        <v>48.671999999999997</v>
      </c>
      <c r="AA43">
        <f t="shared" si="0"/>
        <v>6</v>
      </c>
      <c r="AB43">
        <f t="shared" si="1"/>
        <v>0</v>
      </c>
    </row>
    <row r="44" spans="1:28">
      <c r="A44" s="6">
        <v>39995</v>
      </c>
      <c r="B44" s="9" t="s">
        <v>276</v>
      </c>
      <c r="C44" s="9" t="s">
        <v>234</v>
      </c>
      <c r="D44" s="9" t="s">
        <v>235</v>
      </c>
      <c r="E44" s="9" t="s">
        <v>402</v>
      </c>
      <c r="F44" s="10">
        <v>10</v>
      </c>
      <c r="G44">
        <v>8</v>
      </c>
      <c r="H44">
        <v>2</v>
      </c>
      <c r="I44">
        <v>6</v>
      </c>
      <c r="J44" s="9" t="s">
        <v>404</v>
      </c>
      <c r="K44" s="9" t="s">
        <v>405</v>
      </c>
      <c r="L44" t="s">
        <v>174</v>
      </c>
      <c r="M44" t="s">
        <v>174</v>
      </c>
      <c r="N44" s="9" t="s">
        <v>210</v>
      </c>
      <c r="X44">
        <v>1</v>
      </c>
      <c r="Z44">
        <f>(1*(0.013*(55^3)))</f>
        <v>2162.875</v>
      </c>
      <c r="AA44">
        <f t="shared" si="0"/>
        <v>1</v>
      </c>
      <c r="AB44">
        <f t="shared" si="1"/>
        <v>1</v>
      </c>
    </row>
    <row r="45" spans="1:28">
      <c r="A45" s="6">
        <v>39995</v>
      </c>
      <c r="B45" s="9" t="s">
        <v>276</v>
      </c>
      <c r="C45" s="9" t="s">
        <v>234</v>
      </c>
      <c r="D45" s="9" t="s">
        <v>235</v>
      </c>
      <c r="E45" s="9" t="s">
        <v>402</v>
      </c>
      <c r="F45" s="10">
        <v>10</v>
      </c>
      <c r="G45">
        <v>8</v>
      </c>
      <c r="H45">
        <v>2</v>
      </c>
      <c r="I45">
        <v>6</v>
      </c>
      <c r="J45" s="9" t="s">
        <v>404</v>
      </c>
      <c r="K45" s="9" t="s">
        <v>405</v>
      </c>
      <c r="L45" t="s">
        <v>170</v>
      </c>
      <c r="M45" t="s">
        <v>170</v>
      </c>
      <c r="N45" s="9" t="s">
        <v>409</v>
      </c>
      <c r="Q45">
        <v>3</v>
      </c>
      <c r="R45">
        <v>3</v>
      </c>
      <c r="S45">
        <v>1</v>
      </c>
      <c r="Z45">
        <f>(0*(0.0156*(9^3))+0*(0.0156*(7^3))+0*(0.0156*(8^3))+P45*(0.0156*(12.5^3)))+(Q45*(0.0156*(17.5^3)))+(R45*(0.0156*(22.5^3)))+(S45*(0.0156*(27.5^3)))+(T45*(0.0156*(32.5^3)))+(U45*(0.0156*(37.5^3)))+(V45*(0.0156*(42.5^3)))+(W45*(0.0156*(27.5^3)))</f>
        <v>1108.33125</v>
      </c>
      <c r="AA45">
        <f t="shared" si="0"/>
        <v>7</v>
      </c>
      <c r="AB45">
        <f t="shared" si="1"/>
        <v>7</v>
      </c>
    </row>
    <row r="46" spans="1:28">
      <c r="A46" s="6">
        <v>39995</v>
      </c>
      <c r="B46" s="9" t="s">
        <v>276</v>
      </c>
      <c r="C46" s="9" t="s">
        <v>234</v>
      </c>
      <c r="D46" s="9" t="s">
        <v>235</v>
      </c>
      <c r="E46" s="9" t="s">
        <v>402</v>
      </c>
      <c r="F46" s="10">
        <v>10</v>
      </c>
      <c r="G46">
        <v>8</v>
      </c>
      <c r="H46">
        <v>2</v>
      </c>
      <c r="I46">
        <v>6</v>
      </c>
      <c r="J46" s="9" t="s">
        <v>404</v>
      </c>
      <c r="K46" s="9" t="s">
        <v>405</v>
      </c>
      <c r="L46" t="s">
        <v>199</v>
      </c>
      <c r="M46" t="s">
        <v>175</v>
      </c>
      <c r="N46" s="9" t="s">
        <v>38</v>
      </c>
      <c r="R46">
        <v>1</v>
      </c>
      <c r="Z46">
        <f>(P46*(0.0175*(12.5^3)))+(Q46*(0.0175*(17.5^3)))+(R46*(0.0175*(22.5^3)))+(S46*(0.0175*(27.5^3)))+(T46*(0.0175*(32.5^3)))+(U46*(0.0175*(37.5^3)))+(V46*(0.0175*(42.5^3)))+(W46*(0.0175*(27.5^3)))</f>
        <v>199.33593750000003</v>
      </c>
      <c r="AA46">
        <f t="shared" si="0"/>
        <v>1</v>
      </c>
      <c r="AB46">
        <f t="shared" si="1"/>
        <v>1</v>
      </c>
    </row>
    <row r="47" spans="1:28">
      <c r="A47" s="6">
        <v>39996</v>
      </c>
      <c r="B47" s="9" t="s">
        <v>276</v>
      </c>
      <c r="C47" s="9" t="s">
        <v>461</v>
      </c>
      <c r="D47" s="9" t="s">
        <v>462</v>
      </c>
      <c r="E47" s="9" t="s">
        <v>402</v>
      </c>
      <c r="F47" s="10">
        <v>5</v>
      </c>
      <c r="G47" s="9" t="s">
        <v>463</v>
      </c>
      <c r="H47">
        <v>1</v>
      </c>
      <c r="I47">
        <v>1</v>
      </c>
      <c r="J47" s="9" t="s">
        <v>404</v>
      </c>
      <c r="K47" s="9" t="s">
        <v>405</v>
      </c>
      <c r="L47" t="s">
        <v>170</v>
      </c>
      <c r="M47" t="s">
        <v>170</v>
      </c>
      <c r="N47" s="9" t="s">
        <v>238</v>
      </c>
      <c r="O47" s="9">
        <v>2</v>
      </c>
      <c r="P47" s="9">
        <v>7</v>
      </c>
      <c r="Z47">
        <f>(1*(0.0156*(9^3))+0*(0.0156*(7^3))+1*(0.0156*(8^3))+6*(0.0156*(12.5^3)))+(Q47*(0.0156*(17.5^3)))+(R47*(0.0156*(22.5^3)))+(S47*(0.0156*(27.5^3)))+(T47*(0.0156*(32.5^3)))+(U47*(0.0156*(37.5^3)))+(V47*(0.0156*(42.5^3)))+(W47*(0.0156*(27.5^3)))</f>
        <v>202.1721</v>
      </c>
      <c r="AA47">
        <f t="shared" si="0"/>
        <v>9</v>
      </c>
      <c r="AB47">
        <f t="shared" si="1"/>
        <v>0</v>
      </c>
    </row>
    <row r="48" spans="1:28">
      <c r="A48" s="6">
        <v>39996</v>
      </c>
      <c r="B48" s="9" t="s">
        <v>276</v>
      </c>
      <c r="C48" s="9" t="s">
        <v>461</v>
      </c>
      <c r="D48" s="9" t="s">
        <v>462</v>
      </c>
      <c r="E48" s="9" t="s">
        <v>402</v>
      </c>
      <c r="F48" s="10">
        <v>5</v>
      </c>
      <c r="G48" s="9" t="s">
        <v>463</v>
      </c>
      <c r="H48">
        <v>1</v>
      </c>
      <c r="I48">
        <v>1</v>
      </c>
      <c r="J48" s="9" t="s">
        <v>404</v>
      </c>
      <c r="K48" s="9" t="s">
        <v>405</v>
      </c>
      <c r="L48" t="s">
        <v>170</v>
      </c>
      <c r="M48" t="s">
        <v>170</v>
      </c>
      <c r="N48" s="9" t="s">
        <v>406</v>
      </c>
      <c r="Q48">
        <v>1</v>
      </c>
      <c r="R48">
        <v>1</v>
      </c>
      <c r="Z48">
        <f>(0*(0.0156*(9^3))+0*(0.0156*(7^3))+0*(0.0156*(8^3))+P48*(0.0156*(12.5^3)))+(Q48*(0.0156*(17.5^3)))+(R48*(0.0156*(22.5^3)))+(S48*(0.0156*(27.5^3)))+(T48*(0.0156*(32.5^3)))+(U48*(0.0156*(37.5^3)))+(V48*(0.0156*(42.5^3)))+(W48*(0.0156*(27.5^3)))</f>
        <v>261.3</v>
      </c>
      <c r="AA48">
        <f t="shared" si="0"/>
        <v>2</v>
      </c>
      <c r="AB48">
        <f t="shared" si="1"/>
        <v>2</v>
      </c>
    </row>
    <row r="49" spans="1:28">
      <c r="A49" s="6">
        <v>39996</v>
      </c>
      <c r="B49" s="9" t="s">
        <v>276</v>
      </c>
      <c r="C49" s="9" t="s">
        <v>461</v>
      </c>
      <c r="D49" s="9" t="s">
        <v>462</v>
      </c>
      <c r="E49" s="9" t="s">
        <v>402</v>
      </c>
      <c r="F49" s="10">
        <v>5</v>
      </c>
      <c r="G49" s="9" t="s">
        <v>463</v>
      </c>
      <c r="H49">
        <v>1</v>
      </c>
      <c r="I49">
        <v>1</v>
      </c>
      <c r="J49" s="9" t="s">
        <v>404</v>
      </c>
      <c r="K49" s="9" t="s">
        <v>405</v>
      </c>
      <c r="L49" t="s">
        <v>252</v>
      </c>
      <c r="M49" t="s">
        <v>263</v>
      </c>
      <c r="N49" t="s">
        <v>211</v>
      </c>
      <c r="P49">
        <f>3+26</f>
        <v>29</v>
      </c>
      <c r="Q49">
        <v>2</v>
      </c>
      <c r="Z49">
        <f>(P49*(0.0211*(12.5^3)))+(Q49*(0.0211*(17.5^3)))+(R49*(0.0211*(22.5^3)))+(S49*(0.0211*(27.5^3)))+(T49*(0.0211*(32.5^3)))+(U49*(0.0211*(37.5^3)))+(V49*(0.0211*(42.5^3)))+(W49*(0.0211*(27.5^3)))</f>
        <v>1421.2828125000001</v>
      </c>
      <c r="AA49">
        <f t="shared" si="0"/>
        <v>31</v>
      </c>
      <c r="AB49">
        <f t="shared" si="1"/>
        <v>2</v>
      </c>
    </row>
    <row r="50" spans="1:28">
      <c r="A50" s="6">
        <v>39996</v>
      </c>
      <c r="B50" s="9" t="s">
        <v>276</v>
      </c>
      <c r="C50" s="9" t="s">
        <v>461</v>
      </c>
      <c r="D50" s="9" t="s">
        <v>462</v>
      </c>
      <c r="E50" s="9" t="s">
        <v>402</v>
      </c>
      <c r="F50" s="10">
        <v>5</v>
      </c>
      <c r="G50" s="9" t="s">
        <v>463</v>
      </c>
      <c r="H50">
        <v>1</v>
      </c>
      <c r="I50">
        <v>1</v>
      </c>
      <c r="J50" s="9" t="s">
        <v>404</v>
      </c>
      <c r="K50" s="9" t="s">
        <v>405</v>
      </c>
      <c r="L50" t="s">
        <v>170</v>
      </c>
      <c r="M50" t="s">
        <v>170</v>
      </c>
      <c r="N50" s="9" t="s">
        <v>409</v>
      </c>
      <c r="R50">
        <v>1</v>
      </c>
      <c r="Z50">
        <f>(0*(0.0156*(9^3))+0*(0.0156*(7^3))+0*(0.0156*(8^3))+P50*(0.0156*(12.5^3)))+(Q50*(0.0156*(17.5^3)))+(R50*(0.0156*(22.5^3)))+(S50*(0.0156*(27.5^3)))+(T50*(0.0156*(32.5^3)))+(U50*(0.0156*(37.5^3)))+(V50*(0.0156*(42.5^3)))+(W50*(0.0156*(27.5^3)))</f>
        <v>177.69374999999999</v>
      </c>
      <c r="AA50">
        <f t="shared" si="0"/>
        <v>1</v>
      </c>
      <c r="AB50">
        <f t="shared" si="1"/>
        <v>1</v>
      </c>
    </row>
    <row r="51" spans="1:28">
      <c r="A51" s="6">
        <v>39996</v>
      </c>
      <c r="B51" s="9" t="s">
        <v>276</v>
      </c>
      <c r="C51" s="9" t="s">
        <v>461</v>
      </c>
      <c r="D51" s="9" t="s">
        <v>462</v>
      </c>
      <c r="E51" s="9" t="s">
        <v>402</v>
      </c>
      <c r="F51" s="10">
        <v>5</v>
      </c>
      <c r="G51" s="9" t="s">
        <v>342</v>
      </c>
      <c r="H51">
        <v>2</v>
      </c>
      <c r="I51">
        <v>2</v>
      </c>
      <c r="J51" s="9" t="s">
        <v>404</v>
      </c>
      <c r="K51" s="9" t="s">
        <v>405</v>
      </c>
      <c r="L51" t="s">
        <v>170</v>
      </c>
      <c r="M51" t="s">
        <v>170</v>
      </c>
      <c r="N51" s="9" t="s">
        <v>409</v>
      </c>
      <c r="P51">
        <v>1</v>
      </c>
      <c r="Z51">
        <f>(0*(0.0156*(9^3))+0*(0.0156*(7^3))+0*(0.0156*(8^3))+1*(0.0156*(13^3)))+(Q51*(0.0156*(17.5^3)))+(R51*(0.0156*(22.5^3)))+(S51*(0.0156*(27.5^3)))+(T51*(0.0156*(32.5^3)))+(U51*(0.0156*(37.5^3)))+(V51*(0.0156*(42.5^3)))+(W51*(0.0156*(27.5^3)))</f>
        <v>34.273199999999996</v>
      </c>
      <c r="AA51">
        <f t="shared" si="0"/>
        <v>1</v>
      </c>
      <c r="AB51">
        <f t="shared" si="1"/>
        <v>0</v>
      </c>
    </row>
    <row r="52" spans="1:28">
      <c r="A52" s="6">
        <v>39996</v>
      </c>
      <c r="B52" s="9" t="s">
        <v>276</v>
      </c>
      <c r="C52" s="9" t="s">
        <v>461</v>
      </c>
      <c r="D52" s="9" t="s">
        <v>462</v>
      </c>
      <c r="E52" s="9" t="s">
        <v>402</v>
      </c>
      <c r="F52" s="10">
        <v>5</v>
      </c>
      <c r="G52" s="9" t="s">
        <v>342</v>
      </c>
      <c r="H52">
        <v>2</v>
      </c>
      <c r="I52">
        <v>2</v>
      </c>
      <c r="J52" s="9" t="s">
        <v>404</v>
      </c>
      <c r="K52" s="9" t="s">
        <v>405</v>
      </c>
      <c r="L52" t="s">
        <v>170</v>
      </c>
      <c r="M52" t="s">
        <v>170</v>
      </c>
      <c r="N52" s="9" t="s">
        <v>238</v>
      </c>
      <c r="O52">
        <v>2</v>
      </c>
      <c r="P52">
        <v>1</v>
      </c>
      <c r="Z52">
        <f>(0*(0.0156*(9^3))+0*(0.0156*(7^3))+2*(0.0156*(8^3))+1*(0.0156*(11^3)))+(Q52*(0.0156*(17.5^3)))+(R52*(0.0156*(22.5^3)))+(S52*(0.0156*(27.5^3)))+(T52*(0.0156*(32.5^3)))+(U52*(0.0156*(37.5^3)))+(V52*(0.0156*(42.5^3)))+(W52*(0.0156*(27.5^3)))</f>
        <v>36.738</v>
      </c>
      <c r="AA52">
        <f t="shared" si="0"/>
        <v>3</v>
      </c>
      <c r="AB52">
        <f t="shared" si="1"/>
        <v>0</v>
      </c>
    </row>
    <row r="53" spans="1:28">
      <c r="A53" s="6">
        <v>39996</v>
      </c>
      <c r="B53" s="9" t="s">
        <v>276</v>
      </c>
      <c r="C53" s="9" t="s">
        <v>461</v>
      </c>
      <c r="D53" s="9" t="s">
        <v>462</v>
      </c>
      <c r="E53" s="9" t="s">
        <v>402</v>
      </c>
      <c r="F53" s="10">
        <v>5</v>
      </c>
      <c r="G53" s="9" t="s">
        <v>342</v>
      </c>
      <c r="H53">
        <v>2</v>
      </c>
      <c r="I53">
        <v>2</v>
      </c>
      <c r="J53" s="9" t="s">
        <v>404</v>
      </c>
      <c r="K53" s="9" t="s">
        <v>405</v>
      </c>
      <c r="L53" t="s">
        <v>174</v>
      </c>
      <c r="M53" t="s">
        <v>174</v>
      </c>
      <c r="N53" s="9" t="s">
        <v>210</v>
      </c>
      <c r="R53">
        <v>1</v>
      </c>
      <c r="Z53">
        <f>(R53*(0.013*(22.5^3)))</f>
        <v>148.078125</v>
      </c>
      <c r="AA53">
        <f t="shared" si="0"/>
        <v>1</v>
      </c>
      <c r="AB53">
        <f t="shared" si="1"/>
        <v>1</v>
      </c>
    </row>
    <row r="54" spans="1:28">
      <c r="A54" s="6">
        <v>39996</v>
      </c>
      <c r="B54" s="9" t="s">
        <v>276</v>
      </c>
      <c r="C54" s="9" t="s">
        <v>461</v>
      </c>
      <c r="D54" s="9" t="s">
        <v>462</v>
      </c>
      <c r="E54" s="9" t="s">
        <v>402</v>
      </c>
      <c r="F54" s="10">
        <v>5</v>
      </c>
      <c r="G54" s="9" t="s">
        <v>342</v>
      </c>
      <c r="H54">
        <v>2</v>
      </c>
      <c r="I54">
        <v>2</v>
      </c>
      <c r="J54" s="9" t="s">
        <v>404</v>
      </c>
      <c r="K54" s="9" t="s">
        <v>405</v>
      </c>
      <c r="L54" t="s">
        <v>252</v>
      </c>
      <c r="M54" t="s">
        <v>263</v>
      </c>
      <c r="N54" t="s">
        <v>211</v>
      </c>
      <c r="P54">
        <v>5</v>
      </c>
      <c r="Q54">
        <v>2</v>
      </c>
      <c r="Z54">
        <f>(P54*(0.0211*(12.5^3)))+(Q54*(0.0211*(17.5^3)))+(R54*(0.0211*(22.5^3)))+(S54*(0.0211*(27.5^3)))+(T54*(0.0211*(32.5^3)))+(U54*(0.0211*(37.5^3)))+(V54*(0.0211*(42.5^3)))+(W54*(0.0211*(27.5^3)))</f>
        <v>432.22031249999998</v>
      </c>
      <c r="AA54">
        <f t="shared" si="0"/>
        <v>7</v>
      </c>
      <c r="AB54">
        <f t="shared" si="1"/>
        <v>2</v>
      </c>
    </row>
    <row r="55" spans="1:28">
      <c r="A55" s="6">
        <v>39996</v>
      </c>
      <c r="B55" s="9" t="s">
        <v>276</v>
      </c>
      <c r="C55" s="9" t="s">
        <v>461</v>
      </c>
      <c r="D55" s="9" t="s">
        <v>462</v>
      </c>
      <c r="E55" s="9" t="s">
        <v>402</v>
      </c>
      <c r="F55" s="10">
        <v>5</v>
      </c>
      <c r="G55" s="9" t="s">
        <v>342</v>
      </c>
      <c r="H55">
        <v>2</v>
      </c>
      <c r="I55">
        <v>2</v>
      </c>
      <c r="J55" s="9" t="s">
        <v>404</v>
      </c>
      <c r="K55" s="9" t="s">
        <v>405</v>
      </c>
      <c r="L55" s="9" t="s">
        <v>77</v>
      </c>
      <c r="M55" t="s">
        <v>65</v>
      </c>
      <c r="N55" s="9" t="s">
        <v>407</v>
      </c>
      <c r="P55">
        <v>20</v>
      </c>
      <c r="Z55">
        <f>20*(0.0004*(12^3.43))</f>
        <v>40.242194977987964</v>
      </c>
      <c r="AA55">
        <f t="shared" si="0"/>
        <v>20</v>
      </c>
      <c r="AB55">
        <f t="shared" si="1"/>
        <v>0</v>
      </c>
    </row>
    <row r="56" spans="1:28">
      <c r="A56" s="6">
        <v>39996</v>
      </c>
      <c r="B56" s="9" t="s">
        <v>276</v>
      </c>
      <c r="C56" s="9" t="s">
        <v>461</v>
      </c>
      <c r="D56" s="9" t="s">
        <v>462</v>
      </c>
      <c r="E56" s="9" t="s">
        <v>402</v>
      </c>
      <c r="F56" s="10">
        <v>5</v>
      </c>
      <c r="G56">
        <v>5</v>
      </c>
      <c r="H56">
        <v>3</v>
      </c>
      <c r="I56">
        <v>3</v>
      </c>
      <c r="J56" s="9" t="s">
        <v>404</v>
      </c>
      <c r="K56" s="9" t="s">
        <v>405</v>
      </c>
      <c r="L56" t="s">
        <v>170</v>
      </c>
      <c r="M56" t="s">
        <v>170</v>
      </c>
      <c r="N56" s="9" t="s">
        <v>409</v>
      </c>
      <c r="Q56">
        <v>2</v>
      </c>
      <c r="R56">
        <v>1</v>
      </c>
      <c r="Z56">
        <f>(0*(0.0156*(9^3))+0*(0.0156*(7^3))+0*(0.0156*(8^3))+P56*(0.0156*(12.5^3)))+(Q56*(0.0156*(17.5^3)))+(R56*(0.0156*(22.5^3)))+(S56*(0.0156*(27.5^3)))+(T56*(0.0156*(32.5^3)))+(U56*(0.0156*(37.5^3)))+(V56*(0.0156*(42.5^3)))+(W56*(0.0156*(27.5^3)))</f>
        <v>344.90625</v>
      </c>
      <c r="AA56">
        <f t="shared" si="0"/>
        <v>3</v>
      </c>
      <c r="AB56">
        <f t="shared" si="1"/>
        <v>3</v>
      </c>
    </row>
    <row r="57" spans="1:28">
      <c r="A57" s="6">
        <v>39996</v>
      </c>
      <c r="B57" s="9" t="s">
        <v>276</v>
      </c>
      <c r="C57" s="9" t="s">
        <v>461</v>
      </c>
      <c r="D57" s="9" t="s">
        <v>462</v>
      </c>
      <c r="E57" s="9" t="s">
        <v>402</v>
      </c>
      <c r="F57" s="10">
        <v>5</v>
      </c>
      <c r="G57">
        <v>5</v>
      </c>
      <c r="H57">
        <v>3</v>
      </c>
      <c r="I57">
        <v>3</v>
      </c>
      <c r="J57" s="9" t="s">
        <v>404</v>
      </c>
      <c r="K57" s="9" t="s">
        <v>405</v>
      </c>
      <c r="L57" t="s">
        <v>170</v>
      </c>
      <c r="M57" t="s">
        <v>170</v>
      </c>
      <c r="N57" s="9" t="s">
        <v>238</v>
      </c>
      <c r="O57" s="9">
        <v>2</v>
      </c>
      <c r="P57" s="9">
        <v>7</v>
      </c>
      <c r="Z57">
        <f>(4*(0.0156*(10^3))+2*(0.0156*(8^3))+3*(0.0156*(11^3))+0*(0.0156*(12.5^3)))+(Q57*(0.0156*(17.5^3)))+(R57*(0.0156*(22.5^3)))+(S57*(0.0156*(27.5^3)))+(T57*(0.0156*(32.5^3)))+(U57*(0.0156*(37.5^3)))+(V57*(0.0156*(42.5^3)))+(W57*(0.0156*(27.5^3)))</f>
        <v>140.6652</v>
      </c>
      <c r="AA57">
        <f t="shared" si="0"/>
        <v>9</v>
      </c>
      <c r="AB57">
        <f t="shared" si="1"/>
        <v>0</v>
      </c>
    </row>
    <row r="58" spans="1:28">
      <c r="A58" s="6">
        <v>39996</v>
      </c>
      <c r="B58" s="9" t="s">
        <v>276</v>
      </c>
      <c r="C58" s="9" t="s">
        <v>461</v>
      </c>
      <c r="D58" s="9" t="s">
        <v>462</v>
      </c>
      <c r="E58" s="9" t="s">
        <v>402</v>
      </c>
      <c r="F58" s="10">
        <v>5</v>
      </c>
      <c r="G58">
        <v>5</v>
      </c>
      <c r="H58">
        <v>3</v>
      </c>
      <c r="I58">
        <v>3</v>
      </c>
      <c r="J58" s="9" t="s">
        <v>404</v>
      </c>
      <c r="K58" s="9" t="s">
        <v>405</v>
      </c>
      <c r="L58" t="s">
        <v>170</v>
      </c>
      <c r="M58" t="s">
        <v>170</v>
      </c>
      <c r="N58" s="9" t="s">
        <v>406</v>
      </c>
      <c r="Q58">
        <v>1</v>
      </c>
      <c r="R58">
        <v>3</v>
      </c>
      <c r="T58">
        <v>1</v>
      </c>
      <c r="Z58">
        <f>(0*(0.0156*(9^3))+0*(0.0156*(7^3))+0*(0.0156*(8^3))+P58*(0.0156*(12.5^3)))+(Q58*(0.0156*(17.5^3)))+(R58*(0.0156*(22.5^3)))+(S58*(0.0156*(27.5^3)))+(T58*(0.0156*(32.5^3)))+(U58*(0.0156*(37.5^3)))+(V58*(0.0156*(42.5^3)))+(W58*(0.0156*(27.5^3)))</f>
        <v>1152.20625</v>
      </c>
      <c r="AA58">
        <f t="shared" si="0"/>
        <v>5</v>
      </c>
      <c r="AB58">
        <f t="shared" si="1"/>
        <v>5</v>
      </c>
    </row>
    <row r="59" spans="1:28">
      <c r="A59" s="6">
        <v>39996</v>
      </c>
      <c r="B59" s="9" t="s">
        <v>276</v>
      </c>
      <c r="C59" s="9" t="s">
        <v>461</v>
      </c>
      <c r="D59" s="9" t="s">
        <v>462</v>
      </c>
      <c r="E59" s="9" t="s">
        <v>402</v>
      </c>
      <c r="F59" s="10">
        <v>5</v>
      </c>
      <c r="G59">
        <v>5</v>
      </c>
      <c r="H59">
        <v>3</v>
      </c>
      <c r="I59">
        <v>3</v>
      </c>
      <c r="J59" s="9" t="s">
        <v>404</v>
      </c>
      <c r="K59" s="9" t="s">
        <v>405</v>
      </c>
      <c r="L59" t="s">
        <v>252</v>
      </c>
      <c r="M59" t="s">
        <v>263</v>
      </c>
      <c r="N59" t="s">
        <v>211</v>
      </c>
      <c r="P59">
        <v>1</v>
      </c>
      <c r="Z59">
        <f>(P59*(0.0211*(12.5^3)))+(Q59*(0.0211*(17.5^3)))+(R59*(0.0211*(22.5^3)))+(S59*(0.0211*(27.5^3)))+(T59*(0.0211*(32.5^3)))+(U59*(0.0211*(37.5^3)))+(V59*(0.0211*(42.5^3)))+(W59*(0.0211*(27.5^3)))</f>
        <v>41.2109375</v>
      </c>
      <c r="AA59">
        <f t="shared" si="0"/>
        <v>1</v>
      </c>
      <c r="AB59">
        <f t="shared" si="1"/>
        <v>0</v>
      </c>
    </row>
    <row r="60" spans="1:28">
      <c r="A60" s="6">
        <v>39996</v>
      </c>
      <c r="B60" s="9" t="s">
        <v>276</v>
      </c>
      <c r="C60" s="9" t="s">
        <v>461</v>
      </c>
      <c r="D60" s="9" t="s">
        <v>462</v>
      </c>
      <c r="E60" s="9" t="s">
        <v>402</v>
      </c>
      <c r="F60" s="10">
        <v>5</v>
      </c>
      <c r="G60">
        <v>5.5</v>
      </c>
      <c r="H60">
        <v>4</v>
      </c>
      <c r="I60">
        <v>4</v>
      </c>
      <c r="J60" s="9" t="s">
        <v>404</v>
      </c>
      <c r="K60" s="9" t="s">
        <v>405</v>
      </c>
      <c r="L60" t="s">
        <v>170</v>
      </c>
      <c r="M60" t="s">
        <v>170</v>
      </c>
      <c r="N60" s="9" t="s">
        <v>238</v>
      </c>
      <c r="O60" s="9">
        <v>5</v>
      </c>
      <c r="P60" s="9">
        <v>5</v>
      </c>
      <c r="Z60">
        <f>(3*(0.0156*(7^3))+1*(0.0156*(8^3))+1*(0.0156*(9^3))+4*(0.0156*(10^3))+1*(0.0156*(12^3))+0*(0.0156*(12.5^3)))+(Q60*(0.0156*(17.5^3)))+(R60*(0.0156*(22.5^3)))+(S60*(0.0156*(27.5^3)))+(T60*(0.0156*(32.5^3)))+(U60*(0.0156*(37.5^3)))+(V60*(0.0156*(42.5^3)))+(W60*(0.0156*(27.5^3)))</f>
        <v>124.7688</v>
      </c>
      <c r="AA60">
        <f t="shared" si="0"/>
        <v>10</v>
      </c>
      <c r="AB60">
        <f t="shared" si="1"/>
        <v>0</v>
      </c>
    </row>
    <row r="61" spans="1:28">
      <c r="A61" s="6">
        <v>39996</v>
      </c>
      <c r="B61" s="9" t="s">
        <v>276</v>
      </c>
      <c r="C61" s="9" t="s">
        <v>461</v>
      </c>
      <c r="D61" s="9" t="s">
        <v>462</v>
      </c>
      <c r="E61" s="9" t="s">
        <v>402</v>
      </c>
      <c r="F61" s="10">
        <v>5</v>
      </c>
      <c r="G61">
        <v>5.5</v>
      </c>
      <c r="H61">
        <v>4</v>
      </c>
      <c r="I61">
        <v>4</v>
      </c>
      <c r="J61" s="9" t="s">
        <v>404</v>
      </c>
      <c r="K61" s="9" t="s">
        <v>405</v>
      </c>
      <c r="L61" s="9" t="s">
        <v>79</v>
      </c>
      <c r="M61" s="9" t="s">
        <v>202</v>
      </c>
      <c r="N61" s="9" t="s">
        <v>485</v>
      </c>
      <c r="P61">
        <v>1</v>
      </c>
      <c r="Z61">
        <f>(0.0087*(120^2.98))/1000</f>
        <v>13.660901685981113</v>
      </c>
      <c r="AA61">
        <f t="shared" si="0"/>
        <v>1</v>
      </c>
      <c r="AB61">
        <f t="shared" si="1"/>
        <v>0</v>
      </c>
    </row>
    <row r="62" spans="1:28">
      <c r="A62" s="6">
        <v>39996</v>
      </c>
      <c r="B62" s="9" t="s">
        <v>276</v>
      </c>
      <c r="C62" s="9" t="s">
        <v>461</v>
      </c>
      <c r="D62" s="9" t="s">
        <v>462</v>
      </c>
      <c r="E62" s="9" t="s">
        <v>402</v>
      </c>
      <c r="F62" s="10">
        <v>5</v>
      </c>
      <c r="G62">
        <v>5.5</v>
      </c>
      <c r="H62">
        <v>4</v>
      </c>
      <c r="I62">
        <v>4</v>
      </c>
      <c r="J62" s="9" t="s">
        <v>404</v>
      </c>
      <c r="K62" s="9" t="s">
        <v>405</v>
      </c>
      <c r="L62" t="s">
        <v>170</v>
      </c>
      <c r="M62" t="s">
        <v>170</v>
      </c>
      <c r="N62" s="9" t="s">
        <v>406</v>
      </c>
      <c r="Q62">
        <v>1</v>
      </c>
      <c r="Z62">
        <f>(0*(0.0156*(7^3))+0*(0.0156*(8^3))+0*(0.0156*(9^3))+0*(0.0156*(10^3))+0*(0.0156*(12^3))+P62*(0.0156*(12.5^3)))+(Q62*(0.0156*(17.5^3)))+(R62*(0.0156*(22.5^3)))+(S62*(0.0156*(27.5^3)))+(T62*(0.0156*(32.5^3)))+(U62*(0.0156*(37.5^3)))+(V62*(0.0156*(42.5^3)))+(W62*(0.0156*(27.5^3)))</f>
        <v>83.606250000000003</v>
      </c>
      <c r="AA62">
        <f t="shared" si="0"/>
        <v>1</v>
      </c>
      <c r="AB62">
        <f t="shared" si="1"/>
        <v>1</v>
      </c>
    </row>
    <row r="63" spans="1:28">
      <c r="A63" s="6">
        <v>39997</v>
      </c>
      <c r="B63" s="9" t="s">
        <v>276</v>
      </c>
      <c r="C63" s="9" t="s">
        <v>461</v>
      </c>
      <c r="D63" s="9" t="s">
        <v>462</v>
      </c>
      <c r="E63" s="9" t="s">
        <v>402</v>
      </c>
      <c r="F63" s="10">
        <v>6</v>
      </c>
      <c r="G63">
        <v>8</v>
      </c>
      <c r="H63">
        <v>1</v>
      </c>
      <c r="I63">
        <v>5</v>
      </c>
      <c r="J63" s="9" t="s">
        <v>404</v>
      </c>
      <c r="K63" s="9" t="s">
        <v>405</v>
      </c>
      <c r="L63" t="s">
        <v>170</v>
      </c>
      <c r="M63" t="s">
        <v>170</v>
      </c>
      <c r="N63" s="9" t="s">
        <v>238</v>
      </c>
      <c r="O63" s="9">
        <v>3</v>
      </c>
      <c r="P63" s="9">
        <v>1</v>
      </c>
      <c r="Z63">
        <f>(0*(0.0156*(7^3))+2*(0.0156*(8^3))+1*(0.0156*(9^3))+1*(0.0156*(10^3))+0*(0.0156*(12^3))+0*(0.0156*(12.5^3)))+(Q63*(0.0156*(17.5^3)))+(R63*(0.0156*(22.5^3)))+(S63*(0.0156*(27.5^3)))+(T63*(0.0156*(32.5^3)))+(U63*(0.0156*(37.5^3)))+(V63*(0.0156*(42.5^3)))+(W63*(0.0156*(27.5^3)))</f>
        <v>42.946799999999996</v>
      </c>
      <c r="AA63">
        <f t="shared" si="0"/>
        <v>4</v>
      </c>
      <c r="AB63">
        <f t="shared" si="1"/>
        <v>0</v>
      </c>
    </row>
    <row r="64" spans="1:28">
      <c r="A64" s="6">
        <v>39997</v>
      </c>
      <c r="B64" s="9" t="s">
        <v>276</v>
      </c>
      <c r="C64" s="9" t="s">
        <v>461</v>
      </c>
      <c r="D64" s="9" t="s">
        <v>462</v>
      </c>
      <c r="E64" s="9" t="s">
        <v>402</v>
      </c>
      <c r="F64" s="10">
        <v>6</v>
      </c>
      <c r="G64">
        <v>8</v>
      </c>
      <c r="H64">
        <v>1</v>
      </c>
      <c r="I64">
        <v>5</v>
      </c>
      <c r="J64" s="9" t="s">
        <v>404</v>
      </c>
      <c r="K64" s="9" t="s">
        <v>405</v>
      </c>
      <c r="L64" s="9" t="s">
        <v>207</v>
      </c>
      <c r="M64" t="s">
        <v>60</v>
      </c>
      <c r="N64" s="9" t="s">
        <v>448</v>
      </c>
      <c r="R64">
        <v>1</v>
      </c>
      <c r="Z64">
        <f>(1*(0.0000055*(200^3.185)))</f>
        <v>117.25820068180396</v>
      </c>
      <c r="AA64">
        <f t="shared" si="0"/>
        <v>1</v>
      </c>
      <c r="AB64">
        <f t="shared" si="1"/>
        <v>1</v>
      </c>
    </row>
    <row r="65" spans="1:28">
      <c r="A65" s="6">
        <v>39997</v>
      </c>
      <c r="B65" s="9" t="s">
        <v>276</v>
      </c>
      <c r="C65" s="9" t="s">
        <v>461</v>
      </c>
      <c r="D65" s="9" t="s">
        <v>462</v>
      </c>
      <c r="E65" s="9" t="s">
        <v>402</v>
      </c>
      <c r="F65" s="10">
        <v>6</v>
      </c>
      <c r="G65">
        <v>8</v>
      </c>
      <c r="H65">
        <v>1</v>
      </c>
      <c r="I65">
        <v>5</v>
      </c>
      <c r="J65" s="9" t="s">
        <v>404</v>
      </c>
      <c r="K65" s="9" t="s">
        <v>405</v>
      </c>
      <c r="L65" t="s">
        <v>177</v>
      </c>
      <c r="M65" t="s">
        <v>265</v>
      </c>
      <c r="N65" s="9" t="s">
        <v>284</v>
      </c>
      <c r="O65">
        <v>1</v>
      </c>
      <c r="Z65">
        <f>(1*(0.009*(90^3.06)))/1000</f>
        <v>8.594578612501893</v>
      </c>
      <c r="AA65">
        <f t="shared" si="0"/>
        <v>1</v>
      </c>
      <c r="AB65">
        <f t="shared" si="1"/>
        <v>0</v>
      </c>
    </row>
    <row r="66" spans="1:28">
      <c r="A66" s="6">
        <v>39997</v>
      </c>
      <c r="B66" s="9" t="s">
        <v>276</v>
      </c>
      <c r="C66" s="9" t="s">
        <v>461</v>
      </c>
      <c r="D66" s="9" t="s">
        <v>462</v>
      </c>
      <c r="E66" s="9" t="s">
        <v>402</v>
      </c>
      <c r="F66" s="10">
        <v>6</v>
      </c>
      <c r="G66">
        <v>8</v>
      </c>
      <c r="H66">
        <v>2</v>
      </c>
      <c r="I66">
        <v>6</v>
      </c>
      <c r="J66" s="9" t="s">
        <v>404</v>
      </c>
      <c r="K66" s="9" t="s">
        <v>405</v>
      </c>
      <c r="L66" t="s">
        <v>170</v>
      </c>
      <c r="M66" t="s">
        <v>170</v>
      </c>
      <c r="N66" s="9" t="s">
        <v>238</v>
      </c>
      <c r="O66" s="9">
        <v>1</v>
      </c>
      <c r="Z66">
        <f>(0*(0.0156*(7^3))+1*(0.0156*(8^3))+0*(0.0156*(9^3))+0*(0.0156*(10^3))+0*(0.0156*(12^3))+0*(0.0156*(12.5^3)))+(Q66*(0.0156*(17.5^3)))+(R66*(0.0156*(22.5^3)))+(S66*(0.0156*(27.5^3)))+(T66*(0.0156*(32.5^3)))+(U66*(0.0156*(37.5^3)))+(V66*(0.0156*(42.5^3)))+(W66*(0.0156*(27.5^3)))</f>
        <v>7.9871999999999996</v>
      </c>
      <c r="AA66">
        <f t="shared" si="0"/>
        <v>1</v>
      </c>
      <c r="AB66">
        <f t="shared" si="1"/>
        <v>0</v>
      </c>
    </row>
    <row r="67" spans="1:28">
      <c r="A67" s="6">
        <v>39997</v>
      </c>
      <c r="B67" s="9" t="s">
        <v>276</v>
      </c>
      <c r="C67" s="9" t="s">
        <v>461</v>
      </c>
      <c r="D67" s="9" t="s">
        <v>462</v>
      </c>
      <c r="E67" s="9" t="s">
        <v>402</v>
      </c>
      <c r="F67" s="10">
        <v>6</v>
      </c>
      <c r="G67">
        <v>8</v>
      </c>
      <c r="H67">
        <v>2</v>
      </c>
      <c r="I67">
        <v>6</v>
      </c>
      <c r="J67" s="9" t="s">
        <v>404</v>
      </c>
      <c r="K67" s="9" t="s">
        <v>405</v>
      </c>
      <c r="L67" t="s">
        <v>170</v>
      </c>
      <c r="M67" t="s">
        <v>170</v>
      </c>
      <c r="N67" s="9" t="s">
        <v>409</v>
      </c>
      <c r="Q67">
        <v>1</v>
      </c>
      <c r="S67">
        <v>1</v>
      </c>
      <c r="Z67">
        <f>(0*(0.0156*(7^3))+0*(0.0156*(8^3))+0*(0.0156*(9^3))+0*(0.0156*(10^3))+0*(0.0156*(12^3))+0*(0.0156*(12.5^3)))+(Q67*(0.0156*(17.5^3)))+(R67*(0.0156*(22.5^3)))+(S67*(0.0156*(27.5^3)))+(T67*(0.0156*(32.5^3)))+(U67*(0.0156*(37.5^3)))+(V67*(0.0156*(42.5^3)))+(W67*(0.0156*(27.5^3)))</f>
        <v>408.03749999999997</v>
      </c>
      <c r="AA67">
        <f t="shared" ref="AA67:AA130" si="2">SUM(O67:X67)</f>
        <v>2</v>
      </c>
      <c r="AB67">
        <f t="shared" ref="AB67:AB130" si="3">SUM(Q67:X67)</f>
        <v>2</v>
      </c>
    </row>
    <row r="68" spans="1:28">
      <c r="A68" s="6">
        <v>39997</v>
      </c>
      <c r="B68" s="9" t="s">
        <v>276</v>
      </c>
      <c r="C68" s="9" t="s">
        <v>461</v>
      </c>
      <c r="D68" s="9" t="s">
        <v>462</v>
      </c>
      <c r="E68" s="9" t="s">
        <v>402</v>
      </c>
      <c r="F68" s="10">
        <v>6</v>
      </c>
      <c r="G68">
        <v>8</v>
      </c>
      <c r="H68">
        <v>2</v>
      </c>
      <c r="I68">
        <v>6</v>
      </c>
      <c r="J68" s="9" t="s">
        <v>404</v>
      </c>
      <c r="K68" s="9" t="s">
        <v>405</v>
      </c>
      <c r="L68" s="9" t="s">
        <v>82</v>
      </c>
      <c r="M68" s="9" t="s">
        <v>202</v>
      </c>
      <c r="N68" s="9" t="s">
        <v>491</v>
      </c>
      <c r="R68">
        <v>1</v>
      </c>
      <c r="Z68">
        <f>R68*(0.0043*(22.5^3.018))</f>
        <v>51.803045807752774</v>
      </c>
      <c r="AA68">
        <f t="shared" si="2"/>
        <v>1</v>
      </c>
      <c r="AB68">
        <f t="shared" si="3"/>
        <v>1</v>
      </c>
    </row>
    <row r="69" spans="1:28">
      <c r="A69" s="6">
        <v>39997</v>
      </c>
      <c r="B69" s="9" t="s">
        <v>276</v>
      </c>
      <c r="C69" s="9" t="s">
        <v>461</v>
      </c>
      <c r="D69" s="9" t="s">
        <v>462</v>
      </c>
      <c r="E69" s="9" t="s">
        <v>402</v>
      </c>
      <c r="F69" s="10">
        <v>6</v>
      </c>
      <c r="G69">
        <v>8</v>
      </c>
      <c r="H69">
        <v>2</v>
      </c>
      <c r="I69">
        <v>6</v>
      </c>
      <c r="J69" s="9" t="s">
        <v>404</v>
      </c>
      <c r="K69" s="9" t="s">
        <v>405</v>
      </c>
      <c r="L69" s="9" t="s">
        <v>83</v>
      </c>
      <c r="M69" t="s">
        <v>60</v>
      </c>
      <c r="N69" s="9" t="s">
        <v>448</v>
      </c>
      <c r="S69">
        <v>1</v>
      </c>
      <c r="Z69">
        <f>(1*(0.0000055*(260^3.185)))</f>
        <v>270.42871391866606</v>
      </c>
      <c r="AA69">
        <f t="shared" si="2"/>
        <v>1</v>
      </c>
      <c r="AB69">
        <f t="shared" si="3"/>
        <v>1</v>
      </c>
    </row>
    <row r="70" spans="1:28">
      <c r="A70" s="6">
        <v>39997</v>
      </c>
      <c r="B70" s="9" t="s">
        <v>276</v>
      </c>
      <c r="C70" s="9" t="s">
        <v>290</v>
      </c>
      <c r="D70" s="9" t="s">
        <v>291</v>
      </c>
      <c r="E70" s="9" t="s">
        <v>402</v>
      </c>
      <c r="G70">
        <v>6</v>
      </c>
      <c r="H70">
        <v>4</v>
      </c>
      <c r="I70">
        <v>4</v>
      </c>
      <c r="J70" s="9" t="s">
        <v>404</v>
      </c>
      <c r="K70" s="9" t="s">
        <v>405</v>
      </c>
      <c r="L70" t="s">
        <v>170</v>
      </c>
      <c r="M70" t="s">
        <v>170</v>
      </c>
      <c r="N70" s="9" t="s">
        <v>238</v>
      </c>
      <c r="O70" s="9">
        <v>2</v>
      </c>
      <c r="P70" s="9">
        <v>1</v>
      </c>
      <c r="Z70">
        <f>(1*(0.0156*(7^3))+1*(0.0156*(8^3))+0*(0.0156*(9^3))+1*(0.0156*(10^3))+0*(0.0156*(12^3))+0*(0.0156*(12.5^3)))+(Q70*(0.0156*(17.5^3)))+(R70*(0.0156*(22.5^3)))+(S70*(0.0156*(27.5^3)))+(T70*(0.0156*(32.5^3)))+(U70*(0.0156*(37.5^3)))+(V70*(0.0156*(42.5^3)))+(W70*(0.0156*(27.5^3)))</f>
        <v>28.937999999999999</v>
      </c>
      <c r="AA70">
        <f t="shared" si="2"/>
        <v>3</v>
      </c>
      <c r="AB70">
        <f t="shared" si="3"/>
        <v>0</v>
      </c>
    </row>
    <row r="71" spans="1:28">
      <c r="A71" s="6">
        <v>39997</v>
      </c>
      <c r="B71" s="9" t="s">
        <v>276</v>
      </c>
      <c r="C71" s="9" t="s">
        <v>290</v>
      </c>
      <c r="D71" s="9" t="s">
        <v>291</v>
      </c>
      <c r="E71" s="9" t="s">
        <v>402</v>
      </c>
      <c r="G71">
        <v>6</v>
      </c>
      <c r="H71">
        <v>4</v>
      </c>
      <c r="I71">
        <v>4</v>
      </c>
      <c r="J71" s="9" t="s">
        <v>404</v>
      </c>
      <c r="K71" s="9" t="s">
        <v>405</v>
      </c>
      <c r="L71" t="s">
        <v>174</v>
      </c>
      <c r="M71" t="s">
        <v>174</v>
      </c>
      <c r="N71" s="9" t="s">
        <v>210</v>
      </c>
      <c r="X71">
        <v>1</v>
      </c>
      <c r="Z71">
        <f>(1*(0.013*(50^3)))</f>
        <v>1625</v>
      </c>
      <c r="AA71">
        <f t="shared" si="2"/>
        <v>1</v>
      </c>
      <c r="AB71">
        <f t="shared" si="3"/>
        <v>1</v>
      </c>
    </row>
    <row r="72" spans="1:28">
      <c r="A72" s="6">
        <v>39998</v>
      </c>
      <c r="B72" s="9" t="s">
        <v>276</v>
      </c>
      <c r="C72" s="9" t="s">
        <v>290</v>
      </c>
      <c r="D72" s="9" t="s">
        <v>291</v>
      </c>
      <c r="E72" s="9" t="s">
        <v>402</v>
      </c>
      <c r="F72" s="7">
        <v>7</v>
      </c>
      <c r="G72">
        <v>8</v>
      </c>
      <c r="H72">
        <v>5</v>
      </c>
      <c r="I72">
        <v>5</v>
      </c>
      <c r="J72" s="9" t="s">
        <v>404</v>
      </c>
      <c r="K72" s="9" t="s">
        <v>405</v>
      </c>
      <c r="L72" t="s">
        <v>170</v>
      </c>
      <c r="M72" t="s">
        <v>170</v>
      </c>
      <c r="N72" s="9" t="s">
        <v>238</v>
      </c>
      <c r="O72" s="9">
        <v>3</v>
      </c>
      <c r="P72" s="9">
        <v>1</v>
      </c>
      <c r="Z72">
        <f>(1*(0.0156*(7^3))+2*(0.0156*(8^3))+0*(0.0156*(9^3))+1*(0.0156*(10^3))+0*(0.0156*(12^3))+0*(0.0156*(12.5^3)))+(Q72*(0.0156*(17.5^3)))+(R72*(0.0156*(22.5^3)))+(S72*(0.0156*(27.5^3)))+(T72*(0.0156*(32.5^3)))+(U72*(0.0156*(37.5^3)))+(V72*(0.0156*(42.5^3)))+(W72*(0.0156*(27.5^3)))</f>
        <v>36.925199999999997</v>
      </c>
      <c r="AA72">
        <f t="shared" si="2"/>
        <v>4</v>
      </c>
      <c r="AB72">
        <f t="shared" si="3"/>
        <v>0</v>
      </c>
    </row>
    <row r="73" spans="1:28">
      <c r="A73" s="6">
        <v>39998</v>
      </c>
      <c r="B73" s="9" t="s">
        <v>276</v>
      </c>
      <c r="C73" s="9" t="s">
        <v>290</v>
      </c>
      <c r="D73" s="9" t="s">
        <v>291</v>
      </c>
      <c r="E73" s="9" t="s">
        <v>402</v>
      </c>
      <c r="F73" s="7">
        <v>7</v>
      </c>
      <c r="G73">
        <v>8</v>
      </c>
      <c r="H73">
        <v>5</v>
      </c>
      <c r="I73">
        <v>5</v>
      </c>
      <c r="J73" s="9" t="s">
        <v>404</v>
      </c>
      <c r="K73" s="9" t="s">
        <v>405</v>
      </c>
      <c r="L73" t="s">
        <v>170</v>
      </c>
      <c r="M73" t="s">
        <v>170</v>
      </c>
      <c r="N73" s="9" t="s">
        <v>409</v>
      </c>
      <c r="Q73">
        <v>1</v>
      </c>
      <c r="T73">
        <v>1</v>
      </c>
      <c r="Z73">
        <f>(0*(0.0156*(7^3))+0*(0.0156*(8^3))+0*(0.0156*(9^3))+0*(0.0156*(10^3))+0*(0.0156*(12^3))+0*(0.0156*(12.5^3)))+(Q73*(0.0156*(17.5^3)))+(R73*(0.0156*(22.5^3)))+(S73*(0.0156*(27.5^3)))+(T73*(0.0156*(32.5^3)))+(U73*(0.0156*(37.5^3)))+(V73*(0.0156*(42.5^3)))+(W73*(0.0156*(27.5^3)))</f>
        <v>619.125</v>
      </c>
      <c r="AA73">
        <f t="shared" si="2"/>
        <v>2</v>
      </c>
      <c r="AB73">
        <f t="shared" si="3"/>
        <v>2</v>
      </c>
    </row>
    <row r="74" spans="1:28">
      <c r="A74" s="6">
        <v>39998</v>
      </c>
      <c r="B74" s="9" t="s">
        <v>276</v>
      </c>
      <c r="C74" s="9" t="s">
        <v>290</v>
      </c>
      <c r="D74" s="9" t="s">
        <v>291</v>
      </c>
      <c r="E74" s="9" t="s">
        <v>402</v>
      </c>
      <c r="F74" s="7">
        <v>7</v>
      </c>
      <c r="G74">
        <v>8</v>
      </c>
      <c r="H74">
        <v>5</v>
      </c>
      <c r="I74">
        <v>5</v>
      </c>
      <c r="J74" s="9" t="s">
        <v>404</v>
      </c>
      <c r="K74" s="9" t="s">
        <v>405</v>
      </c>
      <c r="L74" s="9" t="s">
        <v>172</v>
      </c>
      <c r="M74" t="s">
        <v>65</v>
      </c>
      <c r="N74" s="9" t="s">
        <v>407</v>
      </c>
      <c r="O74">
        <v>8</v>
      </c>
      <c r="Z74">
        <f>8*(0.0004*(4^3.43))</f>
        <v>0.37171984601790925</v>
      </c>
      <c r="AA74">
        <f t="shared" si="2"/>
        <v>8</v>
      </c>
      <c r="AB74">
        <f t="shared" si="3"/>
        <v>0</v>
      </c>
    </row>
    <row r="75" spans="1:28">
      <c r="A75" s="6">
        <v>39998</v>
      </c>
      <c r="B75" s="9" t="s">
        <v>276</v>
      </c>
      <c r="C75" s="9" t="s">
        <v>290</v>
      </c>
      <c r="D75" s="9" t="s">
        <v>291</v>
      </c>
      <c r="E75" s="9" t="s">
        <v>402</v>
      </c>
      <c r="F75" s="7">
        <v>7</v>
      </c>
      <c r="G75">
        <v>8</v>
      </c>
      <c r="H75">
        <v>5</v>
      </c>
      <c r="I75">
        <v>5</v>
      </c>
      <c r="J75" s="9" t="s">
        <v>404</v>
      </c>
      <c r="K75" s="9" t="s">
        <v>405</v>
      </c>
      <c r="L75" s="9" t="s">
        <v>85</v>
      </c>
      <c r="M75" s="9" t="s">
        <v>58</v>
      </c>
      <c r="N75" s="9" t="s">
        <v>499</v>
      </c>
      <c r="R75">
        <v>1</v>
      </c>
      <c r="Z75">
        <f>(1*(0.0000055*(200^3.185)))</f>
        <v>117.25820068180396</v>
      </c>
      <c r="AA75">
        <f t="shared" si="2"/>
        <v>1</v>
      </c>
      <c r="AB75">
        <f t="shared" si="3"/>
        <v>1</v>
      </c>
    </row>
    <row r="76" spans="1:28">
      <c r="A76" s="6">
        <v>39998</v>
      </c>
      <c r="B76" s="9" t="s">
        <v>276</v>
      </c>
      <c r="C76" s="9" t="s">
        <v>290</v>
      </c>
      <c r="D76" s="9" t="s">
        <v>291</v>
      </c>
      <c r="E76" s="9" t="s">
        <v>402</v>
      </c>
      <c r="F76" s="7">
        <v>7</v>
      </c>
      <c r="G76">
        <v>8.5</v>
      </c>
      <c r="H76">
        <v>6</v>
      </c>
      <c r="I76">
        <v>6</v>
      </c>
      <c r="J76" s="9" t="s">
        <v>404</v>
      </c>
      <c r="K76" s="9" t="s">
        <v>405</v>
      </c>
      <c r="L76" t="s">
        <v>174</v>
      </c>
      <c r="M76" t="s">
        <v>174</v>
      </c>
      <c r="N76" s="9" t="s">
        <v>210</v>
      </c>
      <c r="V76">
        <v>1</v>
      </c>
      <c r="Z76">
        <f>(1*(0.013*(45^3)))</f>
        <v>1184.625</v>
      </c>
      <c r="AA76">
        <f t="shared" si="2"/>
        <v>1</v>
      </c>
      <c r="AB76">
        <f t="shared" si="3"/>
        <v>1</v>
      </c>
    </row>
    <row r="77" spans="1:28">
      <c r="A77" s="6">
        <v>39998</v>
      </c>
      <c r="B77" s="9" t="s">
        <v>276</v>
      </c>
      <c r="C77" s="9" t="s">
        <v>290</v>
      </c>
      <c r="D77" s="9" t="s">
        <v>291</v>
      </c>
      <c r="E77" s="9" t="s">
        <v>402</v>
      </c>
      <c r="F77" s="7">
        <v>7</v>
      </c>
      <c r="G77">
        <v>8.5</v>
      </c>
      <c r="H77">
        <v>6</v>
      </c>
      <c r="I77">
        <v>6</v>
      </c>
      <c r="J77" s="9" t="s">
        <v>404</v>
      </c>
      <c r="K77" s="9" t="s">
        <v>405</v>
      </c>
      <c r="L77" t="s">
        <v>170</v>
      </c>
      <c r="M77" t="s">
        <v>170</v>
      </c>
      <c r="N77" s="9" t="s">
        <v>238</v>
      </c>
      <c r="O77" s="9">
        <v>1</v>
      </c>
      <c r="Z77">
        <f>(1*(0.0156*(7^3))+0*(0.0156*(8^3))+0*(0.0156*(9^3))+0*(0.0156*(10^3))+0*(0.0156*(12^3))+0*(0.0156*(12.5^3)))+(Q77*(0.0156*(17.5^3)))+(R77*(0.0156*(22.5^3)))+(S77*(0.0156*(27.5^3)))+(T77*(0.0156*(32.5^3)))+(U77*(0.0156*(37.5^3)))+(V77*(0.0156*(42.5^3)))+(W77*(0.0156*(27.5^3)))</f>
        <v>5.3507999999999996</v>
      </c>
      <c r="AA77">
        <f t="shared" si="2"/>
        <v>1</v>
      </c>
      <c r="AB77">
        <f t="shared" si="3"/>
        <v>0</v>
      </c>
    </row>
    <row r="78" spans="1:28">
      <c r="A78" s="6">
        <v>40016</v>
      </c>
      <c r="B78" s="9" t="s">
        <v>502</v>
      </c>
      <c r="C78" s="9" t="s">
        <v>503</v>
      </c>
      <c r="D78" s="9" t="s">
        <v>504</v>
      </c>
      <c r="E78" s="9" t="s">
        <v>505</v>
      </c>
      <c r="F78" s="7">
        <v>20</v>
      </c>
      <c r="G78">
        <v>6.1</v>
      </c>
      <c r="H78">
        <v>1</v>
      </c>
      <c r="I78">
        <v>1</v>
      </c>
      <c r="J78" s="9" t="s">
        <v>404</v>
      </c>
      <c r="K78" s="9" t="s">
        <v>405</v>
      </c>
      <c r="L78" t="s">
        <v>252</v>
      </c>
      <c r="M78" t="s">
        <v>263</v>
      </c>
      <c r="N78" s="9" t="s">
        <v>211</v>
      </c>
      <c r="Q78">
        <v>3</v>
      </c>
      <c r="Z78">
        <f>(P78*(0.0211*(12.5^3)))+(Q78*(0.0211*(17.5^3)))+(R78*(0.0211*(22.5^3)))+(S78*(0.0211*(27.5^3)))+(T78*(0.0211*(32.5^3)))+(U78*(0.0211*(37.5^3)))+(V78*(0.0211*(42.5^3)))+(W78*(0.0211*(27.5^3)))</f>
        <v>339.24843750000002</v>
      </c>
      <c r="AA78">
        <f t="shared" si="2"/>
        <v>3</v>
      </c>
      <c r="AB78">
        <f t="shared" si="3"/>
        <v>3</v>
      </c>
    </row>
    <row r="79" spans="1:28">
      <c r="A79" s="6">
        <v>40016</v>
      </c>
      <c r="B79" s="9" t="s">
        <v>502</v>
      </c>
      <c r="C79" s="9" t="s">
        <v>503</v>
      </c>
      <c r="D79" s="9" t="s">
        <v>504</v>
      </c>
      <c r="E79" s="9" t="s">
        <v>505</v>
      </c>
      <c r="F79" s="7">
        <v>20</v>
      </c>
      <c r="G79">
        <v>6.1</v>
      </c>
      <c r="H79">
        <v>1</v>
      </c>
      <c r="I79">
        <v>1</v>
      </c>
      <c r="J79" s="9" t="s">
        <v>404</v>
      </c>
      <c r="K79" s="9" t="s">
        <v>405</v>
      </c>
      <c r="L79" t="s">
        <v>199</v>
      </c>
      <c r="M79" t="s">
        <v>175</v>
      </c>
      <c r="N79" s="11" t="s">
        <v>38</v>
      </c>
      <c r="O79" s="12">
        <v>28</v>
      </c>
      <c r="P79">
        <v>1</v>
      </c>
      <c r="Z79">
        <f>(17*(0.0175*(5^3))+11*(0.0175*(8^3))+P79*(0.0175*(12.5^3)))+(Q79*(0.0175*(17.5^3)))+(R79*(0.0175*(22.5^3)))+(S79*(0.0175*(27.5^3)))+(T79*(0.0175*(32.5^3)))+(U79*(0.0175*(37.5^3)))+(V79*(0.0175*(42.5^3)))+(W79*(0.0175*(27.5^3)))</f>
        <v>169.9271875</v>
      </c>
      <c r="AA79">
        <f t="shared" si="2"/>
        <v>29</v>
      </c>
      <c r="AB79">
        <f t="shared" si="3"/>
        <v>0</v>
      </c>
    </row>
    <row r="80" spans="1:28">
      <c r="A80" s="6">
        <v>40016</v>
      </c>
      <c r="B80" s="9" t="s">
        <v>502</v>
      </c>
      <c r="C80" s="9" t="s">
        <v>503</v>
      </c>
      <c r="D80" s="9" t="s">
        <v>504</v>
      </c>
      <c r="E80" s="9" t="s">
        <v>505</v>
      </c>
      <c r="F80" s="7">
        <v>20</v>
      </c>
      <c r="G80">
        <v>6.1</v>
      </c>
      <c r="H80">
        <v>1</v>
      </c>
      <c r="I80">
        <v>1</v>
      </c>
      <c r="J80" s="9" t="s">
        <v>404</v>
      </c>
      <c r="K80" s="9" t="s">
        <v>405</v>
      </c>
      <c r="L80" t="s">
        <v>170</v>
      </c>
      <c r="M80" t="s">
        <v>170</v>
      </c>
      <c r="N80" s="9" t="s">
        <v>409</v>
      </c>
      <c r="U80">
        <v>1</v>
      </c>
      <c r="Z80">
        <f>(0*(0.0156*(7^3))+0*(0.0156*(8^3))+0*(0.0156*(9^3))+0*(0.0156*(10^3))+0*(0.0156*(12^3))+0*(0.0156*(12.5^3)))+(Q80*(0.0156*(17.5^3)))+(R80*(0.0156*(22.5^3)))+(S80*(0.0156*(27.5^3)))+(T80*(0.0156*(32.5^3)))+(U80*(0.0156*(37.5^3)))+(V80*(0.0156*(42.5^3)))+(W80*(0.0156*(27.5^3)))</f>
        <v>822.65625</v>
      </c>
      <c r="AA80">
        <f t="shared" si="2"/>
        <v>1</v>
      </c>
      <c r="AB80">
        <f t="shared" si="3"/>
        <v>1</v>
      </c>
    </row>
    <row r="81" spans="1:28">
      <c r="A81" s="6">
        <v>40016</v>
      </c>
      <c r="B81" s="9" t="s">
        <v>502</v>
      </c>
      <c r="C81" s="9" t="s">
        <v>503</v>
      </c>
      <c r="D81" s="9" t="s">
        <v>504</v>
      </c>
      <c r="E81" s="9" t="s">
        <v>505</v>
      </c>
      <c r="F81" s="7">
        <v>20</v>
      </c>
      <c r="G81">
        <v>6.1</v>
      </c>
      <c r="H81">
        <v>1</v>
      </c>
      <c r="I81">
        <v>1</v>
      </c>
      <c r="J81" s="9" t="s">
        <v>404</v>
      </c>
      <c r="K81" s="9" t="s">
        <v>405</v>
      </c>
      <c r="L81" t="s">
        <v>170</v>
      </c>
      <c r="M81" t="s">
        <v>170</v>
      </c>
      <c r="N81" s="9" t="s">
        <v>238</v>
      </c>
      <c r="P81">
        <v>1</v>
      </c>
      <c r="Z81">
        <f>(0*(0.0156*(7^3))+0*(0.0156*(8^3))+0*(0.0156*(9^3))+0*(0.0156*(10^3))+0*(0.0156*(12^3))+1*(0.0156*(12.5^3)))+(Q81*(0.0156*(17.5^3)))+(R81*(0.0156*(22.5^3)))+(S81*(0.0156*(27.5^3)))+(T81*(0.0156*(32.5^3)))+(U81*(0.0156*(37.5^3)))+(V81*(0.0156*(42.5^3)))+(W81*(0.0156*(27.5^3)))</f>
        <v>30.46875</v>
      </c>
      <c r="AA81">
        <f t="shared" si="2"/>
        <v>1</v>
      </c>
      <c r="AB81">
        <f t="shared" si="3"/>
        <v>0</v>
      </c>
    </row>
    <row r="82" spans="1:28">
      <c r="A82" s="6">
        <v>40016</v>
      </c>
      <c r="B82" s="9" t="s">
        <v>502</v>
      </c>
      <c r="C82" s="9" t="s">
        <v>503</v>
      </c>
      <c r="D82" s="9" t="s">
        <v>504</v>
      </c>
      <c r="E82" s="9" t="s">
        <v>505</v>
      </c>
      <c r="F82" s="7">
        <v>20</v>
      </c>
      <c r="G82">
        <v>6.1</v>
      </c>
      <c r="H82">
        <v>1</v>
      </c>
      <c r="I82">
        <v>1</v>
      </c>
      <c r="J82" s="9" t="s">
        <v>404</v>
      </c>
      <c r="K82" s="9" t="s">
        <v>405</v>
      </c>
      <c r="L82" s="9"/>
      <c r="M82" s="9"/>
      <c r="N82" s="11"/>
      <c r="Y82" t="s">
        <v>507</v>
      </c>
      <c r="AA82">
        <f t="shared" si="2"/>
        <v>0</v>
      </c>
      <c r="AB82">
        <f t="shared" si="3"/>
        <v>0</v>
      </c>
    </row>
    <row r="83" spans="1:28">
      <c r="A83" s="6">
        <v>40016</v>
      </c>
      <c r="B83" s="9" t="s">
        <v>502</v>
      </c>
      <c r="C83" s="9" t="s">
        <v>503</v>
      </c>
      <c r="D83" s="9" t="s">
        <v>504</v>
      </c>
      <c r="E83" s="9" t="s">
        <v>505</v>
      </c>
      <c r="F83" s="7">
        <v>20</v>
      </c>
      <c r="G83">
        <v>6.4</v>
      </c>
      <c r="H83">
        <v>2</v>
      </c>
      <c r="I83">
        <v>2</v>
      </c>
      <c r="J83" s="9" t="s">
        <v>404</v>
      </c>
      <c r="K83" s="9" t="s">
        <v>405</v>
      </c>
      <c r="L83" t="s">
        <v>199</v>
      </c>
      <c r="M83" t="s">
        <v>175</v>
      </c>
      <c r="N83" s="9" t="s">
        <v>38</v>
      </c>
      <c r="O83" s="9">
        <v>64</v>
      </c>
      <c r="P83">
        <v>3</v>
      </c>
      <c r="Z83">
        <f>(48*(0.0175*(5^3)))+(16*(0.0175*(8^3))+(3*(0.0175*(10^3)))+(Q83*(0.0175*(17.5^3)))+(R83*(0.0175*(22.5^3)))+(S83*(0.0175*(27.5^3)))+(T83*(0.0175*(32.5^3)))+(U83*(0.0175*(37.5^3)))+(V83*(0.0175*(42.5^3)))+(W83*(0.0175*(27.5^3))))</f>
        <v>300.86</v>
      </c>
      <c r="AA83">
        <f t="shared" si="2"/>
        <v>67</v>
      </c>
      <c r="AB83">
        <f t="shared" si="3"/>
        <v>0</v>
      </c>
    </row>
    <row r="84" spans="1:28">
      <c r="A84" s="6">
        <v>40016</v>
      </c>
      <c r="B84" s="9" t="s">
        <v>502</v>
      </c>
      <c r="C84" s="9" t="s">
        <v>503</v>
      </c>
      <c r="D84" s="9" t="s">
        <v>504</v>
      </c>
      <c r="E84" s="9" t="s">
        <v>505</v>
      </c>
      <c r="F84" s="7">
        <v>20</v>
      </c>
      <c r="G84">
        <v>6.4</v>
      </c>
      <c r="H84">
        <v>2</v>
      </c>
      <c r="I84">
        <v>2</v>
      </c>
      <c r="J84" s="9" t="s">
        <v>404</v>
      </c>
      <c r="K84" s="9" t="s">
        <v>405</v>
      </c>
      <c r="L84" t="s">
        <v>170</v>
      </c>
      <c r="M84" t="s">
        <v>170</v>
      </c>
      <c r="N84" s="9" t="s">
        <v>409</v>
      </c>
      <c r="T84">
        <v>1</v>
      </c>
      <c r="Z84">
        <f>(0*(0.0156*(7^3))+0*(0.0156*(8^3))+0*(0.0156*(9^3))+0*(0.0156*(10^3))+0*(0.0156*(12^3))+0*(0.0156*(12.5^3)))+(Q84*(0.0156*(17.5^3)))+(R84*(0.0156*(22.5^3)))+(S84*(0.0156*(27.5^3)))+(T84*(0.0156*(32.5^3)))+(U84*(0.0156*(37.5^3)))+(V84*(0.0156*(42.5^3)))+(W84*(0.0156*(27.5^3)))</f>
        <v>535.51874999999995</v>
      </c>
      <c r="AA84">
        <f t="shared" si="2"/>
        <v>1</v>
      </c>
      <c r="AB84">
        <f t="shared" si="3"/>
        <v>1</v>
      </c>
    </row>
    <row r="85" spans="1:28">
      <c r="A85" s="6">
        <v>40016</v>
      </c>
      <c r="B85" s="9" t="s">
        <v>502</v>
      </c>
      <c r="C85" s="9" t="s">
        <v>503</v>
      </c>
      <c r="D85" s="9" t="s">
        <v>504</v>
      </c>
      <c r="E85" s="9" t="s">
        <v>505</v>
      </c>
      <c r="F85" s="7">
        <v>15</v>
      </c>
      <c r="G85">
        <v>5.8</v>
      </c>
      <c r="H85">
        <v>3</v>
      </c>
      <c r="I85">
        <v>3</v>
      </c>
      <c r="J85" s="9" t="s">
        <v>404</v>
      </c>
      <c r="K85" s="9" t="s">
        <v>405</v>
      </c>
      <c r="L85" t="s">
        <v>252</v>
      </c>
      <c r="M85" t="s">
        <v>263</v>
      </c>
      <c r="N85" s="9" t="s">
        <v>211</v>
      </c>
      <c r="T85">
        <v>1</v>
      </c>
      <c r="Z85">
        <f>(P85*(0.0211*(12.5^3)))+(Q85*(0.0211*(17.5^3)))+(R85*(0.0211*(22.5^3)))+(S85*(0.0211*(27.5^3)))+(T85*(0.0211*(32.5^3)))+(U85*(0.0211*(37.5^3)))+(V85*(0.0211*(42.5^3)))+(W85*(0.0211*(27.5^3)))</f>
        <v>724.32343750000007</v>
      </c>
      <c r="AA85">
        <f t="shared" si="2"/>
        <v>1</v>
      </c>
      <c r="AB85">
        <f t="shared" si="3"/>
        <v>1</v>
      </c>
    </row>
    <row r="86" spans="1:28">
      <c r="A86" s="6">
        <v>40016</v>
      </c>
      <c r="B86" s="9" t="s">
        <v>502</v>
      </c>
      <c r="C86" s="9" t="s">
        <v>503</v>
      </c>
      <c r="D86" s="9" t="s">
        <v>504</v>
      </c>
      <c r="E86" s="9" t="s">
        <v>505</v>
      </c>
      <c r="F86" s="7">
        <v>15</v>
      </c>
      <c r="G86">
        <v>5.8</v>
      </c>
      <c r="H86">
        <v>3</v>
      </c>
      <c r="I86">
        <v>3</v>
      </c>
      <c r="J86" s="9" t="s">
        <v>404</v>
      </c>
      <c r="K86" s="9" t="s">
        <v>405</v>
      </c>
      <c r="L86" s="9" t="s">
        <v>109</v>
      </c>
      <c r="M86" s="9" t="s">
        <v>202</v>
      </c>
      <c r="N86" s="11" t="s">
        <v>299</v>
      </c>
      <c r="O86" s="11" t="s">
        <v>300</v>
      </c>
      <c r="Z86">
        <f>(0.0043*(6^3.018))</f>
        <v>0.95924364182691069</v>
      </c>
      <c r="AA86">
        <f t="shared" si="2"/>
        <v>0</v>
      </c>
      <c r="AB86">
        <f t="shared" si="3"/>
        <v>0</v>
      </c>
    </row>
    <row r="87" spans="1:28">
      <c r="A87" s="6">
        <v>40016</v>
      </c>
      <c r="B87" s="9" t="s">
        <v>502</v>
      </c>
      <c r="C87" s="9" t="s">
        <v>503</v>
      </c>
      <c r="D87" s="9" t="s">
        <v>504</v>
      </c>
      <c r="E87" s="9" t="s">
        <v>505</v>
      </c>
      <c r="F87" s="7">
        <v>15</v>
      </c>
      <c r="G87">
        <v>5.8</v>
      </c>
      <c r="H87">
        <v>3</v>
      </c>
      <c r="I87">
        <v>3</v>
      </c>
      <c r="J87" s="9" t="s">
        <v>404</v>
      </c>
      <c r="K87" s="9" t="s">
        <v>405</v>
      </c>
      <c r="L87" t="s">
        <v>170</v>
      </c>
      <c r="M87" t="s">
        <v>170</v>
      </c>
      <c r="N87" s="9" t="s">
        <v>238</v>
      </c>
      <c r="P87">
        <v>1</v>
      </c>
      <c r="Z87">
        <f>(0*(0.0156*(7^3))+0*(0.0156*(8^3))+0*(0.0156*(9^3))+0*(0.0156*(10^3))+0*(0.0156*(12^3))+1*(0.0156*(12.5^3)))+(Q87*(0.0156*(17.5^3)))+(R87*(0.0156*(22.5^3)))+(S87*(0.0156*(27.5^3)))+(T87*(0.0156*(32.5^3)))+(U87*(0.0156*(37.5^3)))+(V87*(0.0156*(42.5^3)))+(W87*(0.0156*(27.5^3)))</f>
        <v>30.46875</v>
      </c>
      <c r="AA87">
        <f t="shared" si="2"/>
        <v>1</v>
      </c>
      <c r="AB87">
        <f t="shared" si="3"/>
        <v>0</v>
      </c>
    </row>
    <row r="88" spans="1:28">
      <c r="A88" s="6">
        <v>40016</v>
      </c>
      <c r="B88" s="9" t="s">
        <v>502</v>
      </c>
      <c r="C88" s="9" t="s">
        <v>503</v>
      </c>
      <c r="D88" s="9" t="s">
        <v>504</v>
      </c>
      <c r="E88" s="9" t="s">
        <v>505</v>
      </c>
      <c r="F88" s="7">
        <v>15</v>
      </c>
      <c r="G88">
        <v>5.4</v>
      </c>
      <c r="H88">
        <v>4</v>
      </c>
      <c r="I88">
        <v>4</v>
      </c>
      <c r="J88" s="9" t="s">
        <v>404</v>
      </c>
      <c r="K88" s="9" t="s">
        <v>405</v>
      </c>
      <c r="L88" t="s">
        <v>170</v>
      </c>
      <c r="M88" t="s">
        <v>170</v>
      </c>
      <c r="N88" s="9" t="s">
        <v>406</v>
      </c>
      <c r="R88">
        <v>1</v>
      </c>
      <c r="Z88">
        <f>(0*(0.0156*(7^3))+0*(0.0156*(8^3))+0*(0.0156*(9^3))+0*(0.0156*(10^3))+0*(0.0156*(12^3))+0*(0.0156*(12.5^3)))+(Q88*(0.0156*(17.5^3)))+(R88*(0.0156*(22.5^3)))+(S88*(0.0156*(27.5^3)))+(T88*(0.0156*(32.5^3)))+(U88*(0.0156*(37.5^3)))+(V88*(0.0156*(42.5^3)))+(W88*(0.0156*(27.5^3)))</f>
        <v>177.69374999999999</v>
      </c>
      <c r="AA88">
        <f t="shared" si="2"/>
        <v>1</v>
      </c>
      <c r="AB88">
        <f t="shared" si="3"/>
        <v>1</v>
      </c>
    </row>
    <row r="89" spans="1:28">
      <c r="A89" s="6">
        <v>40016</v>
      </c>
      <c r="B89" s="9" t="s">
        <v>502</v>
      </c>
      <c r="C89" s="9" t="s">
        <v>503</v>
      </c>
      <c r="D89" s="9" t="s">
        <v>301</v>
      </c>
      <c r="E89" s="9" t="s">
        <v>505</v>
      </c>
      <c r="F89" s="7">
        <v>20</v>
      </c>
      <c r="G89">
        <v>5.4</v>
      </c>
      <c r="H89">
        <v>5</v>
      </c>
      <c r="I89">
        <v>5</v>
      </c>
      <c r="J89" s="9" t="s">
        <v>404</v>
      </c>
      <c r="K89" s="9" t="s">
        <v>405</v>
      </c>
      <c r="L89" t="s">
        <v>170</v>
      </c>
      <c r="M89" t="s">
        <v>170</v>
      </c>
      <c r="N89" s="9" t="s">
        <v>409</v>
      </c>
      <c r="R89">
        <v>2</v>
      </c>
      <c r="S89">
        <v>1</v>
      </c>
      <c r="U89">
        <v>1</v>
      </c>
      <c r="Z89">
        <f>(0*(0.0156*(7^3))+0*(0.0156*(8^3))+0*(0.0156*(9^3))+0*(0.0156*(10^3))+0*(0.0156*(12^3))+0*(0.0156*(12.5^3)))+(Q89*(0.0156*(17.5^3)))+(R89*(0.0156*(22.5^3)))+(S89*(0.0156*(27.5^3)))+(T89*(0.0156*(32.5^3)))+(U89*(0.0156*(37.5^3)))+(V89*(0.0156*(42.5^3)))+(W89*(0.0156*(27.5^3)))</f>
        <v>1502.4749999999999</v>
      </c>
      <c r="AA89">
        <f t="shared" si="2"/>
        <v>4</v>
      </c>
      <c r="AB89">
        <f t="shared" si="3"/>
        <v>4</v>
      </c>
    </row>
    <row r="90" spans="1:28">
      <c r="A90" s="6">
        <v>40016</v>
      </c>
      <c r="B90" s="9" t="s">
        <v>502</v>
      </c>
      <c r="C90" s="9" t="s">
        <v>503</v>
      </c>
      <c r="D90" s="9" t="s">
        <v>301</v>
      </c>
      <c r="E90" s="9" t="s">
        <v>505</v>
      </c>
      <c r="F90" s="7">
        <v>20</v>
      </c>
      <c r="G90">
        <v>5.4</v>
      </c>
      <c r="H90">
        <v>5</v>
      </c>
      <c r="I90">
        <v>5</v>
      </c>
      <c r="J90" s="9" t="s">
        <v>404</v>
      </c>
      <c r="K90" s="9" t="s">
        <v>405</v>
      </c>
      <c r="L90" t="s">
        <v>170</v>
      </c>
      <c r="M90" t="s">
        <v>170</v>
      </c>
      <c r="N90" s="9" t="s">
        <v>238</v>
      </c>
      <c r="P90">
        <v>2</v>
      </c>
      <c r="Z90">
        <f>(0*(0.0156*(7^3))+0*(0.0156*(8^3))+0*(0.0156*(9^3))+0*(0.0156*(10^3))+0*(0.0156*(12^3))+2*(0.0156*(12.5^3)))+(Q90*(0.0156*(17.5^3)))+(R90*(0.0156*(22.5^3)))+(S90*(0.0156*(27.5^3)))+(T90*(0.0156*(32.5^3)))+(U90*(0.0156*(37.5^3)))+(V90*(0.0156*(42.5^3)))+(W90*(0.0156*(27.5^3)))</f>
        <v>60.9375</v>
      </c>
      <c r="AA90">
        <f t="shared" si="2"/>
        <v>2</v>
      </c>
      <c r="AB90">
        <f t="shared" si="3"/>
        <v>0</v>
      </c>
    </row>
    <row r="91" spans="1:28">
      <c r="A91" s="6">
        <v>40016</v>
      </c>
      <c r="B91" s="9" t="s">
        <v>502</v>
      </c>
      <c r="C91" s="9" t="s">
        <v>503</v>
      </c>
      <c r="D91" s="9" t="s">
        <v>301</v>
      </c>
      <c r="E91" s="9" t="s">
        <v>505</v>
      </c>
      <c r="F91" s="7">
        <v>20</v>
      </c>
      <c r="G91">
        <v>5.4</v>
      </c>
      <c r="H91">
        <v>5</v>
      </c>
      <c r="I91">
        <v>5</v>
      </c>
      <c r="J91" s="9" t="s">
        <v>404</v>
      </c>
      <c r="K91" s="9" t="s">
        <v>405</v>
      </c>
      <c r="L91" t="s">
        <v>252</v>
      </c>
      <c r="M91" t="s">
        <v>263</v>
      </c>
      <c r="N91" s="9" t="s">
        <v>211</v>
      </c>
      <c r="P91">
        <v>1</v>
      </c>
      <c r="Q91">
        <v>1</v>
      </c>
      <c r="R91">
        <v>1</v>
      </c>
      <c r="Z91">
        <f>(P91*(0.0211*(12.5^3)))+(Q91*(0.0211*(17.5^3)))+(R91*(0.0211*(22.5^3)))+(S91*(0.0211*(27.5^3)))+(T91*(0.0211*(32.5^3)))+(U91*(0.0211*(37.5^3)))+(V91*(0.0211*(42.5^3)))+(W91*(0.0211*(27.5^3)))</f>
        <v>394.63593749999995</v>
      </c>
      <c r="AA91">
        <f t="shared" si="2"/>
        <v>3</v>
      </c>
      <c r="AB91">
        <f t="shared" si="3"/>
        <v>2</v>
      </c>
    </row>
    <row r="92" spans="1:28">
      <c r="A92" s="6">
        <v>40016</v>
      </c>
      <c r="B92" s="9" t="s">
        <v>502</v>
      </c>
      <c r="C92" s="9" t="s">
        <v>503</v>
      </c>
      <c r="D92" s="9" t="s">
        <v>301</v>
      </c>
      <c r="E92" s="9" t="s">
        <v>505</v>
      </c>
      <c r="F92" s="7">
        <v>20</v>
      </c>
      <c r="G92">
        <v>5.4</v>
      </c>
      <c r="H92">
        <v>5</v>
      </c>
      <c r="I92">
        <v>5</v>
      </c>
      <c r="J92" s="9" t="s">
        <v>404</v>
      </c>
      <c r="K92" s="9" t="s">
        <v>405</v>
      </c>
      <c r="L92" s="9" t="s">
        <v>83</v>
      </c>
      <c r="M92" t="s">
        <v>60</v>
      </c>
      <c r="N92" s="9" t="s">
        <v>448</v>
      </c>
      <c r="R92">
        <v>1</v>
      </c>
      <c r="Z92">
        <f>(1*(0.0000055*(225^3.185)))</f>
        <v>170.63338631495762</v>
      </c>
      <c r="AA92">
        <f t="shared" si="2"/>
        <v>1</v>
      </c>
      <c r="AB92">
        <f t="shared" si="3"/>
        <v>1</v>
      </c>
    </row>
    <row r="93" spans="1:28">
      <c r="A93" s="6">
        <v>40016</v>
      </c>
      <c r="B93" s="9" t="s">
        <v>502</v>
      </c>
      <c r="C93" s="9" t="s">
        <v>503</v>
      </c>
      <c r="D93" s="9" t="s">
        <v>301</v>
      </c>
      <c r="E93" s="9" t="s">
        <v>505</v>
      </c>
      <c r="F93" s="7">
        <v>20</v>
      </c>
      <c r="G93">
        <v>5.4</v>
      </c>
      <c r="H93">
        <v>5</v>
      </c>
      <c r="I93">
        <v>5</v>
      </c>
      <c r="J93" s="9" t="s">
        <v>404</v>
      </c>
      <c r="K93" s="9" t="s">
        <v>405</v>
      </c>
      <c r="L93" t="s">
        <v>170</v>
      </c>
      <c r="M93" t="s">
        <v>170</v>
      </c>
      <c r="N93" s="9" t="s">
        <v>406</v>
      </c>
      <c r="S93">
        <v>1</v>
      </c>
      <c r="Z93">
        <f>(0*(0.0156*(7^3))+0*(0.0156*(8^3))+0*(0.0156*(9^3))+0*(0.0156*(10^3))+0*(0.0156*(12^3))+0*(0.0156*(12.5^3)))+(Q93*(0.0156*(17.5^3)))+(R93*(0.0156*(22.5^3)))+(S93*(0.0156*(27.5^3)))+(T93*(0.0156*(32.5^3)))+(U93*(0.0156*(37.5^3)))+(V93*(0.0156*(42.5^3)))+(W93*(0.0156*(27.5^3)))</f>
        <v>324.43124999999998</v>
      </c>
      <c r="AA93">
        <f t="shared" si="2"/>
        <v>1</v>
      </c>
      <c r="AB93">
        <f t="shared" si="3"/>
        <v>1</v>
      </c>
    </row>
    <row r="94" spans="1:28">
      <c r="A94" s="6">
        <v>40017</v>
      </c>
      <c r="B94" s="9" t="s">
        <v>502</v>
      </c>
      <c r="C94" s="9" t="s">
        <v>302</v>
      </c>
      <c r="D94" s="9" t="s">
        <v>303</v>
      </c>
      <c r="E94" s="9" t="s">
        <v>505</v>
      </c>
      <c r="F94" s="7">
        <v>15</v>
      </c>
      <c r="G94">
        <v>5.5</v>
      </c>
      <c r="H94">
        <v>1</v>
      </c>
      <c r="I94">
        <v>1</v>
      </c>
      <c r="J94" s="9" t="s">
        <v>404</v>
      </c>
      <c r="K94" s="9" t="s">
        <v>405</v>
      </c>
      <c r="L94" t="s">
        <v>170</v>
      </c>
      <c r="M94" t="s">
        <v>170</v>
      </c>
      <c r="N94" s="9" t="s">
        <v>409</v>
      </c>
      <c r="R94">
        <v>2</v>
      </c>
      <c r="Z94">
        <f>(0*(0.0156*(7^3))+0*(0.0156*(8^3))+0*(0.0156*(9^3))+0*(0.0156*(10^3))+0*(0.0156*(12^3))+0*(0.0156*(12.5^3)))+(Q94*(0.0156*(17.5^3)))+(R94*(0.0156*(22.5^3)))+(S94*(0.0156*(27.5^3)))+(T94*(0.0156*(32.5^3)))+(U94*(0.0156*(37.5^3)))+(V94*(0.0156*(42.5^3)))+(W94*(0.0156*(27.5^3)))</f>
        <v>355.38749999999999</v>
      </c>
      <c r="AA94">
        <f t="shared" si="2"/>
        <v>2</v>
      </c>
      <c r="AB94">
        <f t="shared" si="3"/>
        <v>2</v>
      </c>
    </row>
    <row r="95" spans="1:28">
      <c r="A95" s="6">
        <v>40017</v>
      </c>
      <c r="B95" s="9" t="s">
        <v>502</v>
      </c>
      <c r="C95" s="9" t="s">
        <v>302</v>
      </c>
      <c r="D95" s="9" t="s">
        <v>303</v>
      </c>
      <c r="E95" s="9" t="s">
        <v>505</v>
      </c>
      <c r="F95" s="7">
        <v>15</v>
      </c>
      <c r="G95">
        <v>5.5</v>
      </c>
      <c r="H95">
        <v>1</v>
      </c>
      <c r="I95">
        <v>1</v>
      </c>
      <c r="J95" s="9" t="s">
        <v>404</v>
      </c>
      <c r="K95" s="9" t="s">
        <v>405</v>
      </c>
      <c r="L95" t="s">
        <v>170</v>
      </c>
      <c r="M95" t="s">
        <v>170</v>
      </c>
      <c r="N95" s="9" t="s">
        <v>238</v>
      </c>
      <c r="O95">
        <v>4</v>
      </c>
      <c r="P95">
        <v>1</v>
      </c>
      <c r="Z95">
        <f>(1*(0.0156*(4^3))+0*(0.0156*(8^3))+0*(0.0156*(9^3))+0*(0.0156*(10^3))+0*(0.0156*(12^3))+1*(0.0156*(12.5^3)))+(Q95*(0.0156*(17.5^3)))+(R95*(0.0156*(22.5^3)))+(S95*(0.0156*(27.5^3)))+(T95*(0.0156*(32.5^3)))+(U95*(0.0156*(37.5^3)))+(V95*(0.0156*(42.5^3)))+(W95*(0.0156*(27.5^3)))</f>
        <v>31.46715</v>
      </c>
      <c r="AA95">
        <f t="shared" si="2"/>
        <v>5</v>
      </c>
      <c r="AB95">
        <f t="shared" si="3"/>
        <v>0</v>
      </c>
    </row>
    <row r="96" spans="1:28">
      <c r="A96" s="6">
        <v>40017</v>
      </c>
      <c r="B96" s="9" t="s">
        <v>502</v>
      </c>
      <c r="C96" s="9" t="s">
        <v>302</v>
      </c>
      <c r="D96" s="9" t="s">
        <v>303</v>
      </c>
      <c r="E96" s="9" t="s">
        <v>505</v>
      </c>
      <c r="F96" s="7">
        <v>15</v>
      </c>
      <c r="G96">
        <v>5.5</v>
      </c>
      <c r="H96">
        <v>1</v>
      </c>
      <c r="I96">
        <v>1</v>
      </c>
      <c r="J96" s="9" t="s">
        <v>404</v>
      </c>
      <c r="K96" s="9" t="s">
        <v>405</v>
      </c>
      <c r="L96" s="9" t="s">
        <v>111</v>
      </c>
      <c r="M96" s="9" t="s">
        <v>60</v>
      </c>
      <c r="N96" s="9" t="s">
        <v>304</v>
      </c>
      <c r="S96">
        <v>1</v>
      </c>
      <c r="Z96">
        <f>(S96*(0.0000055*(275^3.185)))</f>
        <v>323.3235356776064</v>
      </c>
      <c r="AA96">
        <f t="shared" si="2"/>
        <v>1</v>
      </c>
      <c r="AB96">
        <f t="shared" si="3"/>
        <v>1</v>
      </c>
    </row>
    <row r="97" spans="1:28">
      <c r="A97" s="6">
        <v>40017</v>
      </c>
      <c r="B97" s="9" t="s">
        <v>502</v>
      </c>
      <c r="C97" s="9" t="s">
        <v>302</v>
      </c>
      <c r="D97" s="9" t="s">
        <v>303</v>
      </c>
      <c r="E97" s="9" t="s">
        <v>505</v>
      </c>
      <c r="F97" s="7">
        <v>15</v>
      </c>
      <c r="G97" t="s">
        <v>305</v>
      </c>
      <c r="H97">
        <v>2</v>
      </c>
      <c r="I97">
        <v>2</v>
      </c>
      <c r="J97" s="9" t="s">
        <v>404</v>
      </c>
      <c r="K97" s="9" t="s">
        <v>405</v>
      </c>
      <c r="L97" s="9" t="s">
        <v>76</v>
      </c>
      <c r="M97" s="9" t="s">
        <v>76</v>
      </c>
      <c r="N97" s="11" t="s">
        <v>233</v>
      </c>
      <c r="Q97">
        <v>1</v>
      </c>
      <c r="R97">
        <v>1</v>
      </c>
      <c r="Z97">
        <f>(Q97*(0.000491*(17.5^3.05)))+(R97*(0.000491*(22.5^3.05)))</f>
        <v>9.5712083585606855</v>
      </c>
      <c r="AA97">
        <f t="shared" si="2"/>
        <v>2</v>
      </c>
      <c r="AB97">
        <f t="shared" si="3"/>
        <v>2</v>
      </c>
    </row>
    <row r="98" spans="1:28">
      <c r="A98" s="6">
        <v>40017</v>
      </c>
      <c r="B98" s="9" t="s">
        <v>502</v>
      </c>
      <c r="C98" s="9" t="s">
        <v>302</v>
      </c>
      <c r="D98" s="9" t="s">
        <v>303</v>
      </c>
      <c r="E98" s="9" t="s">
        <v>505</v>
      </c>
      <c r="F98" s="7">
        <v>15</v>
      </c>
      <c r="G98" t="s">
        <v>305</v>
      </c>
      <c r="H98">
        <v>2</v>
      </c>
      <c r="I98">
        <v>2</v>
      </c>
      <c r="J98" s="9" t="s">
        <v>404</v>
      </c>
      <c r="K98" s="9" t="s">
        <v>405</v>
      </c>
      <c r="L98" t="s">
        <v>252</v>
      </c>
      <c r="M98" t="s">
        <v>263</v>
      </c>
      <c r="N98" s="11" t="s">
        <v>211</v>
      </c>
      <c r="O98" s="9">
        <v>1</v>
      </c>
      <c r="Q98">
        <v>1</v>
      </c>
      <c r="Z98">
        <f>(P98*(0.0211*(12.5^3)))+(Q98*(0.0211*(17.5^3)))+(R98*(0.0211*(22.5^3)))+(S98*(0.0211*(27.5^3)))+(T98*(0.0211*(32.5^3)))+(U98*(0.0211*(37.5^3)))+(V98*(0.0211*(42.5^3)))+(W98*(0.0211*(27.5^3)))</f>
        <v>113.0828125</v>
      </c>
      <c r="AA98">
        <f t="shared" si="2"/>
        <v>2</v>
      </c>
      <c r="AB98">
        <f t="shared" si="3"/>
        <v>1</v>
      </c>
    </row>
    <row r="99" spans="1:28">
      <c r="A99" s="6">
        <v>40017</v>
      </c>
      <c r="B99" s="9" t="s">
        <v>502</v>
      </c>
      <c r="C99" s="9" t="s">
        <v>302</v>
      </c>
      <c r="D99" s="9" t="s">
        <v>303</v>
      </c>
      <c r="E99" s="9" t="s">
        <v>505</v>
      </c>
      <c r="F99" s="7">
        <v>15</v>
      </c>
      <c r="G99" t="s">
        <v>305</v>
      </c>
      <c r="H99">
        <v>2</v>
      </c>
      <c r="I99">
        <v>2</v>
      </c>
      <c r="J99" s="9" t="s">
        <v>404</v>
      </c>
      <c r="K99" s="9" t="s">
        <v>405</v>
      </c>
      <c r="L99" t="s">
        <v>170</v>
      </c>
      <c r="M99" t="s">
        <v>170</v>
      </c>
      <c r="N99" s="9" t="s">
        <v>409</v>
      </c>
      <c r="Q99">
        <v>1</v>
      </c>
      <c r="S99">
        <v>1</v>
      </c>
      <c r="Z99">
        <f>(0*(0.0156*(7^3))+0*(0.0156*(8^3))+0*(0.0156*(9^3))+0*(0.0156*(10^3))+0*(0.0156*(12^3))+0*(0.0156*(12.5^3)))+(Q99*(0.0156*(17.5^3)))+(R99*(0.0156*(22.5^3)))+(S99*(0.0156*(27.5^3)))+(T99*(0.0156*(32.5^3)))+(U99*(0.0156*(37.5^3)))+(V99*(0.0156*(42.5^3)))+(W99*(0.0156*(27.5^3)))</f>
        <v>408.03749999999997</v>
      </c>
      <c r="AA99">
        <f t="shared" si="2"/>
        <v>2</v>
      </c>
      <c r="AB99">
        <f t="shared" si="3"/>
        <v>2</v>
      </c>
    </row>
    <row r="100" spans="1:28">
      <c r="A100" s="6">
        <v>40017</v>
      </c>
      <c r="B100" s="9" t="s">
        <v>502</v>
      </c>
      <c r="C100" s="9" t="s">
        <v>302</v>
      </c>
      <c r="D100" s="9" t="s">
        <v>303</v>
      </c>
      <c r="E100" s="9" t="s">
        <v>505</v>
      </c>
      <c r="F100" s="7">
        <v>15</v>
      </c>
      <c r="G100" t="s">
        <v>305</v>
      </c>
      <c r="H100">
        <v>2</v>
      </c>
      <c r="I100">
        <v>2</v>
      </c>
      <c r="J100" s="9" t="s">
        <v>404</v>
      </c>
      <c r="K100" s="9" t="s">
        <v>405</v>
      </c>
      <c r="L100" s="9" t="s">
        <v>54</v>
      </c>
      <c r="M100" s="9" t="s">
        <v>60</v>
      </c>
      <c r="N100" s="9" t="s">
        <v>304</v>
      </c>
      <c r="Q100">
        <v>1</v>
      </c>
      <c r="S100">
        <v>1</v>
      </c>
      <c r="Z100">
        <f>(Q100*(0.0000055*(175^3.185)))+(S100*(0.0000055*(275^3.185)))</f>
        <v>399.96060253377652</v>
      </c>
      <c r="AA100">
        <f t="shared" si="2"/>
        <v>2</v>
      </c>
      <c r="AB100">
        <f t="shared" si="3"/>
        <v>2</v>
      </c>
    </row>
    <row r="101" spans="1:28">
      <c r="A101" s="6">
        <v>40017</v>
      </c>
      <c r="B101" s="9" t="s">
        <v>502</v>
      </c>
      <c r="C101" s="9" t="s">
        <v>302</v>
      </c>
      <c r="D101" s="9" t="s">
        <v>303</v>
      </c>
      <c r="E101" s="9" t="s">
        <v>505</v>
      </c>
      <c r="F101" s="7">
        <v>15</v>
      </c>
      <c r="G101" t="s">
        <v>305</v>
      </c>
      <c r="H101">
        <v>2</v>
      </c>
      <c r="I101">
        <v>2</v>
      </c>
      <c r="J101" s="9" t="s">
        <v>404</v>
      </c>
      <c r="K101" s="9" t="s">
        <v>405</v>
      </c>
      <c r="L101" t="s">
        <v>199</v>
      </c>
      <c r="M101" t="s">
        <v>175</v>
      </c>
      <c r="N101" s="9" t="s">
        <v>38</v>
      </c>
      <c r="O101">
        <v>2</v>
      </c>
      <c r="P101">
        <v>1</v>
      </c>
      <c r="Z101">
        <f>(48*(0.0175*(5^3)))+(16*(0.0175*(8^3))+(P101*(0.0175*(12.5^3)))+(Q101*(0.0175*(17.5^3)))+(R101*(0.0175*(22.5^3)))+(S101*(0.0175*(27.5^3)))+(T101*(0.0175*(32.5^3)))+(U101*(0.0175*(37.5^3)))+(V101*(0.0175*(42.5^3)))+(W101*(0.0175*(27.5^3))))</f>
        <v>282.53968750000001</v>
      </c>
      <c r="AA101">
        <f t="shared" si="2"/>
        <v>3</v>
      </c>
      <c r="AB101">
        <f t="shared" si="3"/>
        <v>0</v>
      </c>
    </row>
    <row r="102" spans="1:28">
      <c r="A102" s="6">
        <v>40017</v>
      </c>
      <c r="B102" s="9" t="s">
        <v>502</v>
      </c>
      <c r="C102" s="9" t="s">
        <v>302</v>
      </c>
      <c r="D102" s="9" t="s">
        <v>306</v>
      </c>
      <c r="E102" s="9" t="s">
        <v>505</v>
      </c>
      <c r="F102" s="7">
        <v>15</v>
      </c>
      <c r="G102">
        <v>8.1999999999999993</v>
      </c>
      <c r="H102">
        <v>3</v>
      </c>
      <c r="I102">
        <v>3</v>
      </c>
      <c r="J102" s="9" t="s">
        <v>404</v>
      </c>
      <c r="K102" s="9" t="s">
        <v>405</v>
      </c>
      <c r="L102" s="9" t="s">
        <v>55</v>
      </c>
      <c r="M102" s="9" t="s">
        <v>64</v>
      </c>
      <c r="N102" s="9" t="s">
        <v>307</v>
      </c>
      <c r="O102" s="9">
        <v>27</v>
      </c>
      <c r="Y102" t="s">
        <v>118</v>
      </c>
      <c r="Z102">
        <f>(27*(0.0004*(5^3.43)))</f>
        <v>2.6970616288786107</v>
      </c>
      <c r="AA102">
        <f t="shared" si="2"/>
        <v>27</v>
      </c>
      <c r="AB102">
        <f t="shared" si="3"/>
        <v>0</v>
      </c>
    </row>
    <row r="103" spans="1:28">
      <c r="A103" s="6">
        <v>40017</v>
      </c>
      <c r="B103" s="9" t="s">
        <v>502</v>
      </c>
      <c r="C103" s="9" t="s">
        <v>302</v>
      </c>
      <c r="D103" s="9" t="s">
        <v>306</v>
      </c>
      <c r="E103" s="9" t="s">
        <v>505</v>
      </c>
      <c r="F103" s="7">
        <v>15</v>
      </c>
      <c r="G103">
        <v>8.1999999999999993</v>
      </c>
      <c r="H103">
        <v>3</v>
      </c>
      <c r="I103">
        <v>3</v>
      </c>
      <c r="J103" s="9" t="s">
        <v>404</v>
      </c>
      <c r="K103" s="9" t="s">
        <v>405</v>
      </c>
      <c r="L103" t="s">
        <v>170</v>
      </c>
      <c r="M103" t="s">
        <v>170</v>
      </c>
      <c r="N103" s="9" t="s">
        <v>409</v>
      </c>
      <c r="Q103">
        <v>1</v>
      </c>
      <c r="Z103">
        <f>(0*(0.0156*(7^3))+0*(0.0156*(8^3))+0*(0.0156*(9^3))+0*(0.0156*(10^3))+0*(0.0156*(12^3))+0*(0.0156*(12.5^3)))+(Q103*(0.0156*(17.5^3)))+(R103*(0.0156*(22.5^3)))+(S103*(0.0156*(27.5^3)))+(T103*(0.0156*(32.5^3)))+(U103*(0.0156*(37.5^3)))+(V103*(0.0156*(42.5^3)))+(W103*(0.0156*(27.5^3)))</f>
        <v>83.606250000000003</v>
      </c>
      <c r="AA103">
        <f t="shared" si="2"/>
        <v>1</v>
      </c>
      <c r="AB103">
        <f t="shared" si="3"/>
        <v>1</v>
      </c>
    </row>
    <row r="104" spans="1:28">
      <c r="A104" s="6">
        <v>40017</v>
      </c>
      <c r="B104" s="9" t="s">
        <v>502</v>
      </c>
      <c r="C104" s="9" t="s">
        <v>302</v>
      </c>
      <c r="D104" s="9" t="s">
        <v>306</v>
      </c>
      <c r="E104" s="9" t="s">
        <v>505</v>
      </c>
      <c r="F104" s="7">
        <v>15</v>
      </c>
      <c r="G104">
        <v>8.1999999999999993</v>
      </c>
      <c r="H104">
        <v>3</v>
      </c>
      <c r="I104">
        <v>3</v>
      </c>
      <c r="J104" s="9" t="s">
        <v>404</v>
      </c>
      <c r="K104" s="9" t="s">
        <v>405</v>
      </c>
      <c r="L104" s="9" t="s">
        <v>81</v>
      </c>
      <c r="M104" s="9" t="s">
        <v>202</v>
      </c>
      <c r="N104" s="9" t="s">
        <v>119</v>
      </c>
      <c r="P104">
        <v>1</v>
      </c>
      <c r="Z104">
        <f>(1*(0.0043*(14^3.018)))</f>
        <v>12.373223770999775</v>
      </c>
      <c r="AA104">
        <f t="shared" si="2"/>
        <v>1</v>
      </c>
      <c r="AB104">
        <f t="shared" si="3"/>
        <v>0</v>
      </c>
    </row>
    <row r="105" spans="1:28">
      <c r="A105" s="6">
        <v>40017</v>
      </c>
      <c r="B105" s="9" t="s">
        <v>502</v>
      </c>
      <c r="C105" s="9" t="s">
        <v>302</v>
      </c>
      <c r="D105" s="9" t="s">
        <v>306</v>
      </c>
      <c r="E105" s="9" t="s">
        <v>505</v>
      </c>
      <c r="F105" s="7">
        <v>15</v>
      </c>
      <c r="G105">
        <v>7.5</v>
      </c>
      <c r="H105">
        <v>4</v>
      </c>
      <c r="I105">
        <v>4</v>
      </c>
      <c r="J105" s="9" t="s">
        <v>404</v>
      </c>
      <c r="K105" s="9" t="s">
        <v>405</v>
      </c>
      <c r="L105" t="s">
        <v>252</v>
      </c>
      <c r="M105" t="s">
        <v>263</v>
      </c>
      <c r="N105" s="11" t="s">
        <v>211</v>
      </c>
      <c r="O105" s="11">
        <v>1</v>
      </c>
      <c r="P105" s="12">
        <v>1</v>
      </c>
      <c r="Q105" s="12"/>
      <c r="R105" s="12"/>
      <c r="S105" s="12"/>
      <c r="T105" s="12"/>
      <c r="U105" s="12"/>
      <c r="V105" s="12"/>
      <c r="Z105">
        <f>(P105*(0.0211*(12.5^3)))+(Q105*(0.0211*(17.5^3)))+(R105*(0.0211*(22.5^3)))+(S105*(0.0211*(27.5^3)))+(T105*(0.0211*(32.5^3)))+(U105*(0.0211*(37.5^3)))+(V105*(0.0211*(42.5^3)))+(W105*(0.0211*(27.5^3)))</f>
        <v>41.2109375</v>
      </c>
      <c r="AA105">
        <f t="shared" si="2"/>
        <v>2</v>
      </c>
      <c r="AB105">
        <f t="shared" si="3"/>
        <v>0</v>
      </c>
    </row>
    <row r="106" spans="1:28">
      <c r="A106" s="6">
        <v>40017</v>
      </c>
      <c r="B106" s="9" t="s">
        <v>502</v>
      </c>
      <c r="C106" s="9" t="s">
        <v>302</v>
      </c>
      <c r="D106" s="9" t="s">
        <v>306</v>
      </c>
      <c r="E106" s="9" t="s">
        <v>505</v>
      </c>
      <c r="F106" s="7">
        <v>15</v>
      </c>
      <c r="G106">
        <v>7.5</v>
      </c>
      <c r="H106">
        <v>4</v>
      </c>
      <c r="I106">
        <v>4</v>
      </c>
      <c r="J106" s="9" t="s">
        <v>404</v>
      </c>
      <c r="K106" s="9" t="s">
        <v>405</v>
      </c>
      <c r="L106" s="9" t="s">
        <v>77</v>
      </c>
      <c r="M106" t="s">
        <v>65</v>
      </c>
      <c r="N106" s="11" t="s">
        <v>407</v>
      </c>
      <c r="O106" s="11">
        <v>50</v>
      </c>
      <c r="P106" s="12"/>
      <c r="Q106" s="12"/>
      <c r="R106" s="12"/>
      <c r="S106" s="12"/>
      <c r="T106" s="12"/>
      <c r="U106" s="12"/>
      <c r="V106" s="12"/>
      <c r="Z106">
        <f>50*(0.0004*(5^3.43))</f>
        <v>4.9945585719974277</v>
      </c>
      <c r="AA106">
        <f t="shared" si="2"/>
        <v>50</v>
      </c>
      <c r="AB106">
        <f t="shared" si="3"/>
        <v>0</v>
      </c>
    </row>
    <row r="107" spans="1:28">
      <c r="A107" s="6">
        <v>40017</v>
      </c>
      <c r="B107" s="9" t="s">
        <v>502</v>
      </c>
      <c r="C107" s="9" t="s">
        <v>302</v>
      </c>
      <c r="D107" s="9" t="s">
        <v>306</v>
      </c>
      <c r="E107" s="9" t="s">
        <v>505</v>
      </c>
      <c r="F107" s="7">
        <v>15</v>
      </c>
      <c r="G107">
        <v>7.5</v>
      </c>
      <c r="H107">
        <v>4</v>
      </c>
      <c r="I107">
        <v>4</v>
      </c>
      <c r="J107" s="9" t="s">
        <v>404</v>
      </c>
      <c r="K107" s="9" t="s">
        <v>405</v>
      </c>
      <c r="L107" t="s">
        <v>170</v>
      </c>
      <c r="M107" t="s">
        <v>170</v>
      </c>
      <c r="N107" s="11" t="s">
        <v>406</v>
      </c>
      <c r="O107" s="12"/>
      <c r="P107" s="12"/>
      <c r="Q107" s="12"/>
      <c r="R107" s="12"/>
      <c r="S107" s="12">
        <v>1</v>
      </c>
      <c r="T107" s="12"/>
      <c r="U107" s="12"/>
      <c r="V107" s="12"/>
      <c r="Z107">
        <f>(0*(0.0156*(7^3))+0*(0.0156*(8^3))+0*(0.0156*(9^3))+0*(0.0156*(10^3))+0*(0.0156*(12^3))+0*(0.0156*(12.5^3)))+(Q107*(0.0156*(17.5^3)))+(R107*(0.0156*(22.5^3)))+(S107*(0.0156*(27.5^3)))+(T107*(0.0156*(32.5^3)))+(U107*(0.0156*(37.5^3)))+(V107*(0.0156*(42.5^3)))+(W107*(0.0156*(27.5^3)))</f>
        <v>324.43124999999998</v>
      </c>
      <c r="AA107">
        <f t="shared" si="2"/>
        <v>1</v>
      </c>
      <c r="AB107">
        <f t="shared" si="3"/>
        <v>1</v>
      </c>
    </row>
    <row r="108" spans="1:28">
      <c r="A108" s="6">
        <v>40017</v>
      </c>
      <c r="B108" s="9" t="s">
        <v>502</v>
      </c>
      <c r="C108" s="9" t="s">
        <v>302</v>
      </c>
      <c r="D108" s="9" t="s">
        <v>306</v>
      </c>
      <c r="E108" s="9" t="s">
        <v>505</v>
      </c>
      <c r="F108" s="7">
        <v>15</v>
      </c>
      <c r="G108">
        <v>7.5</v>
      </c>
      <c r="H108">
        <v>4</v>
      </c>
      <c r="I108">
        <v>4</v>
      </c>
      <c r="J108" s="9" t="s">
        <v>404</v>
      </c>
      <c r="K108" s="9" t="s">
        <v>405</v>
      </c>
      <c r="L108" t="s">
        <v>170</v>
      </c>
      <c r="M108" t="s">
        <v>170</v>
      </c>
      <c r="N108" s="11" t="s">
        <v>409</v>
      </c>
      <c r="O108" s="12"/>
      <c r="P108" s="12">
        <v>1</v>
      </c>
      <c r="Q108" s="12"/>
      <c r="R108" s="12">
        <v>1</v>
      </c>
      <c r="S108" s="12"/>
      <c r="T108" s="12"/>
      <c r="U108" s="12"/>
      <c r="V108" s="12"/>
      <c r="Z108">
        <f>(0*(0.0156*(7^3))+0*(0.0156*(8^3))+0*(0.0156*(9^3))+0*(0.0156*(10^3))+0*(0.0156*(12^3))+1*(0.0156*(12.5^3)))+(Q108*(0.0156*(17.5^3)))+(R108*(0.0156*(22.5^3)))+(S108*(0.0156*(27.5^3)))+(T108*(0.0156*(32.5^3)))+(U108*(0.0156*(37.5^3)))+(V108*(0.0156*(42.5^3)))+(W108*(0.0156*(27.5^3)))</f>
        <v>208.16249999999999</v>
      </c>
      <c r="AA108">
        <f t="shared" si="2"/>
        <v>2</v>
      </c>
      <c r="AB108">
        <f t="shared" si="3"/>
        <v>1</v>
      </c>
    </row>
    <row r="109" spans="1:28">
      <c r="A109" s="6">
        <v>40017</v>
      </c>
      <c r="B109" s="9" t="s">
        <v>502</v>
      </c>
      <c r="C109" s="9" t="s">
        <v>302</v>
      </c>
      <c r="D109" s="9" t="s">
        <v>306</v>
      </c>
      <c r="E109" s="9" t="s">
        <v>505</v>
      </c>
      <c r="F109" s="7">
        <v>15</v>
      </c>
      <c r="G109">
        <v>7.5</v>
      </c>
      <c r="H109">
        <v>4</v>
      </c>
      <c r="I109">
        <v>4</v>
      </c>
      <c r="J109" s="9" t="s">
        <v>404</v>
      </c>
      <c r="K109" s="9" t="s">
        <v>405</v>
      </c>
      <c r="L109" t="s">
        <v>199</v>
      </c>
      <c r="M109" t="s">
        <v>175</v>
      </c>
      <c r="N109" s="11" t="s">
        <v>38</v>
      </c>
      <c r="O109" s="12">
        <v>56</v>
      </c>
      <c r="P109" s="12"/>
      <c r="Q109" s="12"/>
      <c r="R109" s="12"/>
      <c r="S109" s="12"/>
      <c r="T109" s="12"/>
      <c r="U109" s="12"/>
      <c r="V109" s="12"/>
      <c r="Z109">
        <f>(56*(0.0175*(8^3))+P109*(0.0175*(12.5^3)))+(Q109*(0.0175*(17.5^3)))+(R109*(0.0175*(22.5^3)))+(S109*(0.0175*(27.5^3)))+(T109*(0.0175*(32.5^3)))+(U109*(0.0175*(37.5^3)))+(V109*(0.0175*(42.5^3)))+(W109*(0.0175*(27.5^3)))</f>
        <v>501.76000000000005</v>
      </c>
      <c r="AA109">
        <f t="shared" si="2"/>
        <v>56</v>
      </c>
      <c r="AB109">
        <f t="shared" si="3"/>
        <v>0</v>
      </c>
    </row>
    <row r="110" spans="1:28">
      <c r="A110" s="6">
        <v>40017</v>
      </c>
      <c r="B110" s="9" t="s">
        <v>502</v>
      </c>
      <c r="C110" s="9" t="s">
        <v>302</v>
      </c>
      <c r="D110" s="9" t="s">
        <v>306</v>
      </c>
      <c r="E110" s="9" t="s">
        <v>505</v>
      </c>
      <c r="F110" s="7">
        <v>15</v>
      </c>
      <c r="G110">
        <v>6</v>
      </c>
      <c r="H110">
        <v>5</v>
      </c>
      <c r="I110">
        <v>5</v>
      </c>
      <c r="J110" s="9" t="s">
        <v>404</v>
      </c>
      <c r="K110" s="9" t="s">
        <v>405</v>
      </c>
      <c r="L110" t="s">
        <v>252</v>
      </c>
      <c r="M110" t="s">
        <v>263</v>
      </c>
      <c r="N110" s="11" t="s">
        <v>211</v>
      </c>
      <c r="O110" s="12">
        <v>21</v>
      </c>
      <c r="P110" s="12">
        <v>22</v>
      </c>
      <c r="Q110">
        <v>2</v>
      </c>
      <c r="Y110" t="s">
        <v>124</v>
      </c>
      <c r="Z110">
        <f>(P110*(0.0211*(12.5^3)))+(Q110*(0.0211*(17.5^3)))+(R110*(0.0211*(22.5^3)))+(S110*(0.0211*(27.5^3)))+(T110*(0.0211*(32.5^3)))+(U110*(0.0211*(37.5^3)))+(V110*(0.0211*(42.5^3)))+(W110*(0.0211*(27.5^3)))</f>
        <v>1132.8062500000001</v>
      </c>
      <c r="AA110">
        <f t="shared" si="2"/>
        <v>45</v>
      </c>
      <c r="AB110">
        <f t="shared" si="3"/>
        <v>2</v>
      </c>
    </row>
    <row r="111" spans="1:28">
      <c r="A111" s="6">
        <v>40017</v>
      </c>
      <c r="B111" s="9" t="s">
        <v>502</v>
      </c>
      <c r="C111" s="9" t="s">
        <v>302</v>
      </c>
      <c r="D111" s="9" t="s">
        <v>306</v>
      </c>
      <c r="E111" s="9" t="s">
        <v>505</v>
      </c>
      <c r="F111" s="7">
        <v>15</v>
      </c>
      <c r="G111">
        <v>6</v>
      </c>
      <c r="H111">
        <v>5</v>
      </c>
      <c r="I111">
        <v>5</v>
      </c>
      <c r="J111" s="9" t="s">
        <v>404</v>
      </c>
      <c r="K111" s="9" t="s">
        <v>405</v>
      </c>
      <c r="L111" t="s">
        <v>199</v>
      </c>
      <c r="M111" t="s">
        <v>175</v>
      </c>
      <c r="N111" s="11" t="s">
        <v>38</v>
      </c>
      <c r="O111" s="12">
        <v>1</v>
      </c>
      <c r="Z111">
        <f>(1*(0.0175*(7^3))+P111*(0.0175*(12.5^3)))+(Q111*(0.0175*(17.5^3)))+(R111*(0.0175*(22.5^3)))+(S111*(0.0175*(27.5^3)))+(T111*(0.0175*(32.5^3)))+(U111*(0.0175*(37.5^3)))+(V111*(0.0175*(42.5^3)))+(W111*(0.0175*(27.5^3)))</f>
        <v>6.0025000000000004</v>
      </c>
      <c r="AA111">
        <f t="shared" si="2"/>
        <v>1</v>
      </c>
      <c r="AB111">
        <f t="shared" si="3"/>
        <v>0</v>
      </c>
    </row>
    <row r="112" spans="1:28">
      <c r="A112" s="6">
        <v>40017</v>
      </c>
      <c r="B112" s="9" t="s">
        <v>502</v>
      </c>
      <c r="C112" s="9" t="s">
        <v>302</v>
      </c>
      <c r="D112" s="9" t="s">
        <v>306</v>
      </c>
      <c r="E112" s="9" t="s">
        <v>505</v>
      </c>
      <c r="F112" s="7">
        <v>15</v>
      </c>
      <c r="G112">
        <v>6</v>
      </c>
      <c r="H112">
        <v>5</v>
      </c>
      <c r="I112">
        <v>5</v>
      </c>
      <c r="J112" s="9" t="s">
        <v>404</v>
      </c>
      <c r="K112" s="9" t="s">
        <v>405</v>
      </c>
      <c r="L112" t="s">
        <v>170</v>
      </c>
      <c r="M112" t="s">
        <v>170</v>
      </c>
      <c r="N112" s="11" t="s">
        <v>409</v>
      </c>
      <c r="O112" s="12"/>
      <c r="P112">
        <v>1</v>
      </c>
      <c r="Q112">
        <v>1</v>
      </c>
      <c r="Z112">
        <f>(0*(0.0156*(7^3))+0*(0.0156*(8^3))+0*(0.0156*(9^3))+0*(0.0156*(10^3))+0*(0.0156*(12^3))+1*(0.0156*(12.5^3)))+(Q112*(0.0156*(17.5^3)))+(R112*(0.0156*(22.5^3)))+(S112*(0.0156*(27.5^3)))+(T112*(0.0156*(32.5^3)))+(U112*(0.0156*(37.5^3)))+(V112*(0.0156*(42.5^3)))+(W112*(0.0156*(27.5^3)))</f>
        <v>114.075</v>
      </c>
      <c r="AA112">
        <f t="shared" si="2"/>
        <v>2</v>
      </c>
      <c r="AB112">
        <f t="shared" si="3"/>
        <v>1</v>
      </c>
    </row>
    <row r="113" spans="1:28">
      <c r="A113" s="6">
        <v>40017</v>
      </c>
      <c r="B113" s="9" t="s">
        <v>502</v>
      </c>
      <c r="C113" s="9" t="s">
        <v>302</v>
      </c>
      <c r="D113" s="9" t="s">
        <v>306</v>
      </c>
      <c r="E113" s="9" t="s">
        <v>505</v>
      </c>
      <c r="F113" s="7">
        <v>15</v>
      </c>
      <c r="G113">
        <v>6</v>
      </c>
      <c r="H113">
        <v>5</v>
      </c>
      <c r="I113">
        <v>5</v>
      </c>
      <c r="J113" s="9" t="s">
        <v>404</v>
      </c>
      <c r="K113" s="9" t="s">
        <v>405</v>
      </c>
      <c r="L113" t="s">
        <v>170</v>
      </c>
      <c r="M113" t="s">
        <v>170</v>
      </c>
      <c r="N113" s="11" t="s">
        <v>238</v>
      </c>
      <c r="O113" s="12">
        <v>1</v>
      </c>
      <c r="Z113">
        <f>(0*(0.0156*(7^3))+1*(0.0156*(8^3))+0*(0.0156*(9^3))+0*(0.0156*(10^3))+0*(0.0156*(12^3))+0*(0.0156*(12.5^3)))+(Q113*(0.0156*(17.5^3)))+(R113*(0.0156*(22.5^3)))+(S113*(0.0156*(27.5^3)))+(T113*(0.0156*(32.5^3)))+(U113*(0.0156*(37.5^3)))+(V113*(0.0156*(42.5^3)))+(W113*(0.0156*(27.5^3)))</f>
        <v>7.9871999999999996</v>
      </c>
      <c r="AA113">
        <f t="shared" si="2"/>
        <v>1</v>
      </c>
      <c r="AB113">
        <f t="shared" si="3"/>
        <v>0</v>
      </c>
    </row>
    <row r="114" spans="1:28">
      <c r="A114" s="6">
        <v>40017</v>
      </c>
      <c r="B114" s="9" t="s">
        <v>502</v>
      </c>
      <c r="C114" s="9" t="s">
        <v>302</v>
      </c>
      <c r="D114" s="9" t="s">
        <v>306</v>
      </c>
      <c r="E114" s="9" t="s">
        <v>505</v>
      </c>
      <c r="F114" s="7">
        <v>15</v>
      </c>
      <c r="G114">
        <v>5.9</v>
      </c>
      <c r="H114">
        <v>6</v>
      </c>
      <c r="I114">
        <v>6</v>
      </c>
      <c r="J114" s="9" t="s">
        <v>404</v>
      </c>
      <c r="K114" s="9" t="s">
        <v>405</v>
      </c>
      <c r="L114" t="s">
        <v>252</v>
      </c>
      <c r="M114" t="s">
        <v>263</v>
      </c>
      <c r="N114" s="11" t="s">
        <v>211</v>
      </c>
      <c r="O114" s="11">
        <v>49</v>
      </c>
      <c r="P114">
        <v>4</v>
      </c>
      <c r="Q114">
        <v>1</v>
      </c>
      <c r="Z114">
        <f>(P114*(0.0211*(12.5^3)))+(Q114*(0.0211*(17.5^3)))+(R114*(0.0211*(22.5^3)))+(S114*(0.0211*(27.5^3)))+(T114*(0.0211*(32.5^3)))+(U114*(0.0211*(37.5^3)))+(V114*(0.0211*(42.5^3)))+(W114*(0.0211*(27.5^3)))</f>
        <v>277.92656249999999</v>
      </c>
      <c r="AA114">
        <f t="shared" si="2"/>
        <v>54</v>
      </c>
      <c r="AB114">
        <f t="shared" si="3"/>
        <v>1</v>
      </c>
    </row>
    <row r="115" spans="1:28">
      <c r="A115" s="6">
        <v>40017</v>
      </c>
      <c r="B115" s="9" t="s">
        <v>502</v>
      </c>
      <c r="C115" s="9" t="s">
        <v>302</v>
      </c>
      <c r="D115" s="9" t="s">
        <v>306</v>
      </c>
      <c r="E115" s="9" t="s">
        <v>505</v>
      </c>
      <c r="F115" s="7">
        <v>15</v>
      </c>
      <c r="G115">
        <v>5.9</v>
      </c>
      <c r="H115">
        <v>6</v>
      </c>
      <c r="I115">
        <v>6</v>
      </c>
      <c r="J115" s="9" t="s">
        <v>404</v>
      </c>
      <c r="K115" s="9" t="s">
        <v>405</v>
      </c>
      <c r="L115" t="s">
        <v>170</v>
      </c>
      <c r="M115" t="s">
        <v>170</v>
      </c>
      <c r="N115" s="11" t="s">
        <v>406</v>
      </c>
      <c r="R115">
        <v>1</v>
      </c>
      <c r="Z115">
        <f>(0*(0.0156*(7^3))+0*(0.0156*(8^3))+0*(0.0156*(9^3))+0*(0.0156*(10^3))+0*(0.0156*(12^3))+0*(0.0156*(12.5^3)))+(Q115*(0.0156*(17.5^3)))+(R115*(0.0156*(22.5^3)))+(S115*(0.0156*(27.5^3)))+(T115*(0.0156*(32.5^3)))+(U115*(0.0156*(37.5^3)))+(V115*(0.0156*(42.5^3)))+(W115*(0.0156*(27.5^3)))</f>
        <v>177.69374999999999</v>
      </c>
      <c r="AA115">
        <f t="shared" si="2"/>
        <v>1</v>
      </c>
      <c r="AB115">
        <f t="shared" si="3"/>
        <v>1</v>
      </c>
    </row>
    <row r="116" spans="1:28">
      <c r="A116" s="6">
        <v>40017</v>
      </c>
      <c r="B116" s="9" t="s">
        <v>502</v>
      </c>
      <c r="C116" s="9" t="s">
        <v>302</v>
      </c>
      <c r="D116" s="9" t="s">
        <v>306</v>
      </c>
      <c r="E116" s="9" t="s">
        <v>505</v>
      </c>
      <c r="F116" s="7">
        <v>15</v>
      </c>
      <c r="G116">
        <v>5.9</v>
      </c>
      <c r="H116">
        <v>6</v>
      </c>
      <c r="I116">
        <v>6</v>
      </c>
      <c r="J116" s="9" t="s">
        <v>404</v>
      </c>
      <c r="K116" s="9" t="s">
        <v>405</v>
      </c>
      <c r="L116" t="s">
        <v>170</v>
      </c>
      <c r="M116" t="s">
        <v>170</v>
      </c>
      <c r="N116" s="11" t="s">
        <v>238</v>
      </c>
      <c r="O116">
        <v>1</v>
      </c>
      <c r="P116">
        <v>1</v>
      </c>
      <c r="Z116">
        <f>(0*(0.0156*(7^3))+0*(0.0156*(8^3))+1*(0.0156*(9^3))+0*(0.0156*(10^3))+0*(0.0156*(12^3))+1*(0.0156*(12.5^3)))+(Q116*(0.0156*(17.5^3)))+(R116*(0.0156*(22.5^3)))+(S116*(0.0156*(27.5^3)))+(T116*(0.0156*(32.5^3)))+(U116*(0.0156*(37.5^3)))+(V116*(0.0156*(42.5^3)))+(W116*(0.0156*(27.5^3)))</f>
        <v>41.841149999999999</v>
      </c>
      <c r="AA116">
        <f t="shared" si="2"/>
        <v>2</v>
      </c>
      <c r="AB116">
        <f t="shared" si="3"/>
        <v>0</v>
      </c>
    </row>
    <row r="117" spans="1:28">
      <c r="A117" s="6">
        <v>40018</v>
      </c>
      <c r="B117" s="9" t="s">
        <v>502</v>
      </c>
      <c r="C117" s="9" t="s">
        <v>186</v>
      </c>
      <c r="D117" s="9" t="s">
        <v>187</v>
      </c>
      <c r="E117" s="9" t="s">
        <v>505</v>
      </c>
      <c r="F117" s="7">
        <v>20</v>
      </c>
      <c r="G117" t="s">
        <v>188</v>
      </c>
      <c r="H117">
        <v>1</v>
      </c>
      <c r="I117">
        <v>1</v>
      </c>
      <c r="J117" s="9" t="s">
        <v>404</v>
      </c>
      <c r="K117" s="9" t="s">
        <v>405</v>
      </c>
      <c r="L117" t="s">
        <v>170</v>
      </c>
      <c r="M117" t="s">
        <v>170</v>
      </c>
      <c r="N117" s="11" t="s">
        <v>406</v>
      </c>
      <c r="S117">
        <v>1</v>
      </c>
      <c r="Z117">
        <f>(0*(0.0156*(7^3))+0*(0.0156*(8^3))+0*(0.0156*(9^3))+0*(0.0156*(10^3))+0*(0.0156*(12^3))+0*(0.0156*(12.5^3)))+(Q117*(0.0156*(17.5^3)))+(R117*(0.0156*(22.5^3)))+(S117*(0.0156*(27.5^3)))+(T117*(0.0156*(32.5^3)))+(U117*(0.0156*(37.5^3)))+(V117*(0.0156*(42.5^3)))+(W117*(0.0156*(27.5^3)))</f>
        <v>324.43124999999998</v>
      </c>
      <c r="AA117">
        <f t="shared" si="2"/>
        <v>1</v>
      </c>
      <c r="AB117">
        <f t="shared" si="3"/>
        <v>1</v>
      </c>
    </row>
    <row r="118" spans="1:28">
      <c r="A118" s="6">
        <v>40018</v>
      </c>
      <c r="B118" s="9" t="s">
        <v>502</v>
      </c>
      <c r="C118" s="9" t="s">
        <v>186</v>
      </c>
      <c r="D118" s="9" t="s">
        <v>187</v>
      </c>
      <c r="E118" s="9" t="s">
        <v>505</v>
      </c>
      <c r="F118" s="7">
        <v>20</v>
      </c>
      <c r="G118" t="s">
        <v>188</v>
      </c>
      <c r="H118">
        <v>1</v>
      </c>
      <c r="I118">
        <v>1</v>
      </c>
      <c r="J118" s="9" t="s">
        <v>404</v>
      </c>
      <c r="K118" s="9" t="s">
        <v>405</v>
      </c>
      <c r="L118" t="s">
        <v>174</v>
      </c>
      <c r="M118" t="s">
        <v>174</v>
      </c>
      <c r="N118" s="11" t="s">
        <v>210</v>
      </c>
      <c r="S118">
        <v>1</v>
      </c>
      <c r="T118">
        <v>1</v>
      </c>
      <c r="Z118">
        <f>(S118*(0.013*(27.5^3)))+(T118*(0.013*(32.5^3)))</f>
        <v>716.625</v>
      </c>
      <c r="AA118">
        <f t="shared" si="2"/>
        <v>2</v>
      </c>
      <c r="AB118">
        <f t="shared" si="3"/>
        <v>2</v>
      </c>
    </row>
    <row r="119" spans="1:28">
      <c r="A119" s="6">
        <v>40018</v>
      </c>
      <c r="B119" s="9" t="s">
        <v>502</v>
      </c>
      <c r="C119" s="9" t="s">
        <v>186</v>
      </c>
      <c r="D119" s="9" t="s">
        <v>187</v>
      </c>
      <c r="E119" s="9" t="s">
        <v>505</v>
      </c>
      <c r="F119" s="7">
        <v>20</v>
      </c>
      <c r="G119" t="s">
        <v>188</v>
      </c>
      <c r="H119">
        <v>1</v>
      </c>
      <c r="I119">
        <v>1</v>
      </c>
      <c r="J119" s="9" t="s">
        <v>404</v>
      </c>
      <c r="K119" s="9" t="s">
        <v>405</v>
      </c>
      <c r="L119" t="s">
        <v>170</v>
      </c>
      <c r="M119" t="s">
        <v>170</v>
      </c>
      <c r="N119" s="11" t="s">
        <v>409</v>
      </c>
      <c r="R119">
        <v>1</v>
      </c>
      <c r="S119">
        <v>2</v>
      </c>
      <c r="Z119">
        <f>(0*(0.0156*(7^3))+0*(0.0156*(8^3))+0*(0.0156*(9^3))+0*(0.0156*(10^3))+0*(0.0156*(12^3))+0*(0.0156*(12.5^3)))+(Q119*(0.0156*(17.5^3)))+(R119*(0.0156*(22.5^3)))+(S119*(0.0156*(27.5^3)))+(T119*(0.0156*(32.5^3)))+(U119*(0.0156*(37.5^3)))+(V119*(0.0156*(42.5^3)))+(W119*(0.0156*(27.5^3)))</f>
        <v>826.55624999999998</v>
      </c>
      <c r="AA119">
        <f t="shared" si="2"/>
        <v>3</v>
      </c>
      <c r="AB119">
        <f t="shared" si="3"/>
        <v>3</v>
      </c>
    </row>
    <row r="120" spans="1:28">
      <c r="A120" s="6">
        <v>40018</v>
      </c>
      <c r="B120" s="9" t="s">
        <v>502</v>
      </c>
      <c r="C120" s="9" t="s">
        <v>186</v>
      </c>
      <c r="D120" s="9" t="s">
        <v>187</v>
      </c>
      <c r="E120" s="9" t="s">
        <v>505</v>
      </c>
      <c r="F120" s="7">
        <v>20</v>
      </c>
      <c r="G120" t="s">
        <v>188</v>
      </c>
      <c r="H120">
        <v>1</v>
      </c>
      <c r="I120">
        <v>1</v>
      </c>
      <c r="J120" s="9" t="s">
        <v>404</v>
      </c>
      <c r="K120" s="9" t="s">
        <v>405</v>
      </c>
      <c r="L120" t="s">
        <v>170</v>
      </c>
      <c r="M120" t="s">
        <v>170</v>
      </c>
      <c r="N120" s="11" t="s">
        <v>238</v>
      </c>
      <c r="P120">
        <v>5</v>
      </c>
      <c r="Z120">
        <f>(0*(0.0156*(7^3))+0*(0.0156*(8^3))+0*(0.0156*(9^3))+0*(0.0156*(10^3))+0*(0.0156*(12^3))+5*(0.0156*(12.5^3)))+(Q120*(0.0156*(17.5^3)))+(R120*(0.0156*(22.5^3)))+(S120*(0.0156*(27.5^3)))+(T120*(0.0156*(32.5^3)))+(U120*(0.0156*(37.5^3)))+(V120*(0.0156*(42.5^3)))+(W120*(0.0156*(27.5^3)))</f>
        <v>152.34375</v>
      </c>
      <c r="AA120">
        <f t="shared" si="2"/>
        <v>5</v>
      </c>
      <c r="AB120">
        <f t="shared" si="3"/>
        <v>0</v>
      </c>
    </row>
    <row r="121" spans="1:28">
      <c r="A121" s="6">
        <v>40018</v>
      </c>
      <c r="B121" s="9" t="s">
        <v>502</v>
      </c>
      <c r="C121" s="9" t="s">
        <v>186</v>
      </c>
      <c r="D121" s="9" t="s">
        <v>187</v>
      </c>
      <c r="E121" s="9" t="s">
        <v>505</v>
      </c>
      <c r="F121" s="7">
        <v>20</v>
      </c>
      <c r="G121" t="s">
        <v>188</v>
      </c>
      <c r="H121">
        <v>1</v>
      </c>
      <c r="I121">
        <v>1</v>
      </c>
      <c r="J121" s="9" t="s">
        <v>404</v>
      </c>
      <c r="K121" s="9" t="s">
        <v>405</v>
      </c>
      <c r="L121" s="9" t="s">
        <v>54</v>
      </c>
      <c r="M121" s="9" t="s">
        <v>60</v>
      </c>
      <c r="N121" s="11" t="s">
        <v>304</v>
      </c>
      <c r="O121" s="12">
        <v>8</v>
      </c>
      <c r="P121">
        <v>1</v>
      </c>
      <c r="Q121">
        <v>1</v>
      </c>
      <c r="S121">
        <v>1</v>
      </c>
      <c r="Z121">
        <f>(1*(0.0000055*(80^3.185)))+(1*(0.0000055*(110^3.185)))+(Q121*(0.0000055*(175^3.185)))+(S121*(0.0000055*(275^3.185)))</f>
        <v>423.76118373838494</v>
      </c>
      <c r="AA121">
        <f t="shared" si="2"/>
        <v>11</v>
      </c>
      <c r="AB121">
        <f t="shared" si="3"/>
        <v>2</v>
      </c>
    </row>
    <row r="122" spans="1:28">
      <c r="A122" s="6">
        <v>40018</v>
      </c>
      <c r="B122" s="9" t="s">
        <v>502</v>
      </c>
      <c r="C122" s="9" t="s">
        <v>186</v>
      </c>
      <c r="D122" s="9" t="s">
        <v>13</v>
      </c>
      <c r="E122" s="9" t="s">
        <v>505</v>
      </c>
      <c r="F122" s="8" t="s">
        <v>14</v>
      </c>
      <c r="G122" t="s">
        <v>15</v>
      </c>
      <c r="H122">
        <v>2</v>
      </c>
      <c r="I122">
        <v>2</v>
      </c>
      <c r="J122" s="9" t="s">
        <v>404</v>
      </c>
      <c r="K122" s="9" t="s">
        <v>405</v>
      </c>
      <c r="L122" t="s">
        <v>170</v>
      </c>
      <c r="M122" t="s">
        <v>170</v>
      </c>
      <c r="N122" s="11" t="s">
        <v>409</v>
      </c>
      <c r="Q122">
        <v>1</v>
      </c>
      <c r="R122">
        <v>1</v>
      </c>
      <c r="U122">
        <v>1</v>
      </c>
      <c r="Z122">
        <f>(0*(0.0156*(7^3))+0*(0.0156*(8^3))+0*(0.0156*(9^3))+0*(0.0156*(10^3))+0*(0.0156*(12^3))+0*(0.0156*(12.5^3)))+(Q122*(0.0156*(17.5^3)))+(R122*(0.0156*(22.5^3)))+(S122*(0.0156*(27.5^3)))+(T122*(0.0156*(32.5^3)))+(U122*(0.0156*(37.5^3)))+(V122*(0.0156*(42.5^3)))+(W122*(0.0156*(27.5^3)))</f>
        <v>1083.95625</v>
      </c>
      <c r="AA122">
        <f t="shared" si="2"/>
        <v>3</v>
      </c>
      <c r="AB122">
        <f t="shared" si="3"/>
        <v>3</v>
      </c>
    </row>
    <row r="123" spans="1:28">
      <c r="A123" s="6">
        <v>40018</v>
      </c>
      <c r="B123" s="9" t="s">
        <v>502</v>
      </c>
      <c r="C123" s="9" t="s">
        <v>186</v>
      </c>
      <c r="D123" s="9" t="s">
        <v>13</v>
      </c>
      <c r="E123" s="9" t="s">
        <v>505</v>
      </c>
      <c r="F123" s="8" t="s">
        <v>14</v>
      </c>
      <c r="G123" t="s">
        <v>15</v>
      </c>
      <c r="H123">
        <v>2</v>
      </c>
      <c r="I123">
        <v>2</v>
      </c>
      <c r="J123" s="9" t="s">
        <v>404</v>
      </c>
      <c r="K123" s="9" t="s">
        <v>405</v>
      </c>
      <c r="L123" s="9" t="s">
        <v>83</v>
      </c>
      <c r="M123" t="s">
        <v>60</v>
      </c>
      <c r="N123" s="11" t="s">
        <v>448</v>
      </c>
      <c r="Q123">
        <v>1</v>
      </c>
      <c r="Z123">
        <f>(1*(0.0000055*(175^3.185)))</f>
        <v>76.637066856170094</v>
      </c>
      <c r="AA123">
        <f t="shared" si="2"/>
        <v>1</v>
      </c>
      <c r="AB123">
        <f t="shared" si="3"/>
        <v>1</v>
      </c>
    </row>
    <row r="124" spans="1:28">
      <c r="A124" s="6">
        <v>40018</v>
      </c>
      <c r="B124" s="9" t="s">
        <v>502</v>
      </c>
      <c r="C124" s="9" t="s">
        <v>186</v>
      </c>
      <c r="D124" s="9" t="s">
        <v>13</v>
      </c>
      <c r="E124" s="9" t="s">
        <v>505</v>
      </c>
      <c r="F124" s="8" t="s">
        <v>14</v>
      </c>
      <c r="G124" t="s">
        <v>15</v>
      </c>
      <c r="H124">
        <v>2</v>
      </c>
      <c r="I124">
        <v>2</v>
      </c>
      <c r="J124" s="9" t="s">
        <v>404</v>
      </c>
      <c r="K124" s="9" t="s">
        <v>405</v>
      </c>
      <c r="L124" t="s">
        <v>170</v>
      </c>
      <c r="M124" t="s">
        <v>170</v>
      </c>
      <c r="N124" s="11" t="s">
        <v>238</v>
      </c>
      <c r="O124">
        <v>2</v>
      </c>
      <c r="P124">
        <v>1</v>
      </c>
      <c r="Z124">
        <f>(1*(0.0156*(6^3))+1*(0.0156*(8^3))+0*(0.0156*(9^3))+1*(0.0156*(10^3))+0*(0.0156*(12^3))+0*(0.0156*(12.5^3)))+(Q124*(0.0156*(17.5^3)))+(R124*(0.0156*(22.5^3)))+(S124*(0.0156*(27.5^3)))+(T124*(0.0156*(32.5^3)))+(U124*(0.0156*(37.5^3)))+(V124*(0.0156*(42.5^3)))+(W124*(0.0156*(27.5^3)))</f>
        <v>26.956800000000001</v>
      </c>
      <c r="AA124">
        <f t="shared" si="2"/>
        <v>3</v>
      </c>
      <c r="AB124">
        <f t="shared" si="3"/>
        <v>0</v>
      </c>
    </row>
    <row r="125" spans="1:28">
      <c r="A125" s="6">
        <v>40018</v>
      </c>
      <c r="B125" s="9" t="s">
        <v>502</v>
      </c>
      <c r="C125" s="9" t="s">
        <v>186</v>
      </c>
      <c r="D125" s="9" t="s">
        <v>13</v>
      </c>
      <c r="E125" s="9" t="s">
        <v>505</v>
      </c>
      <c r="F125" s="8" t="s">
        <v>14</v>
      </c>
      <c r="G125" t="s">
        <v>15</v>
      </c>
      <c r="H125">
        <v>2</v>
      </c>
      <c r="I125">
        <v>2</v>
      </c>
      <c r="J125" s="9" t="s">
        <v>404</v>
      </c>
      <c r="K125" s="9" t="s">
        <v>405</v>
      </c>
      <c r="L125" s="9" t="s">
        <v>77</v>
      </c>
      <c r="M125" t="s">
        <v>65</v>
      </c>
      <c r="N125" s="11" t="s">
        <v>407</v>
      </c>
      <c r="O125">
        <v>8</v>
      </c>
      <c r="Z125">
        <f>1*(0.0004*(8^3.43))</f>
        <v>0.50079345774267114</v>
      </c>
      <c r="AA125">
        <f t="shared" si="2"/>
        <v>8</v>
      </c>
      <c r="AB125">
        <f t="shared" si="3"/>
        <v>0</v>
      </c>
    </row>
    <row r="126" spans="1:28">
      <c r="A126" s="6">
        <v>40018</v>
      </c>
      <c r="B126" s="9" t="s">
        <v>502</v>
      </c>
      <c r="C126" s="9" t="s">
        <v>186</v>
      </c>
      <c r="D126" s="9" t="s">
        <v>13</v>
      </c>
      <c r="E126" s="9" t="s">
        <v>505</v>
      </c>
      <c r="F126" s="8" t="s">
        <v>14</v>
      </c>
      <c r="G126" t="s">
        <v>17</v>
      </c>
      <c r="H126">
        <v>3</v>
      </c>
      <c r="I126">
        <v>3</v>
      </c>
      <c r="J126" s="9" t="s">
        <v>404</v>
      </c>
      <c r="K126" s="9" t="s">
        <v>405</v>
      </c>
      <c r="L126" t="s">
        <v>170</v>
      </c>
      <c r="M126" t="s">
        <v>170</v>
      </c>
      <c r="N126" s="11" t="s">
        <v>238</v>
      </c>
      <c r="O126" s="11">
        <v>2</v>
      </c>
      <c r="Z126">
        <f>(0*(0.0156*(7^3))+1*(0.0156*(8^3))+1*(0.0156*(9^3))+0*(0.0156*(10^3))+0*(0.0156*(12^3))+0*(0.0156*(12.5^3)))+(Q126*(0.0156*(17.5^3)))+(R126*(0.0156*(22.5^3)))+(S126*(0.0156*(27.5^3)))+(T126*(0.0156*(32.5^3)))+(U126*(0.0156*(37.5^3)))+(V126*(0.0156*(42.5^3)))+(W126*(0.0156*(27.5^3)))</f>
        <v>19.3596</v>
      </c>
      <c r="AA126">
        <f t="shared" si="2"/>
        <v>2</v>
      </c>
      <c r="AB126">
        <f t="shared" si="3"/>
        <v>0</v>
      </c>
    </row>
    <row r="127" spans="1:28">
      <c r="A127" s="6">
        <v>40018</v>
      </c>
      <c r="B127" s="9" t="s">
        <v>502</v>
      </c>
      <c r="C127" s="9" t="s">
        <v>186</v>
      </c>
      <c r="D127" s="9" t="s">
        <v>13</v>
      </c>
      <c r="E127" s="9" t="s">
        <v>505</v>
      </c>
      <c r="F127" s="8" t="s">
        <v>14</v>
      </c>
      <c r="G127" t="s">
        <v>17</v>
      </c>
      <c r="H127">
        <v>3</v>
      </c>
      <c r="I127">
        <v>3</v>
      </c>
      <c r="J127" s="9" t="s">
        <v>404</v>
      </c>
      <c r="K127" s="9" t="s">
        <v>405</v>
      </c>
      <c r="L127" t="s">
        <v>170</v>
      </c>
      <c r="M127" t="s">
        <v>170</v>
      </c>
      <c r="N127" s="11" t="s">
        <v>409</v>
      </c>
      <c r="P127">
        <v>2</v>
      </c>
      <c r="Z127">
        <f>(0*(0.0156*(7^3))+0*(0.0156*(8^3))+0*(0.0156*(9^3))+0*(0.0156*(10^3))+0*(0.0156*(12^3))+2*(0.0156*(12.5^3)))+(Q127*(0.0156*(17.5^3)))+(R127*(0.0156*(22.5^3)))+(S127*(0.0156*(27.5^3)))+(T127*(0.0156*(32.5^3)))+(U127*(0.0156*(37.5^3)))+(V127*(0.0156*(42.5^3)))+(W127*(0.0156*(27.5^3)))</f>
        <v>60.9375</v>
      </c>
      <c r="AA127">
        <f t="shared" si="2"/>
        <v>2</v>
      </c>
      <c r="AB127">
        <f t="shared" si="3"/>
        <v>0</v>
      </c>
    </row>
    <row r="128" spans="1:28">
      <c r="A128" s="6">
        <v>40018</v>
      </c>
      <c r="B128" s="9" t="s">
        <v>502</v>
      </c>
      <c r="C128" s="9" t="s">
        <v>186</v>
      </c>
      <c r="D128" s="9" t="s">
        <v>13</v>
      </c>
      <c r="E128" s="9" t="s">
        <v>505</v>
      </c>
      <c r="F128" s="8" t="s">
        <v>14</v>
      </c>
      <c r="G128" t="s">
        <v>17</v>
      </c>
      <c r="H128">
        <v>3</v>
      </c>
      <c r="I128">
        <v>3</v>
      </c>
      <c r="J128" s="9" t="s">
        <v>404</v>
      </c>
      <c r="K128" s="9" t="s">
        <v>405</v>
      </c>
      <c r="L128" t="s">
        <v>174</v>
      </c>
      <c r="M128" t="s">
        <v>174</v>
      </c>
      <c r="N128" s="11" t="s">
        <v>210</v>
      </c>
      <c r="U128">
        <v>1</v>
      </c>
      <c r="Z128">
        <f>(U128*(0.013*(37.5^3)))</f>
        <v>685.546875</v>
      </c>
      <c r="AA128">
        <f t="shared" si="2"/>
        <v>1</v>
      </c>
      <c r="AB128">
        <f t="shared" si="3"/>
        <v>1</v>
      </c>
    </row>
    <row r="129" spans="1:28">
      <c r="A129" s="6">
        <v>40018</v>
      </c>
      <c r="B129" s="9" t="s">
        <v>502</v>
      </c>
      <c r="C129" s="9" t="s">
        <v>186</v>
      </c>
      <c r="D129" s="9" t="s">
        <v>13</v>
      </c>
      <c r="E129" s="9" t="s">
        <v>18</v>
      </c>
      <c r="G129" s="7" t="s">
        <v>136</v>
      </c>
      <c r="H129">
        <v>4</v>
      </c>
      <c r="I129">
        <v>4</v>
      </c>
      <c r="J129" s="9" t="s">
        <v>404</v>
      </c>
      <c r="K129" s="9" t="s">
        <v>405</v>
      </c>
      <c r="L129" t="s">
        <v>170</v>
      </c>
      <c r="M129" t="s">
        <v>170</v>
      </c>
      <c r="N129" s="11" t="s">
        <v>406</v>
      </c>
      <c r="R129">
        <v>1</v>
      </c>
      <c r="Z129">
        <f>(0*(0.0156*(7^3))+0*(0.0156*(8^3))+0*(0.0156*(9^3))+0*(0.0156*(10^3))+0*(0.0156*(12^3))+0*(0.0156*(12.5^3)))+(Q129*(0.0156*(17.5^3)))+(R129*(0.0156*(22.5^3)))+(S129*(0.0156*(27.5^3)))+(T129*(0.0156*(32.5^3)))+(U129*(0.0156*(37.5^3)))+(V129*(0.0156*(42.5^3)))+(W129*(0.0156*(27.5^3)))</f>
        <v>177.69374999999999</v>
      </c>
      <c r="AA129">
        <f t="shared" si="2"/>
        <v>1</v>
      </c>
      <c r="AB129">
        <f t="shared" si="3"/>
        <v>1</v>
      </c>
    </row>
    <row r="130" spans="1:28">
      <c r="A130" s="6">
        <v>40018</v>
      </c>
      <c r="B130" s="9" t="s">
        <v>502</v>
      </c>
      <c r="C130" s="9" t="s">
        <v>186</v>
      </c>
      <c r="D130" s="9" t="s">
        <v>13</v>
      </c>
      <c r="E130" s="9" t="s">
        <v>18</v>
      </c>
      <c r="G130" s="7" t="s">
        <v>136</v>
      </c>
      <c r="H130">
        <v>4</v>
      </c>
      <c r="I130">
        <v>4</v>
      </c>
      <c r="J130" s="9" t="s">
        <v>404</v>
      </c>
      <c r="K130" s="9" t="s">
        <v>405</v>
      </c>
      <c r="L130" t="s">
        <v>170</v>
      </c>
      <c r="M130" t="s">
        <v>170</v>
      </c>
      <c r="N130" s="11" t="s">
        <v>409</v>
      </c>
      <c r="Q130">
        <v>1</v>
      </c>
      <c r="S130">
        <v>1</v>
      </c>
      <c r="T130">
        <v>1</v>
      </c>
      <c r="Z130">
        <f>(0*(0.0156*(7^3))+0*(0.0156*(8^3))+0*(0.0156*(9^3))+0*(0.0156*(10^3))+0*(0.0156*(12^3))+0*(0.0156*(12.5^3)))+(Q130*(0.0156*(17.5^3)))+(R130*(0.0156*(22.5^3)))+(S130*(0.0156*(27.5^3)))+(T130*(0.0156*(32.5^3)))+(U130*(0.0156*(37.5^3)))+(V130*(0.0156*(42.5^3)))+(W130*(0.0156*(27.5^3)))</f>
        <v>943.55624999999986</v>
      </c>
      <c r="AA130">
        <f t="shared" si="2"/>
        <v>3</v>
      </c>
      <c r="AB130">
        <f t="shared" si="3"/>
        <v>3</v>
      </c>
    </row>
    <row r="131" spans="1:28">
      <c r="A131" s="6">
        <v>40018</v>
      </c>
      <c r="B131" s="9" t="s">
        <v>502</v>
      </c>
      <c r="C131" s="9" t="s">
        <v>186</v>
      </c>
      <c r="D131" s="9" t="s">
        <v>13</v>
      </c>
      <c r="E131" s="9" t="s">
        <v>18</v>
      </c>
      <c r="G131" s="7" t="s">
        <v>136</v>
      </c>
      <c r="H131">
        <v>4</v>
      </c>
      <c r="I131">
        <v>4</v>
      </c>
      <c r="J131" s="9" t="s">
        <v>404</v>
      </c>
      <c r="K131" s="9" t="s">
        <v>405</v>
      </c>
      <c r="L131" s="9" t="s">
        <v>107</v>
      </c>
      <c r="M131" s="9" t="s">
        <v>202</v>
      </c>
      <c r="N131" s="11" t="s">
        <v>335</v>
      </c>
      <c r="R131">
        <v>1</v>
      </c>
      <c r="Z131">
        <f>(R131*(0.0043*(22.5^3.018)))</f>
        <v>51.803045807752774</v>
      </c>
      <c r="AA131">
        <f t="shared" ref="AA131:AA194" si="4">SUM(O131:X131)</f>
        <v>1</v>
      </c>
      <c r="AB131">
        <f t="shared" ref="AB131:AB194" si="5">SUM(Q131:X131)</f>
        <v>1</v>
      </c>
    </row>
    <row r="132" spans="1:28">
      <c r="A132" s="6">
        <v>40043</v>
      </c>
      <c r="B132" t="s">
        <v>336</v>
      </c>
      <c r="C132" t="s">
        <v>638</v>
      </c>
      <c r="D132" t="s">
        <v>338</v>
      </c>
      <c r="E132" t="s">
        <v>339</v>
      </c>
      <c r="G132" t="s">
        <v>340</v>
      </c>
      <c r="H132">
        <v>1</v>
      </c>
      <c r="I132">
        <v>1</v>
      </c>
      <c r="J132" t="s">
        <v>545</v>
      </c>
      <c r="K132" t="s">
        <v>546</v>
      </c>
      <c r="L132" t="s">
        <v>170</v>
      </c>
      <c r="M132" t="s">
        <v>170</v>
      </c>
      <c r="N132" t="s">
        <v>547</v>
      </c>
      <c r="R132">
        <v>1</v>
      </c>
      <c r="S132">
        <v>1</v>
      </c>
      <c r="T132">
        <v>1</v>
      </c>
      <c r="Z132">
        <f>(0*(0.0156*(7^3))+0*(0.0156*(8^3))+0*(0.0156*(9^3))+0*(0.0156*(10^3))+0*(0.0156*(12^3))+0*(0.0156*(12.5^3)))+(Q132*(0.0156*(17.5^3)))+(R132*(0.0156*(22.5^3)))+(S132*(0.0156*(27.5^3)))+(T132*(0.0156*(32.5^3)))+(U132*(0.0156*(37.5^3)))+(V132*(0.0156*(42.5^3)))+(W132*(0.0156*(27.5^3)))</f>
        <v>1037.64375</v>
      </c>
      <c r="AA132">
        <f t="shared" si="4"/>
        <v>3</v>
      </c>
      <c r="AB132">
        <f t="shared" si="5"/>
        <v>3</v>
      </c>
    </row>
    <row r="133" spans="1:28">
      <c r="A133" s="6">
        <v>40043</v>
      </c>
      <c r="B133" t="s">
        <v>548</v>
      </c>
      <c r="C133" t="s">
        <v>638</v>
      </c>
      <c r="D133" t="s">
        <v>549</v>
      </c>
      <c r="E133" t="s">
        <v>339</v>
      </c>
      <c r="G133" t="s">
        <v>813</v>
      </c>
      <c r="H133">
        <v>1</v>
      </c>
      <c r="I133">
        <v>1</v>
      </c>
      <c r="J133" t="s">
        <v>552</v>
      </c>
      <c r="K133" t="s">
        <v>546</v>
      </c>
      <c r="L133" t="s">
        <v>177</v>
      </c>
      <c r="M133" t="s">
        <v>202</v>
      </c>
      <c r="N133" t="s">
        <v>553</v>
      </c>
      <c r="O133">
        <v>2</v>
      </c>
      <c r="Z133">
        <f>(2*(0.009*(50^3.06)))/1000</f>
        <v>2.8452518760507912</v>
      </c>
      <c r="AA133">
        <f t="shared" si="4"/>
        <v>2</v>
      </c>
      <c r="AB133">
        <f t="shared" si="5"/>
        <v>0</v>
      </c>
    </row>
    <row r="134" spans="1:28">
      <c r="A134" s="6">
        <v>40043</v>
      </c>
      <c r="B134" t="s">
        <v>548</v>
      </c>
      <c r="C134" t="s">
        <v>638</v>
      </c>
      <c r="D134" t="s">
        <v>555</v>
      </c>
      <c r="E134" t="s">
        <v>556</v>
      </c>
      <c r="G134" t="s">
        <v>557</v>
      </c>
      <c r="H134">
        <v>1</v>
      </c>
      <c r="I134">
        <v>1</v>
      </c>
      <c r="J134" t="s">
        <v>558</v>
      </c>
      <c r="K134" t="s">
        <v>546</v>
      </c>
      <c r="L134" t="s">
        <v>252</v>
      </c>
      <c r="M134" t="s">
        <v>263</v>
      </c>
      <c r="N134" t="s">
        <v>211</v>
      </c>
      <c r="P134">
        <v>19</v>
      </c>
      <c r="Z134">
        <f>(4*(0.0211*(12.5^3)))+(Q134*(0.0211*(17.5^3)))+(R134*(0.0211*(22.5^3)))+(S134*(0.0211*(27.5^3)))+(T134*(0.0211*(32.5^3)))+(U134*(0.0211*(37.5^3)))+(V134*(0.0211*(42.5^3)))+(W134*(0.0211*(27.5^3)))</f>
        <v>164.84375</v>
      </c>
      <c r="AA134">
        <f t="shared" si="4"/>
        <v>19</v>
      </c>
      <c r="AB134">
        <f t="shared" si="5"/>
        <v>0</v>
      </c>
    </row>
    <row r="135" spans="1:28">
      <c r="A135" s="6">
        <v>40043</v>
      </c>
      <c r="B135" t="s">
        <v>548</v>
      </c>
      <c r="C135" t="s">
        <v>638</v>
      </c>
      <c r="D135" t="s">
        <v>351</v>
      </c>
      <c r="E135" t="s">
        <v>352</v>
      </c>
      <c r="G135" t="s">
        <v>813</v>
      </c>
      <c r="H135">
        <v>1</v>
      </c>
      <c r="I135">
        <v>1</v>
      </c>
      <c r="J135" t="s">
        <v>552</v>
      </c>
      <c r="K135" t="s">
        <v>546</v>
      </c>
      <c r="L135" t="s">
        <v>172</v>
      </c>
      <c r="M135" t="s">
        <v>65</v>
      </c>
      <c r="N135" t="s">
        <v>563</v>
      </c>
      <c r="O135">
        <v>24</v>
      </c>
      <c r="Z135">
        <f>24*(0.0004*(4^3.43))</f>
        <v>1.1151595380537278</v>
      </c>
      <c r="AA135">
        <f t="shared" si="4"/>
        <v>24</v>
      </c>
      <c r="AB135">
        <f t="shared" si="5"/>
        <v>0</v>
      </c>
    </row>
    <row r="136" spans="1:28">
      <c r="A136" s="6">
        <v>40043</v>
      </c>
      <c r="B136" t="s">
        <v>548</v>
      </c>
      <c r="C136" t="s">
        <v>638</v>
      </c>
      <c r="D136" t="s">
        <v>555</v>
      </c>
      <c r="E136" t="s">
        <v>556</v>
      </c>
      <c r="G136" t="s">
        <v>565</v>
      </c>
      <c r="H136">
        <v>2</v>
      </c>
      <c r="I136">
        <v>2</v>
      </c>
      <c r="J136" t="s">
        <v>558</v>
      </c>
      <c r="K136" t="s">
        <v>546</v>
      </c>
      <c r="L136" t="s">
        <v>170</v>
      </c>
      <c r="M136" t="s">
        <v>170</v>
      </c>
      <c r="N136" t="s">
        <v>597</v>
      </c>
      <c r="Q136">
        <v>6</v>
      </c>
      <c r="R136">
        <v>2</v>
      </c>
      <c r="T136">
        <v>1</v>
      </c>
      <c r="Z136">
        <f>(0*(0.0156*(7^3))+0*(0.0156*(8^3))+0*(0.0156*(9^3))+0*(0.0156*(10^3))+0*(0.0156*(12^3))+0*(0.0156*(12.5^3)))+(Q136*(0.0156*(17.5^3)))+(R136*(0.0156*(22.5^3)))+(S136*(0.0156*(27.5^3)))+(T136*(0.0156*(32.5^3)))+(U136*(0.0156*(37.5^3)))+(V136*(0.0156*(42.5^3)))+(W136*(0.0156*(27.5^3)))</f>
        <v>1392.54375</v>
      </c>
      <c r="AA136">
        <f t="shared" si="4"/>
        <v>9</v>
      </c>
      <c r="AB136">
        <f t="shared" si="5"/>
        <v>9</v>
      </c>
    </row>
    <row r="137" spans="1:28">
      <c r="A137" s="6">
        <v>40043</v>
      </c>
      <c r="B137" t="s">
        <v>548</v>
      </c>
      <c r="C137" t="s">
        <v>638</v>
      </c>
      <c r="D137" t="s">
        <v>360</v>
      </c>
      <c r="E137" t="s">
        <v>339</v>
      </c>
      <c r="G137" t="s">
        <v>362</v>
      </c>
      <c r="H137">
        <v>2</v>
      </c>
      <c r="I137">
        <v>2</v>
      </c>
      <c r="J137" t="s">
        <v>417</v>
      </c>
      <c r="K137" t="s">
        <v>371</v>
      </c>
      <c r="L137" t="s">
        <v>170</v>
      </c>
      <c r="M137" t="s">
        <v>170</v>
      </c>
      <c r="N137" t="s">
        <v>372</v>
      </c>
      <c r="Q137">
        <v>1</v>
      </c>
      <c r="R137">
        <v>2</v>
      </c>
      <c r="T137">
        <v>1</v>
      </c>
      <c r="U137">
        <v>3</v>
      </c>
      <c r="Z137">
        <f>(0*(0.0156*(7^3))+0*(0.0156*(8^3))+0*(0.0156*(9^3))+0*(0.0156*(10^3))+0*(0.0156*(12^3))+0*(0.0156*(12.5^3)))+(Q137*(0.0156*(17.5^3)))+(R137*(0.0156*(22.5^3)))+(S137*(0.0156*(27.5^3)))+(T137*(0.0156*(32.5^3)))+(U137*(0.0156*(37.5^3)))+(V137*(0.0156*(42.5^3)))+(W137*(0.0156*(27.5^3)))</f>
        <v>3442.4812499999998</v>
      </c>
      <c r="AA137">
        <f t="shared" si="4"/>
        <v>7</v>
      </c>
      <c r="AB137">
        <f t="shared" si="5"/>
        <v>7</v>
      </c>
    </row>
    <row r="138" spans="1:28">
      <c r="A138" s="6">
        <v>40043</v>
      </c>
      <c r="B138" t="s">
        <v>373</v>
      </c>
      <c r="C138" t="s">
        <v>374</v>
      </c>
      <c r="D138" t="s">
        <v>549</v>
      </c>
      <c r="E138" t="s">
        <v>375</v>
      </c>
      <c r="G138" t="s">
        <v>376</v>
      </c>
      <c r="H138">
        <v>2</v>
      </c>
      <c r="I138">
        <v>2</v>
      </c>
      <c r="J138" t="s">
        <v>552</v>
      </c>
      <c r="K138" t="s">
        <v>546</v>
      </c>
      <c r="L138" t="s">
        <v>252</v>
      </c>
      <c r="M138" t="s">
        <v>263</v>
      </c>
      <c r="N138" t="s">
        <v>211</v>
      </c>
      <c r="O138">
        <v>2</v>
      </c>
      <c r="P138">
        <v>6</v>
      </c>
      <c r="Q138">
        <v>1</v>
      </c>
      <c r="Z138">
        <f>(6*(0.0211*(12.5^3)))+(Q138*(0.0211*(17.5^3)))+(R138*(0.0211*(22.5^3)))+(S138*(0.0211*(27.5^3)))+(T138*(0.0211*(32.5^3)))+(U138*(0.0211*(37.5^3)))+(V138*(0.0211*(42.5^3)))+(W138*(0.0211*(27.5^3)))</f>
        <v>360.34843749999999</v>
      </c>
      <c r="AA138">
        <f t="shared" si="4"/>
        <v>9</v>
      </c>
      <c r="AB138">
        <f t="shared" si="5"/>
        <v>1</v>
      </c>
    </row>
    <row r="139" spans="1:28">
      <c r="A139" s="6">
        <v>40043</v>
      </c>
      <c r="B139" t="s">
        <v>548</v>
      </c>
      <c r="C139" t="s">
        <v>638</v>
      </c>
      <c r="D139" t="s">
        <v>378</v>
      </c>
      <c r="E139" t="s">
        <v>415</v>
      </c>
      <c r="G139" t="s">
        <v>416</v>
      </c>
      <c r="H139">
        <v>2</v>
      </c>
      <c r="I139">
        <v>2</v>
      </c>
      <c r="J139" t="s">
        <v>417</v>
      </c>
      <c r="K139" t="s">
        <v>643</v>
      </c>
      <c r="L139" t="s">
        <v>170</v>
      </c>
      <c r="M139" t="s">
        <v>170</v>
      </c>
      <c r="N139" t="s">
        <v>213</v>
      </c>
      <c r="P139">
        <v>4</v>
      </c>
      <c r="Z139">
        <f>(0*(0.0156*(7^3))+0*(0.0156*(8^3))+0*(0.0156*(9^3))+1*(0.0156*(11^3))+2*(0.0156*(12^3))+1*(0.0156*(13^3)))+(Q139*(0.0156*(17.5^3)))+(R139*(0.0156*(22.5^3)))+(S139*(0.0156*(27.5^3)))+(T139*(0.0156*(32.5^3)))+(U139*(0.0156*(37.5^3)))+(V139*(0.0156*(42.5^3)))+(W139*(0.0156*(27.5^3)))</f>
        <v>108.9504</v>
      </c>
      <c r="AA139">
        <f t="shared" si="4"/>
        <v>4</v>
      </c>
      <c r="AB139">
        <f t="shared" si="5"/>
        <v>0</v>
      </c>
    </row>
    <row r="140" spans="1:28">
      <c r="A140" s="6">
        <v>40043</v>
      </c>
      <c r="B140" t="s">
        <v>215</v>
      </c>
      <c r="C140" t="s">
        <v>216</v>
      </c>
      <c r="D140" t="s">
        <v>639</v>
      </c>
      <c r="E140" t="s">
        <v>339</v>
      </c>
      <c r="G140" t="s">
        <v>218</v>
      </c>
      <c r="H140">
        <v>2</v>
      </c>
      <c r="I140">
        <v>2</v>
      </c>
      <c r="J140" t="s">
        <v>552</v>
      </c>
      <c r="K140" t="s">
        <v>546</v>
      </c>
      <c r="L140" s="9" t="s">
        <v>77</v>
      </c>
      <c r="M140" t="s">
        <v>65</v>
      </c>
      <c r="N140" t="s">
        <v>563</v>
      </c>
      <c r="O140">
        <v>18</v>
      </c>
      <c r="Z140">
        <f>5*(0.0004*(4^3.43))+(13*(0.0004*(6^3.43)))</f>
        <v>2.6592821872697869</v>
      </c>
      <c r="AA140">
        <f t="shared" si="4"/>
        <v>18</v>
      </c>
      <c r="AB140">
        <f t="shared" si="5"/>
        <v>0</v>
      </c>
    </row>
    <row r="141" spans="1:28">
      <c r="A141" s="6">
        <v>40043</v>
      </c>
      <c r="B141" t="s">
        <v>46</v>
      </c>
      <c r="C141" t="s">
        <v>104</v>
      </c>
      <c r="D141" t="s">
        <v>338</v>
      </c>
      <c r="E141" t="s">
        <v>352</v>
      </c>
      <c r="G141" t="s">
        <v>105</v>
      </c>
      <c r="H141">
        <v>2</v>
      </c>
      <c r="I141">
        <v>2</v>
      </c>
      <c r="J141" t="s">
        <v>545</v>
      </c>
      <c r="K141" t="s">
        <v>546</v>
      </c>
      <c r="L141" t="s">
        <v>179</v>
      </c>
      <c r="M141" t="s">
        <v>179</v>
      </c>
      <c r="N141" t="s">
        <v>35</v>
      </c>
      <c r="O141">
        <v>1</v>
      </c>
      <c r="Q141">
        <v>2</v>
      </c>
      <c r="Z141" s="9">
        <f>((Q141*(EXP(3.19*(LOG10(175)))))-5.29)+(1*(EXP(3.19*(LOG10(60))))-5.29)</f>
        <v>2841.8542972152309</v>
      </c>
      <c r="AA141">
        <f t="shared" si="4"/>
        <v>3</v>
      </c>
      <c r="AB141">
        <f t="shared" si="5"/>
        <v>2</v>
      </c>
    </row>
    <row r="142" spans="1:28">
      <c r="A142" s="6">
        <v>40043</v>
      </c>
      <c r="B142" t="s">
        <v>548</v>
      </c>
      <c r="C142" t="s">
        <v>51</v>
      </c>
      <c r="D142" t="s">
        <v>639</v>
      </c>
      <c r="E142" t="s">
        <v>438</v>
      </c>
      <c r="G142" t="s">
        <v>439</v>
      </c>
      <c r="H142">
        <v>2</v>
      </c>
      <c r="I142">
        <v>2</v>
      </c>
      <c r="J142" t="s">
        <v>545</v>
      </c>
      <c r="K142" t="s">
        <v>441</v>
      </c>
      <c r="L142" t="s">
        <v>174</v>
      </c>
      <c r="M142" t="s">
        <v>174</v>
      </c>
      <c r="N142" t="s">
        <v>748</v>
      </c>
      <c r="V142">
        <v>1</v>
      </c>
      <c r="Z142">
        <f>(V142*(0.013*(42.5^3)))</f>
        <v>997.953125</v>
      </c>
      <c r="AA142">
        <f t="shared" si="4"/>
        <v>1</v>
      </c>
      <c r="AB142">
        <f t="shared" si="5"/>
        <v>1</v>
      </c>
    </row>
    <row r="143" spans="1:28">
      <c r="A143" s="6">
        <v>40043</v>
      </c>
      <c r="B143" t="s">
        <v>46</v>
      </c>
      <c r="C143" t="s">
        <v>638</v>
      </c>
      <c r="D143" t="s">
        <v>639</v>
      </c>
      <c r="E143" t="s">
        <v>640</v>
      </c>
      <c r="G143" t="s">
        <v>641</v>
      </c>
      <c r="H143">
        <v>3</v>
      </c>
      <c r="I143">
        <v>3</v>
      </c>
      <c r="J143" t="s">
        <v>404</v>
      </c>
      <c r="K143" t="s">
        <v>642</v>
      </c>
      <c r="L143" t="s">
        <v>252</v>
      </c>
      <c r="M143" t="s">
        <v>263</v>
      </c>
      <c r="N143" t="s">
        <v>211</v>
      </c>
      <c r="O143">
        <v>18</v>
      </c>
      <c r="P143">
        <v>30</v>
      </c>
      <c r="Z143">
        <f>(30*(0.0211*(12.5^3)))+(Q143*(0.0211*(17.5^3)))+(R143*(0.0211*(22.5^3)))+(S143*(0.0211*(27.5^3)))+(T143*(0.0211*(32.5^3)))+(U143*(0.0211*(37.5^3)))+(V143*(0.0211*(42.5^3)))+(W143*(0.0211*(27.5^3)))</f>
        <v>1236.328125</v>
      </c>
      <c r="AA143">
        <f t="shared" si="4"/>
        <v>48</v>
      </c>
      <c r="AB143">
        <f t="shared" si="5"/>
        <v>0</v>
      </c>
    </row>
    <row r="144" spans="1:28">
      <c r="A144" s="6">
        <v>40043</v>
      </c>
      <c r="B144" t="s">
        <v>548</v>
      </c>
      <c r="C144" t="s">
        <v>638</v>
      </c>
      <c r="D144" t="s">
        <v>338</v>
      </c>
      <c r="E144" t="s">
        <v>339</v>
      </c>
      <c r="G144" t="s">
        <v>652</v>
      </c>
      <c r="H144">
        <v>3</v>
      </c>
      <c r="I144">
        <v>3</v>
      </c>
      <c r="J144" t="s">
        <v>404</v>
      </c>
      <c r="K144" t="s">
        <v>546</v>
      </c>
      <c r="L144" t="s">
        <v>170</v>
      </c>
      <c r="M144" t="s">
        <v>170</v>
      </c>
      <c r="N144" t="s">
        <v>653</v>
      </c>
      <c r="S144">
        <v>3</v>
      </c>
      <c r="Z144">
        <f>(0*(0.0156*(7^3))+0*(0.0156*(8^3))+0*(0.0156*(9^3))+0*(0.0156*(10^3))+0*(0.0156*(12^3))+0*(0.0156*(12.5^3)))+(Q144*(0.0156*(17.5^3)))+(R144*(0.0156*(22.5^3)))+(S144*(0.0156*(27.5^3)))+(T144*(0.0156*(32.5^3)))+(U144*(0.0156*(37.5^3)))+(V144*(0.0156*(42.5^3)))+(W144*(0.0156*(27.5^3)))</f>
        <v>973.29374999999993</v>
      </c>
      <c r="AA144">
        <f t="shared" si="4"/>
        <v>3</v>
      </c>
      <c r="AB144">
        <f t="shared" si="5"/>
        <v>3</v>
      </c>
    </row>
    <row r="145" spans="1:28">
      <c r="A145" s="6">
        <v>40043</v>
      </c>
      <c r="B145" t="s">
        <v>548</v>
      </c>
      <c r="C145" t="s">
        <v>638</v>
      </c>
      <c r="D145" t="s">
        <v>338</v>
      </c>
      <c r="E145" t="s">
        <v>339</v>
      </c>
      <c r="G145" t="s">
        <v>652</v>
      </c>
      <c r="H145">
        <v>3</v>
      </c>
      <c r="I145">
        <v>3</v>
      </c>
      <c r="J145" t="s">
        <v>404</v>
      </c>
      <c r="K145" t="s">
        <v>546</v>
      </c>
      <c r="L145" t="s">
        <v>170</v>
      </c>
      <c r="M145" t="s">
        <v>170</v>
      </c>
      <c r="N145" t="s">
        <v>654</v>
      </c>
      <c r="P145">
        <v>2</v>
      </c>
      <c r="Z145">
        <f>(0*(0.0156*(7^3))+0*(0.0156*(8^3))+0*(0.0156*(9^3))+0*(0.0156*(10^3))+0*(0.0156*(12^3))+2*(0.0156*(12.5^3)))+(Q145*(0.0156*(17.5^3)))+(R145*(0.0156*(22.5^3)))+(S145*(0.0156*(27.5^3)))+(T145*(0.0156*(32.5^3)))+(U145*(0.0156*(37.5^3)))+(V145*(0.0156*(42.5^3)))+(W145*(0.0156*(27.5^3)))</f>
        <v>60.9375</v>
      </c>
      <c r="AA145">
        <f t="shared" si="4"/>
        <v>2</v>
      </c>
      <c r="AB145">
        <f t="shared" si="5"/>
        <v>0</v>
      </c>
    </row>
    <row r="146" spans="1:28">
      <c r="A146" s="6">
        <v>40043</v>
      </c>
      <c r="B146" t="s">
        <v>548</v>
      </c>
      <c r="C146" t="s">
        <v>638</v>
      </c>
      <c r="D146" t="s">
        <v>338</v>
      </c>
      <c r="E146" t="s">
        <v>339</v>
      </c>
      <c r="G146" t="s">
        <v>652</v>
      </c>
      <c r="H146">
        <v>3</v>
      </c>
      <c r="I146">
        <v>3</v>
      </c>
      <c r="J146" t="s">
        <v>404</v>
      </c>
      <c r="K146" t="s">
        <v>546</v>
      </c>
      <c r="L146" t="s">
        <v>170</v>
      </c>
      <c r="M146" t="s">
        <v>170</v>
      </c>
      <c r="N146" t="s">
        <v>655</v>
      </c>
      <c r="Q146">
        <v>4</v>
      </c>
      <c r="Z146">
        <f>(0*(0.0156*(7^3))+0*(0.0156*(8^3))+0*(0.0156*(9^3))+0*(0.0156*(10^3))+0*(0.0156*(12^3))+0*(0.0156*(12.5^3)))+(Q146*(0.0156*(17.5^3)))+(R146*(0.0156*(22.5^3)))+(S146*(0.0156*(27.5^3)))+(T146*(0.0156*(32.5^3)))+(U146*(0.0156*(37.5^3)))+(V146*(0.0156*(42.5^3)))+(W146*(0.0156*(27.5^3)))</f>
        <v>334.42500000000001</v>
      </c>
      <c r="AA146">
        <f t="shared" si="4"/>
        <v>4</v>
      </c>
      <c r="AB146">
        <f t="shared" si="5"/>
        <v>4</v>
      </c>
    </row>
    <row r="147" spans="1:28">
      <c r="A147" s="6">
        <v>40043</v>
      </c>
      <c r="B147" t="s">
        <v>548</v>
      </c>
      <c r="C147" t="s">
        <v>638</v>
      </c>
      <c r="D147" t="s">
        <v>338</v>
      </c>
      <c r="E147" t="s">
        <v>339</v>
      </c>
      <c r="G147" t="s">
        <v>652</v>
      </c>
      <c r="H147">
        <v>3</v>
      </c>
      <c r="I147">
        <v>3</v>
      </c>
      <c r="J147" t="s">
        <v>404</v>
      </c>
      <c r="K147" t="s">
        <v>546</v>
      </c>
      <c r="L147" t="s">
        <v>61</v>
      </c>
      <c r="M147" t="s">
        <v>175</v>
      </c>
      <c r="N147" t="s">
        <v>538</v>
      </c>
      <c r="P147">
        <v>3</v>
      </c>
      <c r="Z147">
        <f>3*((0.0000146*(120^3.041)))</f>
        <v>92.100986023923937</v>
      </c>
      <c r="AA147">
        <f t="shared" si="4"/>
        <v>3</v>
      </c>
      <c r="AB147">
        <f t="shared" si="5"/>
        <v>0</v>
      </c>
    </row>
    <row r="148" spans="1:28">
      <c r="A148" s="6">
        <v>40043</v>
      </c>
      <c r="B148" t="s">
        <v>548</v>
      </c>
      <c r="C148" t="s">
        <v>638</v>
      </c>
      <c r="D148" t="s">
        <v>338</v>
      </c>
      <c r="E148" t="s">
        <v>339</v>
      </c>
      <c r="G148" t="s">
        <v>455</v>
      </c>
      <c r="H148">
        <v>4</v>
      </c>
      <c r="I148">
        <v>4</v>
      </c>
      <c r="J148" t="s">
        <v>404</v>
      </c>
      <c r="K148" t="s">
        <v>546</v>
      </c>
      <c r="L148" t="s">
        <v>252</v>
      </c>
      <c r="M148" t="s">
        <v>263</v>
      </c>
      <c r="N148" t="s">
        <v>211</v>
      </c>
      <c r="P148">
        <v>31</v>
      </c>
      <c r="Z148">
        <f>(31*(0.0211*(12.5^3)))+(Q148*(0.0211*(17.5^3)))+(R148*(0.0211*(22.5^3)))+(S148*(0.0211*(27.5^3)))+(T148*(0.0211*(32.5^3)))+(U148*(0.0211*(37.5^3)))+(V148*(0.0211*(42.5^3)))+(W148*(0.0211*(27.5^3)))</f>
        <v>1277.5390625</v>
      </c>
      <c r="AA148">
        <f t="shared" si="4"/>
        <v>31</v>
      </c>
      <c r="AB148">
        <f t="shared" si="5"/>
        <v>0</v>
      </c>
    </row>
    <row r="149" spans="1:28">
      <c r="A149" s="6">
        <v>40043</v>
      </c>
      <c r="B149" t="s">
        <v>548</v>
      </c>
      <c r="C149" t="s">
        <v>638</v>
      </c>
      <c r="D149" t="s">
        <v>338</v>
      </c>
      <c r="E149" t="s">
        <v>339</v>
      </c>
      <c r="G149" t="s">
        <v>455</v>
      </c>
      <c r="H149">
        <v>4</v>
      </c>
      <c r="I149">
        <v>4</v>
      </c>
      <c r="J149" t="s">
        <v>404</v>
      </c>
      <c r="K149" t="s">
        <v>546</v>
      </c>
      <c r="L149" t="s">
        <v>170</v>
      </c>
      <c r="M149" t="s">
        <v>170</v>
      </c>
      <c r="N149" t="s">
        <v>653</v>
      </c>
      <c r="Q149">
        <v>2</v>
      </c>
      <c r="R149">
        <v>2</v>
      </c>
      <c r="U149">
        <v>1</v>
      </c>
      <c r="Z149">
        <f>(0*(0.0156*(7^3))+0*(0.0156*(8^3))+0*(0.0156*(9^3))+0*(0.0156*(10^3))+0*(0.0156*(12^3))+0*(0.0156*(12.5^3)))+(Q149*(0.0156*(17.5^3)))+(R149*(0.0156*(22.5^3)))+(S149*(0.0156*(27.5^3)))+(T149*(0.0156*(32.5^3)))+(U149*(0.0156*(37.5^3)))+(V149*(0.0156*(42.5^3)))+(W149*(0.0156*(27.5^3)))</f>
        <v>1345.2562499999999</v>
      </c>
      <c r="AA149">
        <f t="shared" si="4"/>
        <v>5</v>
      </c>
      <c r="AB149">
        <f t="shared" si="5"/>
        <v>5</v>
      </c>
    </row>
    <row r="150" spans="1:28">
      <c r="A150" s="6">
        <v>40043</v>
      </c>
      <c r="B150" t="s">
        <v>548</v>
      </c>
      <c r="C150" t="s">
        <v>638</v>
      </c>
      <c r="D150" t="s">
        <v>338</v>
      </c>
      <c r="E150" t="s">
        <v>339</v>
      </c>
      <c r="G150" t="s">
        <v>455</v>
      </c>
      <c r="H150">
        <v>4</v>
      </c>
      <c r="I150">
        <v>4</v>
      </c>
      <c r="J150" t="s">
        <v>404</v>
      </c>
      <c r="K150" t="s">
        <v>546</v>
      </c>
      <c r="L150" t="s">
        <v>61</v>
      </c>
      <c r="M150" t="s">
        <v>175</v>
      </c>
      <c r="N150" t="s">
        <v>457</v>
      </c>
      <c r="O150">
        <v>1</v>
      </c>
      <c r="P150">
        <v>1</v>
      </c>
      <c r="Z150">
        <f>(1*(0.00000779*(70^3.18)))+(1*(0.00000779*(100^3.18)))</f>
        <v>23.586352454153225</v>
      </c>
      <c r="AA150">
        <f t="shared" si="4"/>
        <v>2</v>
      </c>
      <c r="AB150">
        <f t="shared" si="5"/>
        <v>0</v>
      </c>
    </row>
    <row r="151" spans="1:28">
      <c r="A151" s="6">
        <v>40043</v>
      </c>
      <c r="B151" t="s">
        <v>548</v>
      </c>
      <c r="C151" t="s">
        <v>638</v>
      </c>
      <c r="D151" t="s">
        <v>338</v>
      </c>
      <c r="E151" t="s">
        <v>339</v>
      </c>
      <c r="G151" t="s">
        <v>455</v>
      </c>
      <c r="H151">
        <v>4</v>
      </c>
      <c r="I151">
        <v>4</v>
      </c>
      <c r="J151" t="s">
        <v>404</v>
      </c>
      <c r="K151" t="s">
        <v>546</v>
      </c>
      <c r="L151" s="9" t="s">
        <v>85</v>
      </c>
      <c r="M151" s="9" t="s">
        <v>59</v>
      </c>
      <c r="N151" t="s">
        <v>658</v>
      </c>
      <c r="Q151">
        <v>1</v>
      </c>
      <c r="Z151">
        <f>(1*(0.0000055*(180^3.185)))</f>
        <v>83.831187519855675</v>
      </c>
      <c r="AA151">
        <f t="shared" si="4"/>
        <v>1</v>
      </c>
      <c r="AB151">
        <f t="shared" si="5"/>
        <v>1</v>
      </c>
    </row>
    <row r="152" spans="1:28">
      <c r="A152" s="6">
        <v>40043</v>
      </c>
      <c r="B152" t="s">
        <v>548</v>
      </c>
      <c r="C152" t="s">
        <v>661</v>
      </c>
      <c r="D152" t="s">
        <v>378</v>
      </c>
      <c r="E152" t="s">
        <v>339</v>
      </c>
      <c r="G152" t="s">
        <v>455</v>
      </c>
      <c r="H152">
        <v>4</v>
      </c>
      <c r="I152">
        <v>4</v>
      </c>
      <c r="J152" t="s">
        <v>404</v>
      </c>
      <c r="K152" t="s">
        <v>546</v>
      </c>
      <c r="L152" t="s">
        <v>170</v>
      </c>
      <c r="M152" t="s">
        <v>170</v>
      </c>
      <c r="N152" t="s">
        <v>654</v>
      </c>
      <c r="O152">
        <v>1</v>
      </c>
      <c r="P152">
        <v>4</v>
      </c>
      <c r="Z152">
        <f>(0*(0.0156*(7^3))+0*(0.0156*(8^3))+1*(0.0156*(9^3))+4*(0.0156*(10^3))+0*(0.0156*(12^3))+0*(0.0156*(12.5^3)))+(Q152*(0.0156*(17.5^3)))+(R152*(0.0156*(22.5^3)))+(S152*(0.0156*(27.5^3)))+(T152*(0.0156*(32.5^3)))+(U152*(0.0156*(37.5^3)))+(V152*(0.0156*(42.5^3)))+(W152*(0.0156*(27.5^3)))</f>
        <v>73.772400000000005</v>
      </c>
      <c r="AA152">
        <f t="shared" si="4"/>
        <v>5</v>
      </c>
      <c r="AB152">
        <f t="shared" si="5"/>
        <v>0</v>
      </c>
    </row>
    <row r="153" spans="1:28">
      <c r="A153" s="6">
        <v>40043</v>
      </c>
      <c r="B153" t="s">
        <v>548</v>
      </c>
      <c r="C153" t="s">
        <v>661</v>
      </c>
      <c r="D153" t="s">
        <v>378</v>
      </c>
      <c r="E153" t="s">
        <v>339</v>
      </c>
      <c r="G153" t="s">
        <v>455</v>
      </c>
      <c r="H153">
        <v>4</v>
      </c>
      <c r="I153">
        <v>4</v>
      </c>
      <c r="J153" t="s">
        <v>404</v>
      </c>
      <c r="K153" t="s">
        <v>546</v>
      </c>
      <c r="L153" t="s">
        <v>170</v>
      </c>
      <c r="M153" t="s">
        <v>170</v>
      </c>
      <c r="N153" t="s">
        <v>655</v>
      </c>
      <c r="Q153">
        <v>1</v>
      </c>
      <c r="Z153">
        <f>(0*(0.0156*(7^3))+0*(0.0156*(8^3))+0*(0.0156*(9^3))+0*(0.0156*(10^3))+0*(0.0156*(12^3))+0*(0.0156*(12.5^3)))+(Q153*(0.0156*(17.5^3)))+(R153*(0.0156*(22.5^3)))+(S153*(0.0156*(27.5^3)))+(T153*(0.0156*(32.5^3)))+(U153*(0.0156*(37.5^3)))+(V153*(0.0156*(42.5^3)))+(W153*(0.0156*(27.5^3)))</f>
        <v>83.606250000000003</v>
      </c>
      <c r="AA153">
        <f t="shared" si="4"/>
        <v>1</v>
      </c>
      <c r="AB153">
        <f t="shared" si="5"/>
        <v>1</v>
      </c>
    </row>
    <row r="154" spans="1:28">
      <c r="A154" s="6">
        <v>40043</v>
      </c>
      <c r="B154" t="s">
        <v>548</v>
      </c>
      <c r="C154" t="s">
        <v>661</v>
      </c>
      <c r="D154" t="s">
        <v>378</v>
      </c>
      <c r="E154" t="s">
        <v>339</v>
      </c>
      <c r="G154" t="s">
        <v>455</v>
      </c>
      <c r="H154">
        <v>4</v>
      </c>
      <c r="I154">
        <v>4</v>
      </c>
      <c r="J154" t="s">
        <v>404</v>
      </c>
      <c r="K154" t="s">
        <v>546</v>
      </c>
      <c r="L154" t="s">
        <v>199</v>
      </c>
      <c r="M154" t="s">
        <v>175</v>
      </c>
      <c r="N154" t="s">
        <v>38</v>
      </c>
      <c r="O154">
        <v>5</v>
      </c>
      <c r="Z154">
        <f>(3*(0.0175*(3^3))+2*(0.0175*(4^3))+P154*(0.0175*(12.5^3)))+(Q154*(0.0175*(17.5^3)))+(R154*(0.0175*(22.5^3)))+(S154*(0.0175*(27.5^3)))+(T154*(0.0175*(32.5^3)))+(U154*(0.0175*(37.5^3)))+(V154*(0.0175*(42.5^3)))+(W154*(0.0175*(27.5^3)))</f>
        <v>3.6575000000000002</v>
      </c>
      <c r="AA154">
        <f t="shared" si="4"/>
        <v>5</v>
      </c>
      <c r="AB154">
        <f t="shared" si="5"/>
        <v>0</v>
      </c>
    </row>
    <row r="155" spans="1:28">
      <c r="A155" s="6">
        <v>40044</v>
      </c>
      <c r="B155" t="s">
        <v>469</v>
      </c>
      <c r="C155" t="s">
        <v>470</v>
      </c>
      <c r="D155" t="s">
        <v>471</v>
      </c>
      <c r="E155" t="s">
        <v>472</v>
      </c>
      <c r="G155" t="s">
        <v>473</v>
      </c>
      <c r="H155">
        <v>1</v>
      </c>
      <c r="I155">
        <v>1</v>
      </c>
      <c r="J155" t="s">
        <v>404</v>
      </c>
      <c r="K155" t="s">
        <v>237</v>
      </c>
      <c r="L155" t="s">
        <v>170</v>
      </c>
      <c r="M155" t="s">
        <v>170</v>
      </c>
      <c r="N155" t="s">
        <v>410</v>
      </c>
      <c r="Q155">
        <v>1</v>
      </c>
      <c r="R155">
        <v>1</v>
      </c>
      <c r="S155">
        <v>1</v>
      </c>
      <c r="U155">
        <v>1</v>
      </c>
      <c r="Z155">
        <f>(0*(0.0156*(7^3))+0*(0.0156*(8^3))+0*(0.0156*(9^3))+0*(0.0156*(10^3))+0*(0.0156*(12^3))+0*(0.0156*(12.5^3)))+(Q155*(0.0156*(17.5^3)))+(R155*(0.0156*(22.5^3)))+(S155*(0.0156*(27.5^3)))+(T155*(0.0156*(32.5^3)))+(U155*(0.0156*(37.5^3)))+(V155*(0.0156*(42.5^3)))+(W155*(0.0156*(27.5^3)))</f>
        <v>1408.3875</v>
      </c>
      <c r="AA155">
        <f t="shared" si="4"/>
        <v>4</v>
      </c>
      <c r="AB155">
        <f t="shared" si="5"/>
        <v>4</v>
      </c>
    </row>
    <row r="156" spans="1:28">
      <c r="A156" s="6">
        <v>40044</v>
      </c>
      <c r="B156" t="s">
        <v>469</v>
      </c>
      <c r="C156" t="s">
        <v>470</v>
      </c>
      <c r="D156" t="s">
        <v>471</v>
      </c>
      <c r="E156" t="s">
        <v>472</v>
      </c>
      <c r="G156" t="s">
        <v>473</v>
      </c>
      <c r="H156">
        <v>1</v>
      </c>
      <c r="I156">
        <v>1</v>
      </c>
      <c r="J156" t="s">
        <v>404</v>
      </c>
      <c r="K156" t="s">
        <v>237</v>
      </c>
      <c r="L156" t="s">
        <v>170</v>
      </c>
      <c r="M156" t="s">
        <v>170</v>
      </c>
      <c r="N156" t="s">
        <v>476</v>
      </c>
      <c r="Q156">
        <v>1</v>
      </c>
      <c r="T156">
        <v>1</v>
      </c>
      <c r="Z156">
        <f>(0*(0.0156*(7^3))+0*(0.0156*(8^3))+0*(0.0156*(9^3))+0*(0.0156*(10^3))+0*(0.0156*(12^3))+0*(0.0156*(12.5^3)))+(Q156*(0.0156*(17.5^3)))+(R156*(0.0156*(22.5^3)))+(S156*(0.0156*(27.5^3)))+(T156*(0.0156*(32.5^3)))+(U156*(0.0156*(37.5^3)))+(V156*(0.0156*(42.5^3)))+(W156*(0.0156*(27.5^3)))</f>
        <v>619.125</v>
      </c>
      <c r="AA156">
        <f t="shared" si="4"/>
        <v>2</v>
      </c>
      <c r="AB156">
        <f t="shared" si="5"/>
        <v>2</v>
      </c>
    </row>
    <row r="157" spans="1:28">
      <c r="A157" s="6">
        <v>40044</v>
      </c>
      <c r="B157" t="s">
        <v>469</v>
      </c>
      <c r="C157" t="s">
        <v>470</v>
      </c>
      <c r="D157" t="s">
        <v>471</v>
      </c>
      <c r="E157" t="s">
        <v>472</v>
      </c>
      <c r="G157" t="s">
        <v>473</v>
      </c>
      <c r="H157">
        <v>1</v>
      </c>
      <c r="I157">
        <v>1</v>
      </c>
      <c r="J157" t="s">
        <v>404</v>
      </c>
      <c r="K157" t="s">
        <v>237</v>
      </c>
      <c r="L157" t="s">
        <v>170</v>
      </c>
      <c r="M157" t="s">
        <v>170</v>
      </c>
      <c r="N157" t="s">
        <v>477</v>
      </c>
      <c r="P157">
        <v>1</v>
      </c>
      <c r="Z157">
        <f>(0*(0.0156*(7^3))+0*(0.0156*(8^3))+0*(0.0156*(9^3))+0*(0.0156*(10^3))+1*(0.0156*(12^3))+0*(0.0156*(12.5^3)))+(Q157*(0.0156*(17.5^3)))+(R157*(0.0156*(22.5^3)))+(S157*(0.0156*(27.5^3)))+(T157*(0.0156*(32.5^3)))+(U157*(0.0156*(37.5^3)))+(V157*(0.0156*(42.5^3)))+(W157*(0.0156*(27.5^3)))</f>
        <v>26.956799999999998</v>
      </c>
      <c r="AA157">
        <f t="shared" si="4"/>
        <v>1</v>
      </c>
      <c r="AB157">
        <f t="shared" si="5"/>
        <v>0</v>
      </c>
    </row>
    <row r="158" spans="1:28">
      <c r="A158" s="6">
        <v>40044</v>
      </c>
      <c r="B158" t="s">
        <v>469</v>
      </c>
      <c r="C158" t="s">
        <v>470</v>
      </c>
      <c r="D158" t="s">
        <v>471</v>
      </c>
      <c r="E158" t="s">
        <v>472</v>
      </c>
      <c r="G158" t="s">
        <v>473</v>
      </c>
      <c r="H158">
        <v>1</v>
      </c>
      <c r="I158">
        <v>1</v>
      </c>
      <c r="J158" t="s">
        <v>404</v>
      </c>
      <c r="K158" t="s">
        <v>237</v>
      </c>
      <c r="L158" s="9" t="s">
        <v>111</v>
      </c>
      <c r="M158" s="9" t="s">
        <v>60</v>
      </c>
      <c r="N158" t="s">
        <v>479</v>
      </c>
      <c r="Q158">
        <v>1</v>
      </c>
      <c r="Z158">
        <f>(1*(0.0000055*(180^3.185)))</f>
        <v>83.831187519855675</v>
      </c>
      <c r="AA158">
        <f t="shared" si="4"/>
        <v>1</v>
      </c>
      <c r="AB158">
        <f t="shared" si="5"/>
        <v>1</v>
      </c>
    </row>
    <row r="159" spans="1:28">
      <c r="A159" s="6">
        <v>40044</v>
      </c>
      <c r="B159" t="s">
        <v>469</v>
      </c>
      <c r="C159" t="s">
        <v>470</v>
      </c>
      <c r="D159" t="s">
        <v>471</v>
      </c>
      <c r="E159" t="s">
        <v>472</v>
      </c>
      <c r="G159" t="s">
        <v>481</v>
      </c>
      <c r="H159">
        <v>2</v>
      </c>
      <c r="I159">
        <v>2</v>
      </c>
      <c r="J159" t="s">
        <v>404</v>
      </c>
      <c r="K159" t="s">
        <v>237</v>
      </c>
      <c r="L159" t="s">
        <v>170</v>
      </c>
      <c r="M159" t="s">
        <v>170</v>
      </c>
      <c r="N159" t="s">
        <v>476</v>
      </c>
      <c r="T159">
        <v>1</v>
      </c>
      <c r="U159">
        <v>2</v>
      </c>
      <c r="Z159">
        <f>(0*(0.0156*(7^3))+0*(0.0156*(8^3))+0*(0.0156*(9^3))+0*(0.0156*(10^3))+0*(0.0156*(12^3))+0*(0.0156*(12.5^3)))+(Q159*(0.0156*(17.5^3)))+(R159*(0.0156*(22.5^3)))+(S159*(0.0156*(27.5^3)))+(T159*(0.0156*(32.5^3)))+(U159*(0.0156*(37.5^3)))+(V159*(0.0156*(42.5^3)))+(W159*(0.0156*(27.5^3)))</f>
        <v>2180.8312500000002</v>
      </c>
      <c r="AA159">
        <f t="shared" si="4"/>
        <v>3</v>
      </c>
      <c r="AB159">
        <f t="shared" si="5"/>
        <v>3</v>
      </c>
    </row>
    <row r="160" spans="1:28">
      <c r="A160" s="6">
        <v>40044</v>
      </c>
      <c r="B160" t="s">
        <v>469</v>
      </c>
      <c r="C160" t="s">
        <v>470</v>
      </c>
      <c r="D160" t="s">
        <v>471</v>
      </c>
      <c r="E160" t="s">
        <v>472</v>
      </c>
      <c r="G160" t="s">
        <v>481</v>
      </c>
      <c r="H160">
        <v>2</v>
      </c>
      <c r="I160">
        <v>2</v>
      </c>
      <c r="J160" t="s">
        <v>404</v>
      </c>
      <c r="K160" t="s">
        <v>237</v>
      </c>
      <c r="L160" t="s">
        <v>252</v>
      </c>
      <c r="M160" t="s">
        <v>263</v>
      </c>
      <c r="N160" t="s">
        <v>211</v>
      </c>
      <c r="P160">
        <v>85</v>
      </c>
      <c r="R160">
        <v>5</v>
      </c>
      <c r="S160">
        <v>2</v>
      </c>
      <c r="T160">
        <v>2</v>
      </c>
      <c r="Z160">
        <f>(85*(0.0211*(12.5^3)))+(Q160*(0.0211*(17.5^3)))+(5*(0.0211*(22.5^3)))+(1*(0.0211*(27.5^3)))+(T160*(0.0211*(32.5^3)))+(U160*(0.0211*(37.5^3)))+(V160*(0.0211*(42.5^3)))+(W160*(0.0211*(27.5^3)))</f>
        <v>6592.1015625</v>
      </c>
      <c r="AA160">
        <f t="shared" si="4"/>
        <v>94</v>
      </c>
      <c r="AB160">
        <f t="shared" si="5"/>
        <v>9</v>
      </c>
    </row>
    <row r="161" spans="1:28">
      <c r="A161" s="6">
        <v>40044</v>
      </c>
      <c r="B161" t="s">
        <v>469</v>
      </c>
      <c r="C161" t="s">
        <v>470</v>
      </c>
      <c r="D161" t="s">
        <v>471</v>
      </c>
      <c r="E161" t="s">
        <v>472</v>
      </c>
      <c r="G161" t="s">
        <v>481</v>
      </c>
      <c r="H161">
        <v>2</v>
      </c>
      <c r="I161">
        <v>2</v>
      </c>
      <c r="J161" t="s">
        <v>404</v>
      </c>
      <c r="K161" t="s">
        <v>237</v>
      </c>
      <c r="L161" t="s">
        <v>179</v>
      </c>
      <c r="M161" t="s">
        <v>179</v>
      </c>
      <c r="N161" t="s">
        <v>560</v>
      </c>
      <c r="O161">
        <v>2</v>
      </c>
      <c r="Z161">
        <f>(1*(0.000491*(6^3.05)))+(1*(0.000491*(7^3.05)))</f>
        <v>0.30161840039549542</v>
      </c>
      <c r="AA161">
        <f t="shared" si="4"/>
        <v>2</v>
      </c>
      <c r="AB161">
        <f t="shared" si="5"/>
        <v>0</v>
      </c>
    </row>
    <row r="162" spans="1:28">
      <c r="A162" s="6">
        <v>40044</v>
      </c>
      <c r="B162" t="s">
        <v>469</v>
      </c>
      <c r="C162" t="s">
        <v>470</v>
      </c>
      <c r="D162" t="s">
        <v>471</v>
      </c>
      <c r="E162" t="s">
        <v>472</v>
      </c>
      <c r="G162" t="s">
        <v>481</v>
      </c>
      <c r="H162">
        <v>2</v>
      </c>
      <c r="I162">
        <v>2</v>
      </c>
      <c r="J162" t="s">
        <v>404</v>
      </c>
      <c r="K162" t="s">
        <v>237</v>
      </c>
      <c r="L162" s="9" t="s">
        <v>77</v>
      </c>
      <c r="M162" t="s">
        <v>65</v>
      </c>
      <c r="N162" t="s">
        <v>562</v>
      </c>
      <c r="O162">
        <v>23</v>
      </c>
      <c r="Z162">
        <f>22*(0.0004*(7.5^3.43))+(1*(0.0004*(6^3.43)))</f>
        <v>9.0163251304029597</v>
      </c>
      <c r="AA162">
        <f t="shared" si="4"/>
        <v>23</v>
      </c>
      <c r="AB162">
        <f t="shared" si="5"/>
        <v>0</v>
      </c>
    </row>
    <row r="163" spans="1:28">
      <c r="A163" s="6">
        <v>40044</v>
      </c>
      <c r="B163" t="s">
        <v>469</v>
      </c>
      <c r="C163" t="s">
        <v>470</v>
      </c>
      <c r="D163" t="s">
        <v>471</v>
      </c>
      <c r="E163" t="s">
        <v>472</v>
      </c>
      <c r="G163" t="s">
        <v>481</v>
      </c>
      <c r="H163">
        <v>2</v>
      </c>
      <c r="I163">
        <v>2</v>
      </c>
      <c r="J163" t="s">
        <v>404</v>
      </c>
      <c r="K163" t="s">
        <v>237</v>
      </c>
      <c r="L163" t="s">
        <v>199</v>
      </c>
      <c r="M163" t="s">
        <v>175</v>
      </c>
      <c r="N163" t="s">
        <v>38</v>
      </c>
      <c r="O163">
        <v>5</v>
      </c>
      <c r="Z163">
        <f>(5*(0.0175*(4^3))+P163*(0.0175*(12.5^3)))+(Q163*(0.0175*(17.5^3)))+(R163*(0.0175*(22.5^3)))+(S163*(0.0175*(27.5^3)))+(T163*(0.0175*(32.5^3)))+(U163*(0.0175*(37.5^3)))+(V163*(0.0175*(42.5^3)))+(W163*(0.0175*(27.5^3)))</f>
        <v>5.6000000000000005</v>
      </c>
      <c r="AA163">
        <f t="shared" si="4"/>
        <v>5</v>
      </c>
      <c r="AB163">
        <f t="shared" si="5"/>
        <v>0</v>
      </c>
    </row>
    <row r="164" spans="1:28">
      <c r="A164" s="6">
        <v>40044</v>
      </c>
      <c r="B164" t="s">
        <v>469</v>
      </c>
      <c r="C164" t="s">
        <v>470</v>
      </c>
      <c r="D164" t="s">
        <v>471</v>
      </c>
      <c r="E164" t="s">
        <v>472</v>
      </c>
      <c r="G164" t="s">
        <v>481</v>
      </c>
      <c r="H164">
        <v>2</v>
      </c>
      <c r="I164">
        <v>2</v>
      </c>
      <c r="J164" t="s">
        <v>404</v>
      </c>
      <c r="K164" t="s">
        <v>237</v>
      </c>
      <c r="L164" t="s">
        <v>179</v>
      </c>
      <c r="M164" t="s">
        <v>179</v>
      </c>
      <c r="N164" t="s">
        <v>35</v>
      </c>
      <c r="P164">
        <v>1</v>
      </c>
      <c r="Q164">
        <v>1</v>
      </c>
      <c r="R164">
        <v>3</v>
      </c>
      <c r="S164">
        <v>1</v>
      </c>
      <c r="Z164" s="9">
        <f>(P164*((EXP(3.19*(LOG10(125))))-5.29))+(Q164*((EXP(3.19*(LOG10(175))))-5.29))+(R164*((EXP(3.19*(LOG10(225))))-5.29))+(S164*((EXP(3.19*(LOG10(275))))-5.29))</f>
        <v>9891.4953230803767</v>
      </c>
      <c r="AA164">
        <f t="shared" si="4"/>
        <v>6</v>
      </c>
      <c r="AB164">
        <f t="shared" si="5"/>
        <v>5</v>
      </c>
    </row>
    <row r="165" spans="1:28">
      <c r="A165" s="6">
        <v>40045</v>
      </c>
      <c r="B165" t="s">
        <v>469</v>
      </c>
      <c r="C165" t="s">
        <v>818</v>
      </c>
      <c r="D165" t="s">
        <v>639</v>
      </c>
      <c r="E165" t="s">
        <v>472</v>
      </c>
      <c r="F165" s="7">
        <v>10</v>
      </c>
      <c r="G165">
        <v>7.5</v>
      </c>
      <c r="H165">
        <v>5</v>
      </c>
      <c r="I165">
        <v>5</v>
      </c>
      <c r="J165" t="s">
        <v>747</v>
      </c>
      <c r="K165" t="s">
        <v>237</v>
      </c>
      <c r="L165" t="s">
        <v>174</v>
      </c>
      <c r="M165" t="s">
        <v>174</v>
      </c>
      <c r="N165" t="s">
        <v>748</v>
      </c>
      <c r="X165">
        <v>1</v>
      </c>
      <c r="Z165">
        <f>(1*(0.013*(65^3)))</f>
        <v>3570.125</v>
      </c>
      <c r="AA165">
        <f t="shared" si="4"/>
        <v>1</v>
      </c>
      <c r="AB165">
        <f t="shared" si="5"/>
        <v>1</v>
      </c>
    </row>
    <row r="166" spans="1:28">
      <c r="A166" s="6">
        <v>40045</v>
      </c>
      <c r="B166" t="s">
        <v>469</v>
      </c>
      <c r="C166" t="s">
        <v>818</v>
      </c>
      <c r="D166" t="s">
        <v>639</v>
      </c>
      <c r="E166" t="s">
        <v>472</v>
      </c>
      <c r="F166" s="7">
        <v>10</v>
      </c>
      <c r="G166">
        <v>7.5</v>
      </c>
      <c r="H166">
        <v>5</v>
      </c>
      <c r="I166">
        <v>5</v>
      </c>
      <c r="J166" t="s">
        <v>747</v>
      </c>
      <c r="K166" t="s">
        <v>237</v>
      </c>
      <c r="L166" t="s">
        <v>199</v>
      </c>
      <c r="M166" t="s">
        <v>175</v>
      </c>
      <c r="N166" s="9" t="s">
        <v>38</v>
      </c>
      <c r="O166">
        <v>4</v>
      </c>
      <c r="Z166">
        <f>(4*(0.0175*(4^3))+P166*(0.0175*(12.5^3)))+(Q166*(0.0175*(17.5^3)))+(R166*(0.0175*(22.5^3)))+(S166*(0.0175*(27.5^3)))+(T166*(0.0175*(32.5^3)))+(U166*(0.0175*(37.5^3)))+(V166*(0.0175*(42.5^3)))+(W166*(0.0175*(27.5^3)))</f>
        <v>4.4800000000000004</v>
      </c>
      <c r="AA166">
        <f t="shared" si="4"/>
        <v>4</v>
      </c>
      <c r="AB166">
        <f t="shared" si="5"/>
        <v>0</v>
      </c>
    </row>
    <row r="167" spans="1:28">
      <c r="A167" s="6">
        <v>40045</v>
      </c>
      <c r="B167" t="s">
        <v>469</v>
      </c>
      <c r="C167" t="s">
        <v>818</v>
      </c>
      <c r="D167" t="s">
        <v>639</v>
      </c>
      <c r="E167" t="s">
        <v>472</v>
      </c>
      <c r="F167" s="7">
        <v>10</v>
      </c>
      <c r="G167">
        <v>7.5</v>
      </c>
      <c r="H167">
        <v>5</v>
      </c>
      <c r="I167">
        <v>5</v>
      </c>
      <c r="J167" t="s">
        <v>747</v>
      </c>
      <c r="K167" t="s">
        <v>237</v>
      </c>
      <c r="L167" s="9" t="s">
        <v>57</v>
      </c>
      <c r="M167" s="9" t="s">
        <v>175</v>
      </c>
      <c r="N167" t="s">
        <v>750</v>
      </c>
      <c r="O167">
        <v>55</v>
      </c>
      <c r="Z167">
        <f>(55*(0.000007*(60^3.144)))</f>
        <v>149.95752389323175</v>
      </c>
      <c r="AA167">
        <f t="shared" si="4"/>
        <v>55</v>
      </c>
      <c r="AB167">
        <f t="shared" si="5"/>
        <v>0</v>
      </c>
    </row>
    <row r="168" spans="1:28">
      <c r="A168" s="6">
        <v>40045</v>
      </c>
      <c r="B168" t="s">
        <v>469</v>
      </c>
      <c r="C168" t="s">
        <v>818</v>
      </c>
      <c r="D168" t="s">
        <v>639</v>
      </c>
      <c r="E168" t="s">
        <v>472</v>
      </c>
      <c r="F168" s="7">
        <v>10</v>
      </c>
      <c r="G168">
        <v>7.5</v>
      </c>
      <c r="H168">
        <v>5</v>
      </c>
      <c r="I168">
        <v>5</v>
      </c>
      <c r="J168" t="s">
        <v>747</v>
      </c>
      <c r="K168" t="s">
        <v>237</v>
      </c>
      <c r="L168" t="s">
        <v>170</v>
      </c>
      <c r="M168" t="s">
        <v>170</v>
      </c>
      <c r="N168" t="s">
        <v>477</v>
      </c>
      <c r="O168">
        <v>1</v>
      </c>
      <c r="Z168">
        <f>(0*(0.0156*(7^3))+0*(0.0156*(8^3))+1*(0.0156*(9^3))+0*(0.0156*(10^3))+0*(0.0156*(12^3))+0*(0.0156*(12.5^3)))+(Q168*(0.0156*(17.5^3)))+(R168*(0.0156*(22.5^3)))+(S168*(0.0156*(27.5^3)))+(T168*(0.0156*(32.5^3)))+(U168*(0.0156*(37.5^3)))+(V168*(0.0156*(42.5^3)))+(W168*(0.0156*(27.5^3)))</f>
        <v>11.372399999999999</v>
      </c>
      <c r="AA168">
        <f t="shared" si="4"/>
        <v>1</v>
      </c>
      <c r="AB168">
        <f t="shared" si="5"/>
        <v>0</v>
      </c>
    </row>
    <row r="169" spans="1:28">
      <c r="A169" s="6">
        <v>40045</v>
      </c>
      <c r="B169" t="s">
        <v>469</v>
      </c>
      <c r="C169" t="s">
        <v>818</v>
      </c>
      <c r="D169" t="s">
        <v>639</v>
      </c>
      <c r="E169" t="s">
        <v>472</v>
      </c>
      <c r="F169" s="7">
        <v>10</v>
      </c>
      <c r="G169">
        <v>7.5</v>
      </c>
      <c r="H169">
        <v>6</v>
      </c>
      <c r="I169">
        <v>6</v>
      </c>
      <c r="J169" t="s">
        <v>747</v>
      </c>
      <c r="K169" t="s">
        <v>237</v>
      </c>
      <c r="L169" t="s">
        <v>170</v>
      </c>
      <c r="M169" t="s">
        <v>170</v>
      </c>
      <c r="N169" t="s">
        <v>476</v>
      </c>
      <c r="U169">
        <v>2</v>
      </c>
      <c r="Z169">
        <f>(0*(0.0156*(7^3))+0*(0.0156*(8^3))+0*(0.0156*(9^3))+0*(0.0156*(10^3))+0*(0.0156*(12^3))+0*(0.0156*(12.5^3)))+(Q169*(0.0156*(17.5^3)))+(R169*(0.0156*(22.5^3)))+(S169*(0.0156*(27.5^3)))+(T169*(0.0156*(32.5^3)))+(U169*(0.0156*(37.5^3)))+(V169*(0.0156*(42.5^3)))+(W169*(0.0156*(27.5^3)))</f>
        <v>1645.3125</v>
      </c>
      <c r="AA169">
        <f t="shared" si="4"/>
        <v>2</v>
      </c>
      <c r="AB169">
        <f t="shared" si="5"/>
        <v>2</v>
      </c>
    </row>
    <row r="170" spans="1:28">
      <c r="A170" s="6">
        <v>40045</v>
      </c>
      <c r="B170" t="s">
        <v>469</v>
      </c>
      <c r="C170" t="s">
        <v>818</v>
      </c>
      <c r="D170" t="s">
        <v>639</v>
      </c>
      <c r="E170" t="s">
        <v>472</v>
      </c>
      <c r="F170" s="7">
        <v>10</v>
      </c>
      <c r="G170">
        <v>7.5</v>
      </c>
      <c r="H170">
        <v>6</v>
      </c>
      <c r="I170">
        <v>6</v>
      </c>
      <c r="J170" t="s">
        <v>747</v>
      </c>
      <c r="K170" t="s">
        <v>237</v>
      </c>
      <c r="L170" t="s">
        <v>170</v>
      </c>
      <c r="M170" t="s">
        <v>170</v>
      </c>
      <c r="N170" t="s">
        <v>477</v>
      </c>
      <c r="P170">
        <v>1</v>
      </c>
      <c r="Z170">
        <f>(0*(0.0156*(7^3))+0*(0.0156*(8^3))+0*(0.0156*(9^3))+0*(0.0156*(10^3))+1*(0.0156*(11^3))+0*(0.0156*(12.5^3)))+(Q170*(0.0156*(17.5^3)))+(R170*(0.0156*(22.5^3)))+(S170*(0.0156*(27.5^3)))+(T170*(0.0156*(32.5^3)))+(U170*(0.0156*(37.5^3)))+(V170*(0.0156*(42.5^3)))+(W170*(0.0156*(27.5^3)))</f>
        <v>20.7636</v>
      </c>
      <c r="AA170">
        <f t="shared" si="4"/>
        <v>1</v>
      </c>
      <c r="AB170">
        <f t="shared" si="5"/>
        <v>0</v>
      </c>
    </row>
    <row r="171" spans="1:28">
      <c r="A171" s="6">
        <v>40045</v>
      </c>
      <c r="B171" t="s">
        <v>469</v>
      </c>
      <c r="C171" t="s">
        <v>818</v>
      </c>
      <c r="D171" t="s">
        <v>639</v>
      </c>
      <c r="E171" t="s">
        <v>472</v>
      </c>
      <c r="F171" s="7">
        <v>10</v>
      </c>
      <c r="G171">
        <v>7.5</v>
      </c>
      <c r="H171">
        <v>6</v>
      </c>
      <c r="I171">
        <v>6</v>
      </c>
      <c r="J171" t="s">
        <v>747</v>
      </c>
      <c r="K171" t="s">
        <v>237</v>
      </c>
      <c r="L171" t="s">
        <v>252</v>
      </c>
      <c r="M171" t="s">
        <v>263</v>
      </c>
      <c r="N171" t="s">
        <v>571</v>
      </c>
      <c r="P171">
        <v>3</v>
      </c>
      <c r="Q171">
        <v>3</v>
      </c>
      <c r="R171">
        <v>2</v>
      </c>
      <c r="S171">
        <v>2</v>
      </c>
      <c r="Z171">
        <f>(3*(0.0211*(12.5^3)))+(Q171*(0.0211*(17.5^3)))+(R171*(0.0211*(22.5^3)))+(S171*(0.0211*(27.5^3)))+(T171*(0.0211*(32.5^3)))+(U171*(0.0211*(37.5^3)))+(V171*(0.0211*(42.5^3)))+(W171*(0.0211*(27.5^3)))</f>
        <v>1821.1937499999999</v>
      </c>
      <c r="AA171">
        <f t="shared" si="4"/>
        <v>10</v>
      </c>
      <c r="AB171">
        <f t="shared" si="5"/>
        <v>7</v>
      </c>
    </row>
    <row r="172" spans="1:28">
      <c r="A172" s="6">
        <v>40045</v>
      </c>
      <c r="B172" t="s">
        <v>469</v>
      </c>
      <c r="C172" t="s">
        <v>818</v>
      </c>
      <c r="D172" t="s">
        <v>639</v>
      </c>
      <c r="E172" t="s">
        <v>472</v>
      </c>
      <c r="F172" s="7">
        <v>10</v>
      </c>
      <c r="G172">
        <v>7.5</v>
      </c>
      <c r="H172">
        <v>6</v>
      </c>
      <c r="I172">
        <v>6</v>
      </c>
      <c r="J172" t="s">
        <v>747</v>
      </c>
      <c r="K172" t="s">
        <v>237</v>
      </c>
      <c r="L172" t="s">
        <v>170</v>
      </c>
      <c r="M172" t="s">
        <v>170</v>
      </c>
      <c r="N172" t="s">
        <v>410</v>
      </c>
      <c r="T172">
        <v>1</v>
      </c>
      <c r="Z172">
        <f>(0*(0.0156*(7^3))+0*(0.0156*(8^3))+0*(0.0156*(9^3))+0*(0.0156*(10^3))+0*(0.0156*(12^3))+0*(0.0156*(12.5^3)))+(Q172*(0.0156*(17.5^3)))+(R172*(0.0156*(22.5^3)))+(S172*(0.0156*(27.5^3)))+(T172*(0.0156*(32.5^3)))+(U172*(0.0156*(37.5^3)))+(V172*(0.0156*(42.5^3)))+(W172*(0.0156*(27.5^3)))</f>
        <v>535.51874999999995</v>
      </c>
      <c r="AA172">
        <f t="shared" si="4"/>
        <v>1</v>
      </c>
      <c r="AB172">
        <f t="shared" si="5"/>
        <v>1</v>
      </c>
    </row>
    <row r="173" spans="1:28">
      <c r="A173" s="6">
        <v>40045</v>
      </c>
      <c r="B173" t="s">
        <v>469</v>
      </c>
      <c r="C173" t="s">
        <v>818</v>
      </c>
      <c r="D173" t="s">
        <v>639</v>
      </c>
      <c r="E173" t="s">
        <v>472</v>
      </c>
      <c r="F173" s="7">
        <v>10</v>
      </c>
      <c r="G173">
        <v>7.5</v>
      </c>
      <c r="H173">
        <v>6</v>
      </c>
      <c r="I173">
        <v>6</v>
      </c>
      <c r="J173" t="s">
        <v>747</v>
      </c>
      <c r="K173" t="s">
        <v>237</v>
      </c>
      <c r="L173" s="9" t="s">
        <v>107</v>
      </c>
      <c r="M173" s="9" t="s">
        <v>202</v>
      </c>
      <c r="N173" t="s">
        <v>573</v>
      </c>
      <c r="P173">
        <v>1</v>
      </c>
      <c r="Z173">
        <f>(1*(0.0043*(11^3.018)))</f>
        <v>5.9757384313780317</v>
      </c>
      <c r="AA173">
        <f t="shared" si="4"/>
        <v>1</v>
      </c>
      <c r="AB173">
        <f t="shared" si="5"/>
        <v>0</v>
      </c>
    </row>
    <row r="174" spans="1:28">
      <c r="A174" s="6">
        <v>40046</v>
      </c>
      <c r="B174" t="s">
        <v>548</v>
      </c>
      <c r="C174" t="s">
        <v>574</v>
      </c>
      <c r="D174" t="s">
        <v>575</v>
      </c>
      <c r="E174" t="s">
        <v>472</v>
      </c>
      <c r="G174" t="s">
        <v>576</v>
      </c>
      <c r="H174">
        <v>1</v>
      </c>
      <c r="I174">
        <v>1</v>
      </c>
      <c r="J174" t="s">
        <v>747</v>
      </c>
      <c r="K174" t="s">
        <v>237</v>
      </c>
      <c r="L174" t="s">
        <v>252</v>
      </c>
      <c r="M174" t="s">
        <v>263</v>
      </c>
      <c r="N174" t="s">
        <v>211</v>
      </c>
      <c r="P174">
        <v>99</v>
      </c>
      <c r="R174">
        <v>2</v>
      </c>
      <c r="S174">
        <v>2</v>
      </c>
      <c r="U174">
        <v>3</v>
      </c>
      <c r="V174">
        <v>2</v>
      </c>
      <c r="Z174">
        <f>(99*(0.0211*(12.5^3)))+(Q174*(0.0211*(17.5^3)))+(R174*(0.0211*(22.5^3)))+(S174*(0.0211*(27.5^3)))+(T174*(0.0211*(32.5^3)))+(U174*(0.0211*(37.5^3)))+(V174*(0.0211*(42.5^3)))+(W174*(0.0211*(27.5^3)))</f>
        <v>12015.790625</v>
      </c>
      <c r="AA174">
        <f t="shared" si="4"/>
        <v>108</v>
      </c>
      <c r="AB174">
        <f t="shared" si="5"/>
        <v>9</v>
      </c>
    </row>
    <row r="175" spans="1:28">
      <c r="A175" s="6">
        <v>40046</v>
      </c>
      <c r="B175" t="s">
        <v>469</v>
      </c>
      <c r="C175" t="s">
        <v>578</v>
      </c>
      <c r="D175" t="s">
        <v>575</v>
      </c>
      <c r="E175" t="s">
        <v>472</v>
      </c>
      <c r="G175" t="s">
        <v>576</v>
      </c>
      <c r="H175">
        <v>1</v>
      </c>
      <c r="I175">
        <v>1</v>
      </c>
      <c r="J175" t="s">
        <v>747</v>
      </c>
      <c r="K175" t="s">
        <v>237</v>
      </c>
      <c r="L175" t="s">
        <v>170</v>
      </c>
      <c r="M175" t="s">
        <v>170</v>
      </c>
      <c r="N175" t="s">
        <v>476</v>
      </c>
      <c r="T175">
        <v>2</v>
      </c>
      <c r="U175">
        <v>3</v>
      </c>
      <c r="Z175">
        <f>(0*(0.0156*(7^3))+0*(0.0156*(8^3))+0*(0.0156*(9^3))+0*(0.0156*(10^3))+0*(0.0156*(12^3))+0*(0.0156*(12.5^3)))+(Q175*(0.0156*(17.5^3)))+(R175*(0.0156*(22.5^3)))+(S175*(0.0156*(27.5^3)))+(T175*(0.0156*(32.5^3)))+(U175*(0.0156*(37.5^3)))+(V175*(0.0156*(42.5^3)))+(W175*(0.0156*(27.5^3)))</f>
        <v>3539.0062499999999</v>
      </c>
      <c r="AA175">
        <f t="shared" si="4"/>
        <v>5</v>
      </c>
      <c r="AB175">
        <f t="shared" si="5"/>
        <v>5</v>
      </c>
    </row>
    <row r="176" spans="1:28">
      <c r="A176" s="6">
        <v>40046</v>
      </c>
      <c r="B176" t="s">
        <v>469</v>
      </c>
      <c r="C176" t="s">
        <v>578</v>
      </c>
      <c r="D176" t="s">
        <v>575</v>
      </c>
      <c r="E176" t="s">
        <v>472</v>
      </c>
      <c r="G176" t="s">
        <v>576</v>
      </c>
      <c r="H176">
        <v>1</v>
      </c>
      <c r="I176">
        <v>1</v>
      </c>
      <c r="J176" t="s">
        <v>747</v>
      </c>
      <c r="K176" t="s">
        <v>237</v>
      </c>
      <c r="L176" t="s">
        <v>170</v>
      </c>
      <c r="M176" t="s">
        <v>170</v>
      </c>
      <c r="N176" t="s">
        <v>410</v>
      </c>
      <c r="R176">
        <v>1</v>
      </c>
      <c r="Z176">
        <f>(0*(0.0156*(7^3))+0*(0.0156*(8^3))+0*(0.0156*(9^3))+0*(0.0156*(10^3))+0*(0.0156*(12^3))+0*(0.0156*(12.5^3)))+(Q176*(0.0156*(17.5^3)))+(R176*(0.0156*(22.5^3)))+(S176*(0.0156*(27.5^3)))+(T176*(0.0156*(32.5^3)))+(U176*(0.0156*(37.5^3)))+(V176*(0.0156*(42.5^3)))+(W176*(0.0156*(27.5^3)))</f>
        <v>177.69374999999999</v>
      </c>
      <c r="AA176">
        <f t="shared" si="4"/>
        <v>1</v>
      </c>
      <c r="AB176">
        <f t="shared" si="5"/>
        <v>1</v>
      </c>
    </row>
    <row r="177" spans="1:28">
      <c r="A177" s="6">
        <v>40046</v>
      </c>
      <c r="B177" t="s">
        <v>469</v>
      </c>
      <c r="C177" t="s">
        <v>578</v>
      </c>
      <c r="D177" t="s">
        <v>575</v>
      </c>
      <c r="E177" t="s">
        <v>472</v>
      </c>
      <c r="G177" t="s">
        <v>576</v>
      </c>
      <c r="H177">
        <v>1</v>
      </c>
      <c r="I177">
        <v>1</v>
      </c>
      <c r="J177" t="s">
        <v>747</v>
      </c>
      <c r="K177" t="s">
        <v>237</v>
      </c>
      <c r="L177" s="9" t="s">
        <v>57</v>
      </c>
      <c r="M177" s="9" t="s">
        <v>175</v>
      </c>
      <c r="N177" t="s">
        <v>458</v>
      </c>
      <c r="O177">
        <v>2</v>
      </c>
      <c r="Z177">
        <f>(2*(0.000007*(70^3.144)))</f>
        <v>8.8535261319409582</v>
      </c>
      <c r="AA177">
        <f t="shared" si="4"/>
        <v>2</v>
      </c>
      <c r="AB177">
        <f t="shared" si="5"/>
        <v>0</v>
      </c>
    </row>
    <row r="178" spans="1:28">
      <c r="A178" s="6">
        <v>40046</v>
      </c>
      <c r="B178" t="s">
        <v>469</v>
      </c>
      <c r="C178" t="s">
        <v>578</v>
      </c>
      <c r="D178" t="s">
        <v>575</v>
      </c>
      <c r="E178" t="s">
        <v>472</v>
      </c>
      <c r="G178" t="s">
        <v>576</v>
      </c>
      <c r="H178">
        <v>1</v>
      </c>
      <c r="I178">
        <v>1</v>
      </c>
      <c r="J178" t="s">
        <v>747</v>
      </c>
      <c r="K178" t="s">
        <v>237</v>
      </c>
      <c r="L178" t="s">
        <v>174</v>
      </c>
      <c r="M178" t="s">
        <v>174</v>
      </c>
      <c r="N178" t="s">
        <v>748</v>
      </c>
      <c r="X178">
        <v>1</v>
      </c>
      <c r="Z178">
        <f>(1*(0.013*(60^3)))</f>
        <v>2808</v>
      </c>
      <c r="AA178">
        <f t="shared" si="4"/>
        <v>1</v>
      </c>
      <c r="AB178">
        <f t="shared" si="5"/>
        <v>1</v>
      </c>
    </row>
    <row r="179" spans="1:28">
      <c r="A179" s="6">
        <v>40046</v>
      </c>
      <c r="B179" t="s">
        <v>469</v>
      </c>
      <c r="C179" t="s">
        <v>578</v>
      </c>
      <c r="D179" t="s">
        <v>575</v>
      </c>
      <c r="E179" t="s">
        <v>472</v>
      </c>
      <c r="G179" t="s">
        <v>576</v>
      </c>
      <c r="H179">
        <v>1</v>
      </c>
      <c r="I179">
        <v>1</v>
      </c>
      <c r="J179" t="s">
        <v>747</v>
      </c>
      <c r="K179" t="s">
        <v>237</v>
      </c>
      <c r="L179" t="s">
        <v>179</v>
      </c>
      <c r="M179" t="s">
        <v>179</v>
      </c>
      <c r="N179" t="s">
        <v>35</v>
      </c>
      <c r="P179">
        <v>1</v>
      </c>
      <c r="Z179" s="9">
        <f>(P179*((EXP(3.19*(LOG10(125))))-5.29))+(Q179*((EXP(3.19*(LOG10(175))))-5.29))+(R179*((EXP(3.19*(LOG10(225))))-5.29))+(S179*((EXP(3.19*(LOG10(275))))-5.29))</f>
        <v>798.34319624037357</v>
      </c>
      <c r="AA179">
        <f t="shared" si="4"/>
        <v>1</v>
      </c>
      <c r="AB179">
        <f t="shared" si="5"/>
        <v>0</v>
      </c>
    </row>
    <row r="180" spans="1:28">
      <c r="A180" s="6">
        <v>40046</v>
      </c>
      <c r="B180" t="s">
        <v>469</v>
      </c>
      <c r="C180" t="s">
        <v>578</v>
      </c>
      <c r="D180" t="s">
        <v>575</v>
      </c>
      <c r="E180" t="s">
        <v>472</v>
      </c>
      <c r="G180" t="s">
        <v>581</v>
      </c>
      <c r="H180">
        <v>2</v>
      </c>
      <c r="I180">
        <v>2</v>
      </c>
      <c r="J180" t="s">
        <v>747</v>
      </c>
      <c r="K180" t="s">
        <v>237</v>
      </c>
      <c r="L180" t="s">
        <v>252</v>
      </c>
      <c r="M180" t="s">
        <v>263</v>
      </c>
      <c r="N180" t="s">
        <v>211</v>
      </c>
      <c r="P180">
        <v>190</v>
      </c>
      <c r="Q180">
        <v>3</v>
      </c>
      <c r="R180">
        <v>4</v>
      </c>
      <c r="S180">
        <v>1</v>
      </c>
      <c r="U180">
        <v>1</v>
      </c>
      <c r="V180">
        <v>1</v>
      </c>
      <c r="Z180">
        <f>(35*(0.0211*(12.5^3)))+(3*(0.0211*(17.5^3)))+(R180*(0.0211*(22.5^3)))+(S180*(0.0211*(27.5^3)))+(T180*(0.0211*(32.5^3)))+(U180*(0.0211*(37.5^3)))+(V180*(0.0211*(42.5^3)))+(W180*(0.0211*(27.5^3)))</f>
        <v>5914.2640624999995</v>
      </c>
      <c r="AA180">
        <f t="shared" si="4"/>
        <v>200</v>
      </c>
      <c r="AB180">
        <f t="shared" si="5"/>
        <v>10</v>
      </c>
    </row>
    <row r="181" spans="1:28">
      <c r="A181" s="6">
        <v>40046</v>
      </c>
      <c r="B181" t="s">
        <v>469</v>
      </c>
      <c r="C181" t="s">
        <v>578</v>
      </c>
      <c r="D181" t="s">
        <v>575</v>
      </c>
      <c r="E181" t="s">
        <v>472</v>
      </c>
      <c r="G181" t="s">
        <v>581</v>
      </c>
      <c r="H181">
        <v>2</v>
      </c>
      <c r="I181">
        <v>2</v>
      </c>
      <c r="J181" t="s">
        <v>747</v>
      </c>
      <c r="K181" t="s">
        <v>237</v>
      </c>
      <c r="L181" t="s">
        <v>170</v>
      </c>
      <c r="M181" t="s">
        <v>170</v>
      </c>
      <c r="N181" t="s">
        <v>477</v>
      </c>
      <c r="P181">
        <v>1</v>
      </c>
      <c r="Z181">
        <f>(0*(0.0156*(7^3))+0*(0.0156*(8^3))+0*(0.0156*(9^3))+0*(0.0156*(10^3))+1*(0.0156*(13^3))+0*(0.0156*(12.5^3)))+(Q181*(0.0156*(17.5^3)))+(R181*(0.0156*(22.5^3)))+(S181*(0.0156*(27.5^3)))+(T181*(0.0156*(32.5^3)))+(U181*(0.0156*(37.5^3)))+(V181*(0.0156*(42.5^3)))+(W181*(0.0156*(27.5^3)))</f>
        <v>34.273199999999996</v>
      </c>
      <c r="AA181">
        <f t="shared" si="4"/>
        <v>1</v>
      </c>
      <c r="AB181">
        <f t="shared" si="5"/>
        <v>0</v>
      </c>
    </row>
    <row r="182" spans="1:28">
      <c r="A182" s="6">
        <v>40046</v>
      </c>
      <c r="B182" t="s">
        <v>469</v>
      </c>
      <c r="C182" t="s">
        <v>578</v>
      </c>
      <c r="D182" t="s">
        <v>575</v>
      </c>
      <c r="E182" t="s">
        <v>472</v>
      </c>
      <c r="G182" t="s">
        <v>581</v>
      </c>
      <c r="H182">
        <v>2</v>
      </c>
      <c r="I182">
        <v>2</v>
      </c>
      <c r="J182" t="s">
        <v>747</v>
      </c>
      <c r="K182" t="s">
        <v>237</v>
      </c>
      <c r="L182" t="s">
        <v>170</v>
      </c>
      <c r="M182" t="s">
        <v>170</v>
      </c>
      <c r="N182" t="s">
        <v>476</v>
      </c>
      <c r="T182">
        <v>1</v>
      </c>
      <c r="U182">
        <v>3</v>
      </c>
      <c r="V182">
        <v>1</v>
      </c>
      <c r="Z182">
        <f>(0*(0.0156*(7^3))+0*(0.0156*(8^3))+0*(0.0156*(9^3))+0*(0.0156*(10^3))+0*(0.0156*(12^3))+0*(0.0156*(12.5^3)))+(Q182*(0.0156*(17.5^3)))+(R182*(0.0156*(22.5^3)))+(S182*(0.0156*(27.5^3)))+(T182*(0.0156*(32.5^3)))+(U182*(0.0156*(37.5^3)))+(V182*(0.0156*(42.5^3)))+(W182*(0.0156*(27.5^3)))</f>
        <v>4201.03125</v>
      </c>
      <c r="AA182">
        <f t="shared" si="4"/>
        <v>5</v>
      </c>
      <c r="AB182">
        <f t="shared" si="5"/>
        <v>5</v>
      </c>
    </row>
    <row r="183" spans="1:28">
      <c r="A183" s="6">
        <v>40046</v>
      </c>
      <c r="B183" t="s">
        <v>469</v>
      </c>
      <c r="C183" t="s">
        <v>578</v>
      </c>
      <c r="D183" t="s">
        <v>575</v>
      </c>
      <c r="E183" t="s">
        <v>472</v>
      </c>
      <c r="G183" t="s">
        <v>581</v>
      </c>
      <c r="H183">
        <v>2</v>
      </c>
      <c r="I183">
        <v>2</v>
      </c>
      <c r="J183" t="s">
        <v>747</v>
      </c>
      <c r="K183" t="s">
        <v>237</v>
      </c>
      <c r="L183" t="s">
        <v>199</v>
      </c>
      <c r="M183" t="s">
        <v>175</v>
      </c>
      <c r="N183" t="s">
        <v>38</v>
      </c>
      <c r="O183">
        <v>2</v>
      </c>
      <c r="U183">
        <v>1</v>
      </c>
      <c r="Z183">
        <f>(2*(0.0175*(4^3))+P183*(0.0175*(12.5^3)))+(Q183*(0.0175*(17.5^3)))+(R183*(0.0175*(22.5^3)))+(S183*(0.0175*(27.5^3)))+(T183*(0.0175*(32.5^3)))+(U183*(0.0175*(37.5^3)))+(V183*(0.0175*(42.5^3)))+(W183*(0.0175*(27.5^3)))</f>
        <v>925.09156250000012</v>
      </c>
      <c r="AA183">
        <f t="shared" si="4"/>
        <v>3</v>
      </c>
      <c r="AB183">
        <f t="shared" si="5"/>
        <v>1</v>
      </c>
    </row>
    <row r="184" spans="1:28">
      <c r="A184" s="6">
        <v>40046</v>
      </c>
      <c r="B184" t="s">
        <v>469</v>
      </c>
      <c r="C184" t="s">
        <v>578</v>
      </c>
      <c r="D184" t="s">
        <v>575</v>
      </c>
      <c r="E184" t="s">
        <v>472</v>
      </c>
      <c r="G184" t="s">
        <v>581</v>
      </c>
      <c r="H184">
        <v>2</v>
      </c>
      <c r="I184">
        <v>2</v>
      </c>
      <c r="J184" t="s">
        <v>747</v>
      </c>
      <c r="K184" t="s">
        <v>237</v>
      </c>
      <c r="L184" t="s">
        <v>61</v>
      </c>
      <c r="M184" t="s">
        <v>175</v>
      </c>
      <c r="N184" t="s">
        <v>586</v>
      </c>
      <c r="Q184">
        <v>1</v>
      </c>
      <c r="S184">
        <v>3</v>
      </c>
      <c r="T184">
        <v>3</v>
      </c>
      <c r="Z184">
        <f>(1*(0.00000779*(175^3.18)))+(S184*(0.00000779*(275^3.18)))+(T184*(0.00000779*(325^3.18)))</f>
        <v>3713.7706262644788</v>
      </c>
      <c r="AA184">
        <f t="shared" si="4"/>
        <v>7</v>
      </c>
      <c r="AB184">
        <f t="shared" si="5"/>
        <v>7</v>
      </c>
    </row>
    <row r="185" spans="1:28">
      <c r="A185" s="6">
        <v>40046</v>
      </c>
      <c r="B185" t="s">
        <v>469</v>
      </c>
      <c r="C185" t="s">
        <v>578</v>
      </c>
      <c r="D185" t="s">
        <v>575</v>
      </c>
      <c r="E185" t="s">
        <v>472</v>
      </c>
      <c r="G185" t="s">
        <v>581</v>
      </c>
      <c r="H185">
        <v>2</v>
      </c>
      <c r="I185">
        <v>2</v>
      </c>
      <c r="J185" t="s">
        <v>747</v>
      </c>
      <c r="K185" t="s">
        <v>237</v>
      </c>
      <c r="L185" s="9" t="s">
        <v>209</v>
      </c>
      <c r="M185" s="9" t="s">
        <v>62</v>
      </c>
      <c r="N185" t="s">
        <v>587</v>
      </c>
      <c r="Q185">
        <v>1</v>
      </c>
      <c r="Z185">
        <f>(Q185*((2.53*((17.5*10))-0.13)))</f>
        <v>442.61999999999995</v>
      </c>
      <c r="AA185">
        <f t="shared" si="4"/>
        <v>1</v>
      </c>
      <c r="AB185">
        <f t="shared" si="5"/>
        <v>1</v>
      </c>
    </row>
    <row r="186" spans="1:28">
      <c r="A186" s="6">
        <v>40046</v>
      </c>
      <c r="B186" t="s">
        <v>469</v>
      </c>
      <c r="C186" t="s">
        <v>578</v>
      </c>
      <c r="D186" t="s">
        <v>575</v>
      </c>
      <c r="E186" t="s">
        <v>472</v>
      </c>
      <c r="G186" t="s">
        <v>581</v>
      </c>
      <c r="H186">
        <v>2</v>
      </c>
      <c r="I186">
        <v>2</v>
      </c>
      <c r="J186" t="s">
        <v>747</v>
      </c>
      <c r="K186" t="s">
        <v>237</v>
      </c>
      <c r="L186" t="s">
        <v>57</v>
      </c>
      <c r="M186" t="s">
        <v>175</v>
      </c>
      <c r="N186" t="s">
        <v>9</v>
      </c>
      <c r="P186">
        <v>9</v>
      </c>
      <c r="Z186">
        <f>9*(0.00000977*(140^3.09))</f>
        <v>376.42001130275077</v>
      </c>
      <c r="AA186">
        <f t="shared" si="4"/>
        <v>9</v>
      </c>
      <c r="AB186">
        <f t="shared" si="5"/>
        <v>0</v>
      </c>
    </row>
    <row r="187" spans="1:28">
      <c r="A187" s="6">
        <v>40046</v>
      </c>
      <c r="B187" t="s">
        <v>469</v>
      </c>
      <c r="C187" t="s">
        <v>578</v>
      </c>
      <c r="D187" t="s">
        <v>575</v>
      </c>
      <c r="E187" t="s">
        <v>472</v>
      </c>
      <c r="F187" s="7">
        <v>10</v>
      </c>
      <c r="G187" t="s">
        <v>392</v>
      </c>
      <c r="H187">
        <v>3</v>
      </c>
      <c r="I187">
        <v>3</v>
      </c>
      <c r="J187" t="s">
        <v>404</v>
      </c>
      <c r="K187" t="s">
        <v>237</v>
      </c>
      <c r="L187" t="s">
        <v>170</v>
      </c>
      <c r="M187" t="s">
        <v>170</v>
      </c>
      <c r="N187" t="s">
        <v>410</v>
      </c>
      <c r="T187">
        <v>1</v>
      </c>
      <c r="Z187">
        <f>(0*(0.0156*(7^3))+0*(0.0156*(8^3))+0*(0.0156*(9^3))+0*(0.0156*(10^3))+0*(0.0156*(12^3))+0*(0.0156*(12.5^3)))+(Q187*(0.0156*(17.5^3)))+(R187*(0.0156*(22.5^3)))+(S187*(0.0156*(27.5^3)))+(T187*(0.0156*(32.5^3)))+(U187*(0.0156*(37.5^3)))+(V187*(0.0156*(42.5^3)))+(W187*(0.0156*(27.5^3)))</f>
        <v>535.51874999999995</v>
      </c>
      <c r="AA187">
        <f t="shared" si="4"/>
        <v>1</v>
      </c>
      <c r="AB187">
        <f t="shared" si="5"/>
        <v>1</v>
      </c>
    </row>
    <row r="188" spans="1:28">
      <c r="A188" s="6">
        <v>40046</v>
      </c>
      <c r="B188" t="s">
        <v>469</v>
      </c>
      <c r="C188" t="s">
        <v>578</v>
      </c>
      <c r="D188" t="s">
        <v>575</v>
      </c>
      <c r="E188" t="s">
        <v>472</v>
      </c>
      <c r="F188" s="7">
        <v>10</v>
      </c>
      <c r="G188" t="s">
        <v>392</v>
      </c>
      <c r="H188">
        <v>3</v>
      </c>
      <c r="I188">
        <v>3</v>
      </c>
      <c r="J188" t="s">
        <v>404</v>
      </c>
      <c r="K188" t="s">
        <v>237</v>
      </c>
      <c r="L188" t="s">
        <v>170</v>
      </c>
      <c r="M188" t="s">
        <v>170</v>
      </c>
      <c r="N188" t="s">
        <v>477</v>
      </c>
      <c r="P188">
        <v>4</v>
      </c>
      <c r="Z188">
        <f>(0*(0.0156*(7^3))+0*(0.0156*(8^3))+0*(0.0156*(9^3))+2*(0.0156*(10^3))+1*(0.0156*(11^3))+1*(0.0156*(12^3))+0*(0.0156*(12.5^3)))+(Q188*(0.0156*(17.5^3)))+(R188*(0.0156*(22.5^3)))+(S188*(0.0156*(27.5^3)))+(T188*(0.0156*(32.5^3)))+(U188*(0.0156*(37.5^3)))+(V188*(0.0156*(42.5^3)))+(W188*(0.0156*(27.5^3)))</f>
        <v>78.920400000000001</v>
      </c>
      <c r="AA188">
        <f t="shared" si="4"/>
        <v>4</v>
      </c>
      <c r="AB188">
        <f t="shared" si="5"/>
        <v>0</v>
      </c>
    </row>
    <row r="189" spans="1:28">
      <c r="A189" s="6">
        <v>40046</v>
      </c>
      <c r="B189" t="s">
        <v>469</v>
      </c>
      <c r="C189" t="s">
        <v>578</v>
      </c>
      <c r="D189" t="s">
        <v>575</v>
      </c>
      <c r="E189" t="s">
        <v>472</v>
      </c>
      <c r="F189" s="7">
        <v>10</v>
      </c>
      <c r="G189" t="s">
        <v>593</v>
      </c>
      <c r="H189">
        <v>3</v>
      </c>
      <c r="I189">
        <v>3</v>
      </c>
      <c r="J189" t="s">
        <v>404</v>
      </c>
      <c r="K189" t="s">
        <v>237</v>
      </c>
      <c r="L189" t="s">
        <v>170</v>
      </c>
      <c r="M189" t="s">
        <v>170</v>
      </c>
      <c r="N189" t="s">
        <v>476</v>
      </c>
      <c r="Q189">
        <v>1</v>
      </c>
      <c r="T189">
        <v>2</v>
      </c>
      <c r="U189">
        <v>1</v>
      </c>
      <c r="Z189">
        <f>(0*(0.0156*(7^3))+0*(0.0156*(8^3))+0*(0.0156*(9^3))+0*(0.0156*(10^3))+0*(0.0156*(12^3))+0*(0.0156*(12.5^3)))+(Q189*(0.0156*(17.5^3)))+(R189*(0.0156*(22.5^3)))+(S189*(0.0156*(27.5^3)))+(T189*(0.0156*(32.5^3)))+(U189*(0.0156*(37.5^3)))+(V189*(0.0156*(42.5^3)))+(W189*(0.0156*(27.5^3)))</f>
        <v>1977.3</v>
      </c>
      <c r="AA189">
        <f t="shared" si="4"/>
        <v>4</v>
      </c>
      <c r="AB189">
        <f t="shared" si="5"/>
        <v>4</v>
      </c>
    </row>
    <row r="190" spans="1:28">
      <c r="A190" s="6">
        <v>40046</v>
      </c>
      <c r="B190" t="s">
        <v>469</v>
      </c>
      <c r="C190" t="s">
        <v>578</v>
      </c>
      <c r="D190" t="s">
        <v>575</v>
      </c>
      <c r="E190" t="s">
        <v>472</v>
      </c>
      <c r="F190" s="7">
        <v>10</v>
      </c>
      <c r="G190" t="s">
        <v>593</v>
      </c>
      <c r="H190">
        <v>3</v>
      </c>
      <c r="I190">
        <v>3</v>
      </c>
      <c r="J190" t="s">
        <v>404</v>
      </c>
      <c r="K190" t="s">
        <v>237</v>
      </c>
      <c r="L190" t="s">
        <v>174</v>
      </c>
      <c r="M190" t="s">
        <v>174</v>
      </c>
      <c r="N190" t="s">
        <v>748</v>
      </c>
      <c r="X190">
        <v>1</v>
      </c>
      <c r="Z190">
        <f>(1*(0.013*(65^3)))</f>
        <v>3570.125</v>
      </c>
      <c r="AA190">
        <f t="shared" si="4"/>
        <v>1</v>
      </c>
      <c r="AB190">
        <f t="shared" si="5"/>
        <v>1</v>
      </c>
    </row>
    <row r="191" spans="1:28">
      <c r="A191" s="6">
        <v>40046</v>
      </c>
      <c r="B191" t="s">
        <v>469</v>
      </c>
      <c r="C191" t="s">
        <v>578</v>
      </c>
      <c r="D191" t="s">
        <v>575</v>
      </c>
      <c r="E191" t="s">
        <v>472</v>
      </c>
      <c r="F191" s="7">
        <v>10</v>
      </c>
      <c r="G191" t="s">
        <v>593</v>
      </c>
      <c r="H191">
        <v>3</v>
      </c>
      <c r="I191">
        <v>3</v>
      </c>
      <c r="J191" t="s">
        <v>404</v>
      </c>
      <c r="K191" t="s">
        <v>237</v>
      </c>
      <c r="L191" t="s">
        <v>252</v>
      </c>
      <c r="M191" t="s">
        <v>263</v>
      </c>
      <c r="N191" t="s">
        <v>211</v>
      </c>
      <c r="Q191">
        <v>1</v>
      </c>
      <c r="R191">
        <v>2</v>
      </c>
      <c r="S191">
        <v>1</v>
      </c>
      <c r="Z191">
        <f>(P191*(0.0211*(12.5^3)))+(Q191*(0.0211*(17.5^3)))+(R191*(0.0211*(22.5^3)))+(S191*(0.0211*(27.5^3)))+(T191*(0.0211*(32.5^3)))+(U191*(0.0211*(37.5^3)))+(V191*(0.0211*(42.5^3)))+(W191*(0.0211*(27.5^3)))</f>
        <v>1032.58125</v>
      </c>
      <c r="AA191">
        <f t="shared" si="4"/>
        <v>4</v>
      </c>
      <c r="AB191">
        <f t="shared" si="5"/>
        <v>4</v>
      </c>
    </row>
    <row r="192" spans="1:28">
      <c r="A192" s="6">
        <v>40046</v>
      </c>
      <c r="B192" t="s">
        <v>548</v>
      </c>
      <c r="C192" t="s">
        <v>574</v>
      </c>
      <c r="D192" t="s">
        <v>595</v>
      </c>
      <c r="E192" t="s">
        <v>415</v>
      </c>
      <c r="F192" s="7">
        <v>10</v>
      </c>
      <c r="G192">
        <v>9</v>
      </c>
      <c r="H192">
        <v>4</v>
      </c>
      <c r="I192">
        <v>4</v>
      </c>
      <c r="J192" t="s">
        <v>404</v>
      </c>
      <c r="K192" t="s">
        <v>643</v>
      </c>
      <c r="L192" t="s">
        <v>252</v>
      </c>
      <c r="M192" t="s">
        <v>263</v>
      </c>
      <c r="N192" t="s">
        <v>211</v>
      </c>
      <c r="Q192">
        <v>2</v>
      </c>
      <c r="R192">
        <v>10</v>
      </c>
      <c r="S192">
        <v>5</v>
      </c>
      <c r="T192">
        <v>3</v>
      </c>
      <c r="Z192">
        <f>(P192*(0.0211*(12.5^3)))+(2*(0.0211*(17.5^3)))+(R192*(0.0211*(22.5^3)))+(S192*(0.0211*(27.5^3)))+(T192*(0.0211*(32.5^3)))+(U192*(0.0211*(37.5^3)))+(V192*(0.0211*(42.5^3)))+(W192*(0.0211*(27.5^3)))</f>
        <v>6996.6281249999993</v>
      </c>
      <c r="AA192">
        <f t="shared" si="4"/>
        <v>20</v>
      </c>
      <c r="AB192">
        <f t="shared" si="5"/>
        <v>20</v>
      </c>
    </row>
    <row r="193" spans="1:28">
      <c r="A193" s="6">
        <v>40046</v>
      </c>
      <c r="B193" t="s">
        <v>548</v>
      </c>
      <c r="C193" t="s">
        <v>574</v>
      </c>
      <c r="D193" t="s">
        <v>595</v>
      </c>
      <c r="E193" t="s">
        <v>415</v>
      </c>
      <c r="F193" s="7">
        <v>10</v>
      </c>
      <c r="G193">
        <v>9</v>
      </c>
      <c r="H193">
        <v>4</v>
      </c>
      <c r="I193">
        <v>4</v>
      </c>
      <c r="J193" t="s">
        <v>404</v>
      </c>
      <c r="K193" t="s">
        <v>643</v>
      </c>
      <c r="L193" t="s">
        <v>170</v>
      </c>
      <c r="M193" t="s">
        <v>170</v>
      </c>
      <c r="N193" t="s">
        <v>597</v>
      </c>
      <c r="T193">
        <v>2</v>
      </c>
      <c r="U193">
        <v>1</v>
      </c>
      <c r="Z193">
        <f>(0*(0.0156*(7^3))+0*(0.0156*(8^3))+0*(0.0156*(9^3))+0*(0.0156*(10^3))+0*(0.0156*(12^3))+0*(0.0156*(12.5^3)))+(Q193*(0.0156*(17.5^3)))+(R193*(0.0156*(22.5^3)))+(S193*(0.0156*(27.5^3)))+(T193*(0.0156*(32.5^3)))+(U193*(0.0156*(37.5^3)))+(V193*(0.0156*(42.5^3)))+(W193*(0.0156*(27.5^3)))</f>
        <v>1893.6937499999999</v>
      </c>
      <c r="AA193">
        <f t="shared" si="4"/>
        <v>3</v>
      </c>
      <c r="AB193">
        <f t="shared" si="5"/>
        <v>3</v>
      </c>
    </row>
    <row r="194" spans="1:28">
      <c r="A194" s="6">
        <v>40046</v>
      </c>
      <c r="B194" t="s">
        <v>548</v>
      </c>
      <c r="C194" t="s">
        <v>574</v>
      </c>
      <c r="D194" t="s">
        <v>595</v>
      </c>
      <c r="E194" t="s">
        <v>415</v>
      </c>
      <c r="F194" s="7">
        <v>10</v>
      </c>
      <c r="G194">
        <v>9</v>
      </c>
      <c r="H194">
        <v>4</v>
      </c>
      <c r="I194">
        <v>4</v>
      </c>
      <c r="J194" t="s">
        <v>404</v>
      </c>
      <c r="K194" t="s">
        <v>643</v>
      </c>
      <c r="L194" t="s">
        <v>199</v>
      </c>
      <c r="M194" t="s">
        <v>175</v>
      </c>
      <c r="N194" s="9" t="s">
        <v>38</v>
      </c>
      <c r="O194">
        <v>3</v>
      </c>
      <c r="T194">
        <v>2</v>
      </c>
      <c r="U194">
        <v>1</v>
      </c>
      <c r="Z194">
        <f>(2*(0.0175*(4^3))+1*(0.0175*(5^3))+P194*(0.0175*(12.5^3)))+(Q194*(0.0175*(17.5^3)))+(R194*(0.0175*(22.5^3)))+(S194*(0.0175*(27.5^3)))+(T194*(0.0175*(32.5^3)))+(U194*(0.0175*(37.5^3)))+(V194*(0.0175*(42.5^3)))+(W194*(0.0175*(27.5^3)))</f>
        <v>2128.7634375000002</v>
      </c>
      <c r="AA194">
        <f t="shared" si="4"/>
        <v>6</v>
      </c>
      <c r="AB194">
        <f t="shared" si="5"/>
        <v>3</v>
      </c>
    </row>
    <row r="195" spans="1:28">
      <c r="A195" s="6">
        <v>40046</v>
      </c>
      <c r="B195" t="s">
        <v>548</v>
      </c>
      <c r="C195" t="s">
        <v>574</v>
      </c>
      <c r="D195" t="s">
        <v>595</v>
      </c>
      <c r="E195" t="s">
        <v>415</v>
      </c>
      <c r="F195" s="7">
        <v>10</v>
      </c>
      <c r="G195">
        <v>9</v>
      </c>
      <c r="H195">
        <v>4</v>
      </c>
      <c r="I195">
        <v>4</v>
      </c>
      <c r="J195" t="s">
        <v>404</v>
      </c>
      <c r="K195" t="s">
        <v>643</v>
      </c>
      <c r="L195" t="s">
        <v>61</v>
      </c>
      <c r="M195" t="s">
        <v>175</v>
      </c>
      <c r="N195" t="s">
        <v>599</v>
      </c>
      <c r="O195" t="s">
        <v>600</v>
      </c>
      <c r="Z195">
        <f>(0.0175*(6^3))+((P195*(0.0175*(12.5^3)))+(Q195*(0.0175*(17.5^3)))+(R195*(0.0175*(22.5^3)))+(S195*(0.0175*(27.5^3)))+(T195*(0.0175*(32.5^3)))+(U195*(0.0175*(37.5^3)))+(V195*(0.0175*(42.5^3)))+(W195*(0.0175*(27.5^3))))</f>
        <v>3.7800000000000002</v>
      </c>
      <c r="AA195">
        <f t="shared" ref="AA195:AA253" si="6">SUM(O195:X195)</f>
        <v>0</v>
      </c>
      <c r="AB195">
        <f t="shared" ref="AB195:AB253" si="7">SUM(Q195:X195)</f>
        <v>0</v>
      </c>
    </row>
    <row r="196" spans="1:28">
      <c r="A196" s="6">
        <v>40046</v>
      </c>
      <c r="B196" t="s">
        <v>548</v>
      </c>
      <c r="C196" t="s">
        <v>574</v>
      </c>
      <c r="D196" t="s">
        <v>595</v>
      </c>
      <c r="E196" t="s">
        <v>415</v>
      </c>
      <c r="F196" s="7">
        <v>10</v>
      </c>
      <c r="G196">
        <v>9</v>
      </c>
      <c r="H196">
        <v>4</v>
      </c>
      <c r="I196">
        <v>4</v>
      </c>
      <c r="J196" t="s">
        <v>404</v>
      </c>
      <c r="K196" t="s">
        <v>643</v>
      </c>
      <c r="L196" t="s">
        <v>179</v>
      </c>
      <c r="M196" t="s">
        <v>179</v>
      </c>
      <c r="N196" t="s">
        <v>35</v>
      </c>
      <c r="P196">
        <v>0</v>
      </c>
      <c r="Q196">
        <v>2</v>
      </c>
      <c r="R196">
        <v>2</v>
      </c>
      <c r="S196">
        <v>0</v>
      </c>
      <c r="T196">
        <v>0</v>
      </c>
      <c r="Z196" s="9">
        <f>(P196*((EXP(3.19*(LOG10(125))))-5.29))+(Q196*((EXP(3.19*(LOG10(175))))-5.29))+(R196*((EXP(3.19*(LOG10(225))))-5.29))+(S196*((EXP(3.19*(LOG10(275))))-5.29))</f>
        <v>6169.1974466499905</v>
      </c>
      <c r="AA196">
        <f t="shared" si="6"/>
        <v>4</v>
      </c>
      <c r="AB196">
        <f t="shared" si="7"/>
        <v>4</v>
      </c>
    </row>
    <row r="197" spans="1:28">
      <c r="A197" s="6">
        <v>40046</v>
      </c>
      <c r="B197" t="s">
        <v>548</v>
      </c>
      <c r="C197" t="s">
        <v>574</v>
      </c>
      <c r="D197" t="s">
        <v>595</v>
      </c>
      <c r="E197" t="s">
        <v>415</v>
      </c>
      <c r="F197" s="7">
        <v>10</v>
      </c>
      <c r="G197">
        <v>9</v>
      </c>
      <c r="H197">
        <v>4</v>
      </c>
      <c r="I197">
        <v>4</v>
      </c>
      <c r="J197" t="s">
        <v>404</v>
      </c>
      <c r="K197" t="s">
        <v>643</v>
      </c>
      <c r="L197" t="s">
        <v>170</v>
      </c>
      <c r="M197" t="s">
        <v>170</v>
      </c>
      <c r="N197" t="s">
        <v>410</v>
      </c>
      <c r="S197">
        <v>1</v>
      </c>
      <c r="Z197">
        <f>(0*(0.0156*(7^3))+0*(0.0156*(8^3))+0*(0.0156*(9^3))+0*(0.0156*(10^3))+0*(0.0156*(12^3))+0*(0.0156*(12.5^3)))+(Q197*(0.0156*(17.5^3)))+(R197*(0.0156*(22.5^3)))+(S197*(0.0156*(27.5^3)))+(T197*(0.0156*(32.5^3)))+(U197*(0.0156*(37.5^3)))+(V197*(0.0156*(42.5^3)))+(W197*(0.0156*(27.5^3)))</f>
        <v>324.43124999999998</v>
      </c>
      <c r="AA197">
        <f t="shared" si="6"/>
        <v>1</v>
      </c>
      <c r="AB197">
        <f t="shared" si="7"/>
        <v>1</v>
      </c>
    </row>
    <row r="198" spans="1:28">
      <c r="A198" s="6">
        <v>40046</v>
      </c>
      <c r="B198" t="s">
        <v>548</v>
      </c>
      <c r="C198" t="s">
        <v>574</v>
      </c>
      <c r="D198" t="s">
        <v>595</v>
      </c>
      <c r="E198" t="s">
        <v>415</v>
      </c>
      <c r="F198" s="7">
        <v>10</v>
      </c>
      <c r="G198">
        <v>9</v>
      </c>
      <c r="H198">
        <v>4</v>
      </c>
      <c r="I198">
        <v>4</v>
      </c>
      <c r="J198" t="s">
        <v>404</v>
      </c>
      <c r="K198" t="s">
        <v>643</v>
      </c>
      <c r="L198" t="s">
        <v>61</v>
      </c>
      <c r="M198" t="s">
        <v>175</v>
      </c>
      <c r="N198" t="s">
        <v>411</v>
      </c>
      <c r="P198">
        <v>3</v>
      </c>
      <c r="Z198">
        <f>3*((0.0000146*(110^3.041)))</f>
        <v>70.688581379745784</v>
      </c>
      <c r="AA198">
        <f t="shared" si="6"/>
        <v>3</v>
      </c>
      <c r="AB198">
        <f t="shared" si="7"/>
        <v>0</v>
      </c>
    </row>
    <row r="199" spans="1:28">
      <c r="A199" s="6">
        <v>40047</v>
      </c>
      <c r="B199" t="s">
        <v>548</v>
      </c>
      <c r="C199" t="s">
        <v>413</v>
      </c>
      <c r="D199" t="s">
        <v>414</v>
      </c>
      <c r="E199" t="s">
        <v>415</v>
      </c>
      <c r="F199" s="7">
        <v>10</v>
      </c>
      <c r="G199">
        <v>6</v>
      </c>
      <c r="H199">
        <v>3</v>
      </c>
      <c r="I199">
        <v>3</v>
      </c>
      <c r="J199" t="s">
        <v>417</v>
      </c>
      <c r="K199" t="s">
        <v>643</v>
      </c>
      <c r="L199" t="s">
        <v>252</v>
      </c>
      <c r="M199" t="s">
        <v>263</v>
      </c>
      <c r="N199" t="s">
        <v>211</v>
      </c>
      <c r="P199">
        <v>103</v>
      </c>
      <c r="Q199">
        <v>4</v>
      </c>
      <c r="R199">
        <v>2</v>
      </c>
      <c r="S199">
        <v>1</v>
      </c>
      <c r="T199">
        <v>1</v>
      </c>
      <c r="Z199">
        <f>(103*(0.0211*(12.5^3)))+(Q199*(0.0211*(17.5^3)))+(R199*(0.0211*(22.5^3)))+(S199*(0.0211*(27.5^3)))+(T199*(0.0211*(32.5^3)))+(U199*(0.0211*(37.5^3)))+(V199*(0.0211*(42.5^3)))+(W199*(0.0211*(27.5^3)))</f>
        <v>6340.8796874999998</v>
      </c>
      <c r="AA199">
        <f t="shared" si="6"/>
        <v>111</v>
      </c>
      <c r="AB199">
        <f t="shared" si="7"/>
        <v>8</v>
      </c>
    </row>
    <row r="200" spans="1:28">
      <c r="A200" s="6">
        <v>40047</v>
      </c>
      <c r="B200" t="s">
        <v>548</v>
      </c>
      <c r="C200" t="s">
        <v>413</v>
      </c>
      <c r="D200" t="s">
        <v>414</v>
      </c>
      <c r="E200" t="s">
        <v>415</v>
      </c>
      <c r="F200" s="7">
        <v>10</v>
      </c>
      <c r="G200">
        <v>6</v>
      </c>
      <c r="H200">
        <v>3</v>
      </c>
      <c r="I200">
        <v>3</v>
      </c>
      <c r="J200" t="s">
        <v>417</v>
      </c>
      <c r="K200" t="s">
        <v>643</v>
      </c>
      <c r="L200" t="s">
        <v>179</v>
      </c>
      <c r="M200" t="s">
        <v>179</v>
      </c>
      <c r="N200" t="s">
        <v>35</v>
      </c>
      <c r="P200">
        <v>0</v>
      </c>
      <c r="Q200">
        <v>1</v>
      </c>
      <c r="R200">
        <v>0</v>
      </c>
      <c r="S200">
        <v>0</v>
      </c>
      <c r="T200">
        <v>0</v>
      </c>
      <c r="Z200" s="9">
        <f>(P200*((EXP(3.19*(LOG10(125))))-5.29))+(Q200*((EXP(3.19*(LOG10(175))))-5.29))+(R200*((EXP(3.19*(LOG10(225))))-5.29))+(S200*((EXP(3.19*(LOG10(275))))-5.29))</f>
        <v>1275.5755960928645</v>
      </c>
      <c r="AA200">
        <f t="shared" si="6"/>
        <v>1</v>
      </c>
      <c r="AB200">
        <f t="shared" si="7"/>
        <v>1</v>
      </c>
    </row>
    <row r="201" spans="1:28">
      <c r="A201" s="6">
        <v>40047</v>
      </c>
      <c r="B201" t="s">
        <v>548</v>
      </c>
      <c r="C201" t="s">
        <v>413</v>
      </c>
      <c r="D201" t="s">
        <v>414</v>
      </c>
      <c r="E201" t="s">
        <v>415</v>
      </c>
      <c r="F201" s="7">
        <v>10</v>
      </c>
      <c r="G201">
        <v>6</v>
      </c>
      <c r="H201">
        <v>3</v>
      </c>
      <c r="I201">
        <v>3</v>
      </c>
      <c r="J201" t="s">
        <v>417</v>
      </c>
      <c r="K201" t="s">
        <v>643</v>
      </c>
      <c r="L201" t="s">
        <v>170</v>
      </c>
      <c r="M201" t="s">
        <v>170</v>
      </c>
      <c r="N201" t="s">
        <v>597</v>
      </c>
      <c r="S201">
        <v>1</v>
      </c>
      <c r="U201">
        <v>1</v>
      </c>
      <c r="Z201">
        <f>(0*(0.0156*(7^3))+0*(0.0156*(8^3))+0*(0.0156*(9^3))+0*(0.0156*(10^3))+0*(0.0156*(12^3))+0*(0.0156*(12.5^3)))+(Q201*(0.0156*(17.5^3)))+(R201*(0.0156*(22.5^3)))+(S201*(0.0156*(27.5^3)))+(T201*(0.0156*(32.5^3)))+(U201*(0.0156*(37.5^3)))+(V201*(0.0156*(42.5^3)))+(W201*(0.0156*(27.5^3)))</f>
        <v>1147.0875000000001</v>
      </c>
      <c r="AA201">
        <f t="shared" si="6"/>
        <v>2</v>
      </c>
      <c r="AB201">
        <f t="shared" si="7"/>
        <v>2</v>
      </c>
    </row>
    <row r="202" spans="1:28">
      <c r="A202" s="6">
        <v>40047</v>
      </c>
      <c r="B202" t="s">
        <v>548</v>
      </c>
      <c r="C202" t="s">
        <v>413</v>
      </c>
      <c r="D202" t="s">
        <v>414</v>
      </c>
      <c r="E202" t="s">
        <v>415</v>
      </c>
      <c r="F202" s="7">
        <v>10</v>
      </c>
      <c r="G202">
        <v>6</v>
      </c>
      <c r="H202">
        <v>3</v>
      </c>
      <c r="I202">
        <v>3</v>
      </c>
      <c r="J202" t="s">
        <v>417</v>
      </c>
      <c r="K202" t="s">
        <v>643</v>
      </c>
      <c r="L202" t="s">
        <v>199</v>
      </c>
      <c r="M202" t="s">
        <v>175</v>
      </c>
      <c r="N202" s="9" t="s">
        <v>38</v>
      </c>
      <c r="O202">
        <v>3</v>
      </c>
      <c r="Z202">
        <f>(3*(0.0175*(4^3))+P202*(0.0175*(12.5^3)))+(Q202*(0.0175*(17.5^3)))+(R202*(0.0175*(22.5^3)))+(S202*(0.0175*(27.5^3)))+(T202*(0.0175*(32.5^3)))+(U202*(0.0175*(37.5^3)))+(V202*(0.0175*(42.5^3)))+(W202*(0.0175*(27.5^3)))</f>
        <v>3.3600000000000003</v>
      </c>
      <c r="AA202">
        <f t="shared" si="6"/>
        <v>3</v>
      </c>
      <c r="AB202">
        <f t="shared" si="7"/>
        <v>0</v>
      </c>
    </row>
    <row r="203" spans="1:28">
      <c r="A203" s="6">
        <v>40047</v>
      </c>
      <c r="B203" t="s">
        <v>548</v>
      </c>
      <c r="C203" t="s">
        <v>413</v>
      </c>
      <c r="D203" t="s">
        <v>414</v>
      </c>
      <c r="E203" t="s">
        <v>415</v>
      </c>
      <c r="F203" s="7">
        <v>10</v>
      </c>
      <c r="G203" t="s">
        <v>664</v>
      </c>
      <c r="H203">
        <v>4</v>
      </c>
      <c r="I203">
        <v>4</v>
      </c>
      <c r="J203" t="s">
        <v>417</v>
      </c>
      <c r="K203" t="s">
        <v>643</v>
      </c>
      <c r="L203" t="s">
        <v>170</v>
      </c>
      <c r="M203" t="s">
        <v>170</v>
      </c>
      <c r="N203" t="s">
        <v>597</v>
      </c>
      <c r="Q203">
        <v>2</v>
      </c>
      <c r="R203">
        <v>3</v>
      </c>
      <c r="S203">
        <v>3</v>
      </c>
      <c r="T203">
        <v>1</v>
      </c>
      <c r="V203">
        <v>1</v>
      </c>
      <c r="Z203">
        <f>(0*(0.0156*(7^3))+0*(0.0156*(8^3))+0*(0.0156*(9^3))+0*(0.0156*(10^3))+0*(0.0156*(12^3))+0*(0.0156*(12.5^3)))+(Q203*(0.0156*(17.5^3)))+(R203*(0.0156*(22.5^3)))+(S203*(0.0156*(27.5^3)))+(T203*(0.0156*(32.5^3)))+(U203*(0.0156*(37.5^3)))+(V203*(0.0156*(42.5^3)))+(W203*(0.0156*(27.5^3)))</f>
        <v>3406.6499999999996</v>
      </c>
      <c r="AA203">
        <f t="shared" si="6"/>
        <v>10</v>
      </c>
      <c r="AB203">
        <f t="shared" si="7"/>
        <v>10</v>
      </c>
    </row>
    <row r="204" spans="1:28">
      <c r="A204" s="6">
        <v>40047</v>
      </c>
      <c r="B204" t="s">
        <v>548</v>
      </c>
      <c r="C204" t="s">
        <v>413</v>
      </c>
      <c r="D204" t="s">
        <v>414</v>
      </c>
      <c r="E204" t="s">
        <v>415</v>
      </c>
      <c r="F204" s="7">
        <v>10</v>
      </c>
      <c r="G204" t="s">
        <v>664</v>
      </c>
      <c r="H204">
        <v>4</v>
      </c>
      <c r="I204">
        <v>4</v>
      </c>
      <c r="J204" t="s">
        <v>417</v>
      </c>
      <c r="K204" t="s">
        <v>643</v>
      </c>
      <c r="L204" t="s">
        <v>199</v>
      </c>
      <c r="M204" t="s">
        <v>175</v>
      </c>
      <c r="N204" s="9" t="s">
        <v>38</v>
      </c>
      <c r="O204">
        <v>56</v>
      </c>
      <c r="T204">
        <v>1</v>
      </c>
      <c r="Z204">
        <f>(55*(0.0175*(4^3))+1*(0.0175*(3^3))+P204*(0.0175*(12.5^3)))+(Q204*(0.0175*(17.5^3)))+(R204*(0.0175*(22.5^3)))+(S204*(0.0175*(27.5^3)))+(T204*(0.0175*(32.5^3)))+(U204*(0.0175*(37.5^3)))+(V204*(0.0175*(42.5^3)))+(W204*(0.0175*(27.5^3)))</f>
        <v>662.8146875000001</v>
      </c>
      <c r="AA204">
        <f t="shared" si="6"/>
        <v>57</v>
      </c>
      <c r="AB204">
        <f t="shared" si="7"/>
        <v>1</v>
      </c>
    </row>
    <row r="205" spans="1:28">
      <c r="A205" s="6">
        <v>40047</v>
      </c>
      <c r="B205" t="s">
        <v>548</v>
      </c>
      <c r="C205" t="s">
        <v>413</v>
      </c>
      <c r="D205" t="s">
        <v>414</v>
      </c>
      <c r="E205" t="s">
        <v>415</v>
      </c>
      <c r="F205" s="7">
        <v>10</v>
      </c>
      <c r="G205" t="s">
        <v>664</v>
      </c>
      <c r="H205">
        <v>4</v>
      </c>
      <c r="I205">
        <v>4</v>
      </c>
      <c r="J205" t="s">
        <v>417</v>
      </c>
      <c r="K205" t="s">
        <v>643</v>
      </c>
      <c r="L205" t="s">
        <v>170</v>
      </c>
      <c r="M205" t="s">
        <v>170</v>
      </c>
      <c r="N205" t="s">
        <v>666</v>
      </c>
      <c r="P205">
        <v>1</v>
      </c>
      <c r="Z205">
        <f>(0*(0.0156*(7^3))+0*(0.0156*(8^3))+0*(0.0156*(9^3))+1*(0.0156*(13^3))+0*(0.0156*(12^3))+0*(0.0156*(12.5^3)))+(Q205*(0.0156*(17.5^3)))+(R205*(0.0156*(22.5^3)))+(S205*(0.0156*(27.5^3)))+(T205*(0.0156*(32.5^3)))+(U205*(0.0156*(37.5^3)))+(V205*(0.0156*(42.5^3)))+(W205*(0.0156*(27.5^3)))</f>
        <v>34.273199999999996</v>
      </c>
      <c r="AA205">
        <f t="shared" si="6"/>
        <v>1</v>
      </c>
      <c r="AB205">
        <f t="shared" si="7"/>
        <v>0</v>
      </c>
    </row>
    <row r="206" spans="1:28">
      <c r="A206" s="6">
        <v>40047</v>
      </c>
      <c r="B206" t="s">
        <v>548</v>
      </c>
      <c r="C206" t="s">
        <v>413</v>
      </c>
      <c r="D206" t="s">
        <v>414</v>
      </c>
      <c r="E206" t="s">
        <v>415</v>
      </c>
      <c r="F206" s="7">
        <v>10</v>
      </c>
      <c r="G206" t="s">
        <v>664</v>
      </c>
      <c r="H206">
        <v>4</v>
      </c>
      <c r="I206">
        <v>4</v>
      </c>
      <c r="J206" t="s">
        <v>417</v>
      </c>
      <c r="K206" t="s">
        <v>643</v>
      </c>
      <c r="L206" s="9" t="s">
        <v>77</v>
      </c>
      <c r="M206" t="s">
        <v>65</v>
      </c>
      <c r="N206" t="s">
        <v>668</v>
      </c>
      <c r="O206">
        <v>35</v>
      </c>
      <c r="Z206">
        <f>35*(0.0004*(3.5^3.43))</f>
        <v>1.0286826803532687</v>
      </c>
      <c r="AA206">
        <f t="shared" si="6"/>
        <v>35</v>
      </c>
      <c r="AB206">
        <f t="shared" si="7"/>
        <v>0</v>
      </c>
    </row>
    <row r="207" spans="1:28">
      <c r="A207" s="6">
        <v>40047</v>
      </c>
      <c r="B207" t="s">
        <v>548</v>
      </c>
      <c r="C207" t="s">
        <v>413</v>
      </c>
      <c r="D207" t="s">
        <v>414</v>
      </c>
      <c r="E207" t="s">
        <v>415</v>
      </c>
      <c r="F207" s="7">
        <v>10</v>
      </c>
      <c r="G207" t="s">
        <v>664</v>
      </c>
      <c r="H207">
        <v>4</v>
      </c>
      <c r="I207">
        <v>4</v>
      </c>
      <c r="J207" t="s">
        <v>417</v>
      </c>
      <c r="K207" t="s">
        <v>643</v>
      </c>
      <c r="L207" t="s">
        <v>170</v>
      </c>
      <c r="M207" t="s">
        <v>170</v>
      </c>
      <c r="N207" t="s">
        <v>410</v>
      </c>
      <c r="U207">
        <v>1</v>
      </c>
      <c r="Z207">
        <f>(0*(0.0156*(7^3))+0*(0.0156*(8^3))+0*(0.0156*(9^3))+0*(0.0156*(10^3))+0*(0.0156*(12^3))+0*(0.0156*(12.5^3)))+(Q207*(0.0156*(17.5^3)))+(R207*(0.0156*(22.5^3)))+(S207*(0.0156*(27.5^3)))+(T207*(0.0156*(32.5^3)))+(U207*(0.0156*(37.5^3)))+(V207*(0.0156*(42.5^3)))+(W207*(0.0156*(27.5^3)))</f>
        <v>822.65625</v>
      </c>
      <c r="AA207">
        <f t="shared" si="6"/>
        <v>1</v>
      </c>
      <c r="AB207">
        <f t="shared" si="7"/>
        <v>1</v>
      </c>
    </row>
    <row r="208" spans="1:28">
      <c r="A208" s="6">
        <v>40047</v>
      </c>
      <c r="B208" t="s">
        <v>548</v>
      </c>
      <c r="C208" t="s">
        <v>413</v>
      </c>
      <c r="D208" t="s">
        <v>414</v>
      </c>
      <c r="E208" t="s">
        <v>415</v>
      </c>
      <c r="F208" s="7">
        <v>10</v>
      </c>
      <c r="G208" t="s">
        <v>664</v>
      </c>
      <c r="H208">
        <v>4</v>
      </c>
      <c r="I208">
        <v>4</v>
      </c>
      <c r="J208" t="s">
        <v>417</v>
      </c>
      <c r="K208" t="s">
        <v>643</v>
      </c>
      <c r="L208" t="s">
        <v>179</v>
      </c>
      <c r="M208" t="s">
        <v>179</v>
      </c>
      <c r="N208" t="s">
        <v>35</v>
      </c>
      <c r="P208">
        <v>3</v>
      </c>
      <c r="Q208">
        <v>0</v>
      </c>
      <c r="R208">
        <v>0</v>
      </c>
      <c r="S208">
        <v>0</v>
      </c>
      <c r="T208">
        <v>0</v>
      </c>
      <c r="Z208" s="9">
        <f>(P208*((EXP(3.19*(LOG10(125))))-5.29))+(Q208*((EXP(3.19*(LOG10(175))))-5.29))+(R208*((EXP(3.19*(LOG10(225))))-5.29))+(S208*((EXP(3.19*(LOG10(275))))-5.29))</f>
        <v>2395.0295887211205</v>
      </c>
      <c r="AA208">
        <f t="shared" si="6"/>
        <v>3</v>
      </c>
      <c r="AB208">
        <f t="shared" si="7"/>
        <v>0</v>
      </c>
    </row>
    <row r="209" spans="1:28">
      <c r="A209" s="6">
        <v>40047</v>
      </c>
      <c r="B209" t="s">
        <v>548</v>
      </c>
      <c r="C209" t="s">
        <v>413</v>
      </c>
      <c r="D209" t="s">
        <v>414</v>
      </c>
      <c r="E209" t="s">
        <v>415</v>
      </c>
      <c r="F209" s="7">
        <v>10</v>
      </c>
      <c r="G209" t="s">
        <v>664</v>
      </c>
      <c r="H209">
        <v>4</v>
      </c>
      <c r="I209">
        <v>4</v>
      </c>
      <c r="J209" t="s">
        <v>417</v>
      </c>
      <c r="K209" t="s">
        <v>643</v>
      </c>
      <c r="L209" t="s">
        <v>252</v>
      </c>
      <c r="M209" t="s">
        <v>263</v>
      </c>
      <c r="N209" t="s">
        <v>211</v>
      </c>
      <c r="P209">
        <v>1</v>
      </c>
      <c r="Q209">
        <v>1</v>
      </c>
      <c r="R209">
        <v>1</v>
      </c>
      <c r="Z209">
        <f>(P209*(0.0211*(12.5^3)))+(Q209*(0.0211*(17.5^3)))+(R209*(0.0211*(22.5^3)))+(S209*(0.0211*(27.5^3)))+(T209*(0.0211*(32.5^3)))+(U209*(0.0211*(37.5^3)))+(V209*(0.0211*(42.5^3)))+(W209*(0.0211*(27.5^3)))</f>
        <v>394.63593749999995</v>
      </c>
      <c r="AA209">
        <f t="shared" si="6"/>
        <v>3</v>
      </c>
      <c r="AB209">
        <f t="shared" si="7"/>
        <v>2</v>
      </c>
    </row>
    <row r="210" spans="1:28">
      <c r="A210" s="6">
        <v>40048</v>
      </c>
      <c r="B210" s="9" t="s">
        <v>670</v>
      </c>
      <c r="C210" s="9" t="s">
        <v>671</v>
      </c>
      <c r="D210" s="9" t="s">
        <v>269</v>
      </c>
      <c r="E210" s="9" t="s">
        <v>402</v>
      </c>
      <c r="F210" s="7">
        <v>12</v>
      </c>
      <c r="G210" s="9" t="s">
        <v>672</v>
      </c>
      <c r="H210">
        <v>5</v>
      </c>
      <c r="I210">
        <v>5</v>
      </c>
      <c r="J210" t="s">
        <v>404</v>
      </c>
      <c r="K210" t="s">
        <v>546</v>
      </c>
      <c r="L210" t="s">
        <v>170</v>
      </c>
      <c r="M210" t="s">
        <v>170</v>
      </c>
      <c r="N210" s="9" t="s">
        <v>238</v>
      </c>
      <c r="P210" s="9">
        <v>10</v>
      </c>
      <c r="Z210">
        <f>(0*(0.0156*(7^3))+0*(0.0156*(8^3))+0*(0.0156*(9^3))+1*(0.0156*(10^3))+1*(0.0156*(11^3))+3*(0.0156*(12^3))+3*(0.0156*(13^3)))+2*(0.0156*(14^3))+(Q210*(0.0156*(17.5^3)))+(R210*(0.0156*(22.5^3)))+(S210*(0.0156*(27.5^3)))+(T210*(0.0156*(32.5^3)))+(U210*(0.0156*(37.5^3)))+(V210*(0.0156*(42.5^3)))+(W210*(0.0156*(27.5^3)))</f>
        <v>305.66639999999995</v>
      </c>
      <c r="AA210">
        <f t="shared" si="6"/>
        <v>10</v>
      </c>
      <c r="AB210">
        <f t="shared" si="7"/>
        <v>0</v>
      </c>
    </row>
    <row r="211" spans="1:28">
      <c r="A211" s="6">
        <v>40048</v>
      </c>
      <c r="B211" s="9" t="s">
        <v>670</v>
      </c>
      <c r="C211" s="9" t="s">
        <v>671</v>
      </c>
      <c r="D211" s="9" t="s">
        <v>269</v>
      </c>
      <c r="E211" s="9" t="s">
        <v>402</v>
      </c>
      <c r="F211" s="7">
        <v>12</v>
      </c>
      <c r="G211" s="9" t="s">
        <v>672</v>
      </c>
      <c r="H211">
        <v>5</v>
      </c>
      <c r="I211">
        <v>5</v>
      </c>
      <c r="J211" t="s">
        <v>404</v>
      </c>
      <c r="K211" t="s">
        <v>546</v>
      </c>
      <c r="L211" t="s">
        <v>170</v>
      </c>
      <c r="M211" t="s">
        <v>170</v>
      </c>
      <c r="N211" s="9" t="s">
        <v>409</v>
      </c>
      <c r="Q211">
        <v>2</v>
      </c>
      <c r="Z211">
        <f>(0*(0.0156*(7^3))+0*(0.0156*(8^3))+0*(0.0156*(9^3))+0*(0.0156*(10^3))+0*(0.0156*(12^3))+0*(0.0156*(12.5^3)))+(Q211*(0.0156*(17.5^3)))+(R211*(0.0156*(22.5^3)))+(S211*(0.0156*(27.5^3)))+(T211*(0.0156*(32.5^3)))+(U211*(0.0156*(37.5^3)))+(V211*(0.0156*(42.5^3)))+(W211*(0.0156*(27.5^3)))</f>
        <v>167.21250000000001</v>
      </c>
      <c r="AA211">
        <f t="shared" si="6"/>
        <v>2</v>
      </c>
      <c r="AB211">
        <f t="shared" si="7"/>
        <v>2</v>
      </c>
    </row>
    <row r="212" spans="1:28">
      <c r="A212" s="6">
        <v>40048</v>
      </c>
      <c r="B212" s="9" t="s">
        <v>670</v>
      </c>
      <c r="C212" s="9" t="s">
        <v>671</v>
      </c>
      <c r="D212" s="9" t="s">
        <v>269</v>
      </c>
      <c r="E212" s="9" t="s">
        <v>402</v>
      </c>
      <c r="F212" s="7">
        <v>12</v>
      </c>
      <c r="G212" s="9" t="s">
        <v>672</v>
      </c>
      <c r="H212">
        <v>5</v>
      </c>
      <c r="I212">
        <v>5</v>
      </c>
      <c r="J212" t="s">
        <v>404</v>
      </c>
      <c r="K212" t="s">
        <v>546</v>
      </c>
      <c r="L212" t="s">
        <v>252</v>
      </c>
      <c r="M212" t="s">
        <v>263</v>
      </c>
      <c r="N212" t="s">
        <v>211</v>
      </c>
      <c r="O212" s="9">
        <v>2</v>
      </c>
      <c r="P212" s="9">
        <v>9</v>
      </c>
      <c r="Z212">
        <f>(9*(0.0211*(12.5^3)))+(Q212*(0.0211*(17.5^3)))+(R212*(0.0211*(22.5^3)))+(S212*(0.0211*(27.5^3)))+(T212*(0.0211*(32.5^3)))+(U212*(0.0211*(37.5^3)))+(V212*(0.0211*(42.5^3)))+(W212*(0.0211*(27.5^3)))</f>
        <v>370.8984375</v>
      </c>
      <c r="AA212">
        <f t="shared" si="6"/>
        <v>11</v>
      </c>
      <c r="AB212">
        <f t="shared" si="7"/>
        <v>0</v>
      </c>
    </row>
    <row r="213" spans="1:28">
      <c r="A213" s="6">
        <v>40048</v>
      </c>
      <c r="B213" s="9" t="s">
        <v>670</v>
      </c>
      <c r="C213" s="9" t="s">
        <v>671</v>
      </c>
      <c r="D213" s="9" t="s">
        <v>269</v>
      </c>
      <c r="E213" s="9" t="s">
        <v>402</v>
      </c>
      <c r="F213" s="7">
        <v>12</v>
      </c>
      <c r="G213" s="9" t="s">
        <v>672</v>
      </c>
      <c r="H213">
        <v>5</v>
      </c>
      <c r="I213">
        <v>5</v>
      </c>
      <c r="J213" t="s">
        <v>404</v>
      </c>
      <c r="K213" t="s">
        <v>546</v>
      </c>
      <c r="L213" t="s">
        <v>170</v>
      </c>
      <c r="M213" t="s">
        <v>170</v>
      </c>
      <c r="N213" s="9" t="s">
        <v>406</v>
      </c>
      <c r="R213">
        <v>1</v>
      </c>
      <c r="S213">
        <v>1</v>
      </c>
      <c r="Z213">
        <f>(0*(0.0156*(7^3))+0*(0.0156*(8^3))+0*(0.0156*(9^3))+0*(0.0156*(10^3))+0*(0.0156*(12^3))+0*(0.0156*(12.5^3)))+(Q213*(0.0156*(17.5^3)))+(R213*(0.0156*(22.5^3)))+(S213*(0.0156*(27.5^3)))+(T213*(0.0156*(32.5^3)))+(U213*(0.0156*(37.5^3)))+(V213*(0.0156*(42.5^3)))+(W213*(0.0156*(27.5^3)))</f>
        <v>502.125</v>
      </c>
      <c r="AA213">
        <f t="shared" si="6"/>
        <v>2</v>
      </c>
      <c r="AB213">
        <f t="shared" si="7"/>
        <v>2</v>
      </c>
    </row>
    <row r="214" spans="1:28">
      <c r="A214" s="6">
        <v>40048</v>
      </c>
      <c r="B214" s="9" t="s">
        <v>670</v>
      </c>
      <c r="C214" s="9" t="s">
        <v>671</v>
      </c>
      <c r="D214" s="9" t="s">
        <v>269</v>
      </c>
      <c r="E214" s="9" t="s">
        <v>402</v>
      </c>
      <c r="F214" s="7">
        <v>12</v>
      </c>
      <c r="G214" s="9" t="s">
        <v>672</v>
      </c>
      <c r="H214">
        <v>5</v>
      </c>
      <c r="I214">
        <v>5</v>
      </c>
      <c r="J214" t="s">
        <v>404</v>
      </c>
      <c r="K214" t="s">
        <v>546</v>
      </c>
      <c r="L214" t="s">
        <v>199</v>
      </c>
      <c r="M214" t="s">
        <v>175</v>
      </c>
      <c r="N214" s="9" t="s">
        <v>38</v>
      </c>
      <c r="O214" s="9">
        <v>8</v>
      </c>
      <c r="Z214">
        <f>(4*(0.0175*(4^3))+1*(0.0175*(3^3))+3*(0.0175*(5^3))+P214*(0.0175*(12.5^3)))+(Q214*(0.0175*(17.5^3)))+(R214*(0.0175*(22.5^3)))+(S214*(0.0175*(27.5^3)))+(T214*(0.0175*(32.5^3)))+(U214*(0.0175*(37.5^3)))+(V214*(0.0175*(42.5^3)))+(W214*(0.0175*(27.5^3)))</f>
        <v>11.515000000000001</v>
      </c>
      <c r="AA214">
        <f t="shared" si="6"/>
        <v>8</v>
      </c>
      <c r="AB214">
        <f t="shared" si="7"/>
        <v>0</v>
      </c>
    </row>
    <row r="215" spans="1:28">
      <c r="A215" s="6">
        <v>40048</v>
      </c>
      <c r="B215" s="9" t="s">
        <v>670</v>
      </c>
      <c r="C215" s="9" t="s">
        <v>671</v>
      </c>
      <c r="D215" s="9" t="s">
        <v>269</v>
      </c>
      <c r="E215" s="9" t="s">
        <v>402</v>
      </c>
      <c r="F215" s="7">
        <v>12</v>
      </c>
      <c r="G215" s="9" t="s">
        <v>672</v>
      </c>
      <c r="H215">
        <v>5</v>
      </c>
      <c r="I215">
        <v>5</v>
      </c>
      <c r="J215" t="s">
        <v>404</v>
      </c>
      <c r="K215" t="s">
        <v>546</v>
      </c>
      <c r="L215" t="s">
        <v>170</v>
      </c>
      <c r="M215" t="s">
        <v>170</v>
      </c>
      <c r="N215" s="9" t="s">
        <v>406</v>
      </c>
      <c r="U215">
        <v>1</v>
      </c>
      <c r="V215">
        <v>1</v>
      </c>
      <c r="Z215">
        <f>(0*(0.0156*(7^3))+0*(0.0156*(8^3))+0*(0.0156*(9^3))+0*(0.0156*(10^3))+0*(0.0156*(12^3))+0*(0.0156*(12.5^3)))+(Q215*(0.0156*(17.5^3)))+(R215*(0.0156*(22.5^3)))+(S215*(0.0156*(27.5^3)))+(T215*(0.0156*(32.5^3)))+(U215*(0.0156*(37.5^3)))+(V215*(0.0156*(42.5^3)))+(W215*(0.0156*(27.5^3)))</f>
        <v>2020.2</v>
      </c>
      <c r="AA215">
        <f t="shared" si="6"/>
        <v>2</v>
      </c>
      <c r="AB215">
        <f t="shared" si="7"/>
        <v>2</v>
      </c>
    </row>
    <row r="216" spans="1:28">
      <c r="A216" s="6">
        <v>40048</v>
      </c>
      <c r="B216" s="9" t="s">
        <v>670</v>
      </c>
      <c r="C216" s="9" t="s">
        <v>671</v>
      </c>
      <c r="D216" s="9" t="s">
        <v>269</v>
      </c>
      <c r="E216" s="9" t="s">
        <v>402</v>
      </c>
      <c r="F216" s="7">
        <v>12</v>
      </c>
      <c r="G216" s="9" t="s">
        <v>672</v>
      </c>
      <c r="H216">
        <v>5</v>
      </c>
      <c r="I216">
        <v>5</v>
      </c>
      <c r="J216" t="s">
        <v>404</v>
      </c>
      <c r="K216" t="s">
        <v>546</v>
      </c>
      <c r="L216" t="s">
        <v>61</v>
      </c>
      <c r="M216" t="s">
        <v>175</v>
      </c>
      <c r="N216" s="9" t="s">
        <v>677</v>
      </c>
      <c r="P216" s="9">
        <v>1</v>
      </c>
      <c r="U216">
        <v>1</v>
      </c>
      <c r="V216">
        <v>1</v>
      </c>
      <c r="Z216">
        <f>(1*(0.00000779*(100^3.18)))+(U216*(0.00000779*(375^3.18)))+(V216*(0.00000779*(425^3.18)))</f>
        <v>2989.2344609433121</v>
      </c>
      <c r="AA216">
        <f t="shared" si="6"/>
        <v>3</v>
      </c>
      <c r="AB216">
        <f t="shared" si="7"/>
        <v>2</v>
      </c>
    </row>
    <row r="217" spans="1:28">
      <c r="A217" s="6">
        <v>40048</v>
      </c>
      <c r="B217" s="9" t="s">
        <v>670</v>
      </c>
      <c r="C217" s="9" t="s">
        <v>671</v>
      </c>
      <c r="D217" s="9" t="s">
        <v>269</v>
      </c>
      <c r="E217" s="9" t="s">
        <v>402</v>
      </c>
      <c r="F217" s="7">
        <v>12</v>
      </c>
      <c r="G217" s="9" t="s">
        <v>678</v>
      </c>
      <c r="H217">
        <v>6</v>
      </c>
      <c r="I217">
        <v>6</v>
      </c>
      <c r="J217" t="s">
        <v>404</v>
      </c>
      <c r="K217" t="s">
        <v>546</v>
      </c>
      <c r="L217" t="s">
        <v>199</v>
      </c>
      <c r="M217" t="s">
        <v>175</v>
      </c>
      <c r="N217" s="9" t="s">
        <v>38</v>
      </c>
      <c r="O217" s="9">
        <v>42</v>
      </c>
      <c r="T217">
        <v>1</v>
      </c>
      <c r="Z217">
        <f>(36*(0.0175*(4^3))+6*(0.0175*(5^3))+P217*(0.0175*(12.5^3)))+(Q217*(0.0175*(17.5^3)))+(R217*(0.0175*(22.5^3)))+(S217*(0.0175*(27.5^3)))+(T217*(0.0175*(32.5^3)))+(U217*(0.0175*(37.5^3)))+(V217*(0.0175*(42.5^3)))+(W217*(0.0175*(27.5^3)))</f>
        <v>654.18718750000016</v>
      </c>
      <c r="AA217">
        <f t="shared" si="6"/>
        <v>43</v>
      </c>
      <c r="AB217">
        <f t="shared" si="7"/>
        <v>1</v>
      </c>
    </row>
    <row r="218" spans="1:28">
      <c r="A218" s="6">
        <v>40048</v>
      </c>
      <c r="B218" s="9" t="s">
        <v>670</v>
      </c>
      <c r="C218" s="9" t="s">
        <v>671</v>
      </c>
      <c r="D218" s="9" t="s">
        <v>269</v>
      </c>
      <c r="E218" s="9" t="s">
        <v>402</v>
      </c>
      <c r="F218" s="7">
        <v>12</v>
      </c>
      <c r="G218" s="9" t="s">
        <v>678</v>
      </c>
      <c r="H218">
        <v>6</v>
      </c>
      <c r="I218">
        <v>6</v>
      </c>
      <c r="J218" t="s">
        <v>404</v>
      </c>
      <c r="K218" t="s">
        <v>546</v>
      </c>
      <c r="L218" t="s">
        <v>252</v>
      </c>
      <c r="M218" t="s">
        <v>263</v>
      </c>
      <c r="N218" t="s">
        <v>211</v>
      </c>
      <c r="O218" s="9"/>
      <c r="P218" s="9">
        <v>21</v>
      </c>
      <c r="Z218">
        <f>(21*(0.0211*(12.5^3)))+(Q218*(0.0211*(17.5^3)))+(R218*(0.0211*(22.5^3)))+(S218*(0.0211*(27.5^3)))+(T218*(0.0211*(32.5^3)))+(U218*(0.0211*(37.5^3)))+(V218*(0.0211*(42.5^3)))+(W218*(0.0211*(27.5^3)))</f>
        <v>865.4296875</v>
      </c>
      <c r="AA218">
        <f t="shared" si="6"/>
        <v>21</v>
      </c>
      <c r="AB218">
        <f t="shared" si="7"/>
        <v>0</v>
      </c>
    </row>
    <row r="219" spans="1:28">
      <c r="A219" s="6">
        <v>40048</v>
      </c>
      <c r="B219" s="9" t="s">
        <v>670</v>
      </c>
      <c r="C219" s="9" t="s">
        <v>671</v>
      </c>
      <c r="D219" s="9" t="s">
        <v>269</v>
      </c>
      <c r="E219" s="9" t="s">
        <v>402</v>
      </c>
      <c r="F219" s="7">
        <v>12</v>
      </c>
      <c r="G219" s="9" t="s">
        <v>678</v>
      </c>
      <c r="H219">
        <v>6</v>
      </c>
      <c r="I219">
        <v>6</v>
      </c>
      <c r="J219" t="s">
        <v>404</v>
      </c>
      <c r="K219" t="s">
        <v>237</v>
      </c>
      <c r="L219" t="s">
        <v>170</v>
      </c>
      <c r="M219" t="s">
        <v>170</v>
      </c>
      <c r="N219" s="9" t="s">
        <v>409</v>
      </c>
      <c r="Q219">
        <v>3</v>
      </c>
      <c r="R219">
        <v>1</v>
      </c>
      <c r="V219">
        <v>1</v>
      </c>
      <c r="Z219">
        <f>(0*(0.0156*(7^3))+0*(0.0156*(8^3))+0*(0.0156*(9^3))+0*(0.0156*(10^3))+0*(0.0156*(12^3))+0*(0.0156*(12.5^3)))+(Q219*(0.0156*(17.5^3)))+(R219*(0.0156*(22.5^3)))+(S219*(0.0156*(27.5^3)))+(T219*(0.0156*(32.5^3)))+(U219*(0.0156*(37.5^3)))+(V219*(0.0156*(42.5^3)))+(W219*(0.0156*(27.5^3)))</f>
        <v>1626.0562500000001</v>
      </c>
      <c r="AA219">
        <f t="shared" si="6"/>
        <v>5</v>
      </c>
      <c r="AB219">
        <f t="shared" si="7"/>
        <v>5</v>
      </c>
    </row>
    <row r="220" spans="1:28">
      <c r="A220" s="6">
        <v>40048</v>
      </c>
      <c r="B220" s="9" t="s">
        <v>670</v>
      </c>
      <c r="C220" s="9" t="s">
        <v>671</v>
      </c>
      <c r="D220" s="9" t="s">
        <v>269</v>
      </c>
      <c r="E220" s="9" t="s">
        <v>402</v>
      </c>
      <c r="F220" s="7">
        <v>12</v>
      </c>
      <c r="G220" s="9" t="s">
        <v>678</v>
      </c>
      <c r="H220">
        <v>6</v>
      </c>
      <c r="I220">
        <v>6</v>
      </c>
      <c r="J220" t="s">
        <v>404</v>
      </c>
      <c r="K220" t="s">
        <v>237</v>
      </c>
      <c r="L220" t="s">
        <v>170</v>
      </c>
      <c r="M220" t="s">
        <v>170</v>
      </c>
      <c r="N220" s="9" t="s">
        <v>406</v>
      </c>
      <c r="R220">
        <v>1</v>
      </c>
      <c r="U220">
        <v>1</v>
      </c>
      <c r="Z220">
        <f>(0*(0.0156*(7^3))+0*(0.0156*(8^3))+0*(0.0156*(9^3))+0*(0.0156*(10^3))+0*(0.0156*(12^3))+0*(0.0156*(12.5^3)))+(Q220*(0.0156*(17.5^3)))+(R220*(0.0156*(22.5^3)))+(S220*(0.0156*(27.5^3)))+(T220*(0.0156*(32.5^3)))+(U220*(0.0156*(37.5^3)))+(V220*(0.0156*(42.5^3)))+(W220*(0.0156*(27.5^3)))</f>
        <v>1000.35</v>
      </c>
      <c r="AA220">
        <f t="shared" si="6"/>
        <v>2</v>
      </c>
      <c r="AB220">
        <f t="shared" si="7"/>
        <v>2</v>
      </c>
    </row>
    <row r="221" spans="1:28">
      <c r="A221" s="6">
        <v>40048</v>
      </c>
      <c r="B221" s="9" t="s">
        <v>670</v>
      </c>
      <c r="C221" s="9" t="s">
        <v>671</v>
      </c>
      <c r="D221" s="9" t="s">
        <v>269</v>
      </c>
      <c r="E221" s="9" t="s">
        <v>402</v>
      </c>
      <c r="F221" s="7">
        <v>12</v>
      </c>
      <c r="G221" s="9" t="s">
        <v>678</v>
      </c>
      <c r="H221">
        <v>6</v>
      </c>
      <c r="I221">
        <v>6</v>
      </c>
      <c r="J221" t="s">
        <v>404</v>
      </c>
      <c r="K221" t="s">
        <v>237</v>
      </c>
      <c r="L221" t="s">
        <v>170</v>
      </c>
      <c r="M221" t="s">
        <v>170</v>
      </c>
      <c r="N221" s="9" t="s">
        <v>238</v>
      </c>
      <c r="P221" s="9">
        <v>4</v>
      </c>
      <c r="Z221">
        <f>(0*(0.0156*(7^3))+0*(0.0156*(8^3))+0*(0.0156*(9^3))+2*(0.0156*(10^3))+2*(0.0156*(12^3))+0*(0.0156*(12.5^3)))+(Q221*(0.0156*(17.5^3)))+(R221*(0.0156*(22.5^3)))+(S221*(0.0156*(27.5^3)))+(T221*(0.0156*(32.5^3)))+(U221*(0.0156*(37.5^3)))+(V221*(0.0156*(42.5^3)))+(W221*(0.0156*(27.5^3)))</f>
        <v>85.113599999999991</v>
      </c>
      <c r="AA221">
        <f t="shared" si="6"/>
        <v>4</v>
      </c>
      <c r="AB221">
        <f t="shared" si="7"/>
        <v>0</v>
      </c>
    </row>
    <row r="222" spans="1:28">
      <c r="A222" s="6">
        <v>40048</v>
      </c>
      <c r="B222" s="9" t="s">
        <v>670</v>
      </c>
      <c r="C222" s="9" t="s">
        <v>671</v>
      </c>
      <c r="D222" s="9" t="s">
        <v>269</v>
      </c>
      <c r="E222" s="9" t="s">
        <v>402</v>
      </c>
      <c r="F222" s="7">
        <v>12</v>
      </c>
      <c r="G222" s="9" t="s">
        <v>678</v>
      </c>
      <c r="H222">
        <v>6</v>
      </c>
      <c r="I222">
        <v>6</v>
      </c>
      <c r="J222" t="s">
        <v>404</v>
      </c>
      <c r="K222" t="s">
        <v>237</v>
      </c>
      <c r="L222" t="s">
        <v>179</v>
      </c>
      <c r="M222" t="s">
        <v>179</v>
      </c>
      <c r="N222" s="9" t="s">
        <v>35</v>
      </c>
      <c r="P222" s="9">
        <v>1</v>
      </c>
      <c r="Z222" s="9">
        <f>(1*((EXP(3.19*(LOG10(150))))-5.29))</f>
        <v>1029.269608781784</v>
      </c>
      <c r="AA222">
        <f t="shared" si="6"/>
        <v>1</v>
      </c>
      <c r="AB222">
        <f t="shared" si="7"/>
        <v>0</v>
      </c>
    </row>
    <row r="223" spans="1:28">
      <c r="A223" s="6">
        <v>40048</v>
      </c>
      <c r="B223" s="9" t="s">
        <v>670</v>
      </c>
      <c r="C223" s="9" t="s">
        <v>671</v>
      </c>
      <c r="D223" s="9" t="s">
        <v>269</v>
      </c>
      <c r="E223" s="9" t="s">
        <v>402</v>
      </c>
      <c r="F223" s="7">
        <v>12</v>
      </c>
      <c r="G223" s="9" t="s">
        <v>678</v>
      </c>
      <c r="H223">
        <v>6</v>
      </c>
      <c r="I223">
        <v>6</v>
      </c>
      <c r="J223" t="s">
        <v>404</v>
      </c>
      <c r="K223" t="s">
        <v>237</v>
      </c>
      <c r="L223" s="9" t="s">
        <v>77</v>
      </c>
      <c r="M223" t="s">
        <v>65</v>
      </c>
      <c r="N223" s="9" t="s">
        <v>407</v>
      </c>
      <c r="O223" s="9">
        <v>15</v>
      </c>
      <c r="Z223">
        <f>15*(0.0004*(4^3.43))</f>
        <v>0.6969747112835798</v>
      </c>
      <c r="AA223">
        <f t="shared" si="6"/>
        <v>15</v>
      </c>
      <c r="AB223">
        <f t="shared" si="7"/>
        <v>0</v>
      </c>
    </row>
    <row r="224" spans="1:28">
      <c r="A224" s="6">
        <v>40048</v>
      </c>
      <c r="B224" s="9" t="s">
        <v>670</v>
      </c>
      <c r="C224" s="9" t="s">
        <v>671</v>
      </c>
      <c r="D224" s="9" t="s">
        <v>269</v>
      </c>
      <c r="E224" s="9" t="s">
        <v>402</v>
      </c>
      <c r="F224" s="7">
        <v>12</v>
      </c>
      <c r="G224" s="9" t="s">
        <v>684</v>
      </c>
      <c r="H224">
        <v>7</v>
      </c>
      <c r="I224">
        <v>7</v>
      </c>
      <c r="J224" t="s">
        <v>404</v>
      </c>
      <c r="K224" t="s">
        <v>237</v>
      </c>
      <c r="L224" t="s">
        <v>170</v>
      </c>
      <c r="M224" t="s">
        <v>170</v>
      </c>
      <c r="N224" s="9" t="s">
        <v>409</v>
      </c>
      <c r="P224" s="9">
        <v>1</v>
      </c>
      <c r="R224">
        <v>1</v>
      </c>
      <c r="S224">
        <v>1</v>
      </c>
      <c r="Z224">
        <f>(0*(0.0156*(7^3))+0*(0.0156*(8^3))+0*(0.0156*(9^3))+0*(0.0156*(10^3))+1*(0.0156*(13^3))+0*(0.0156*(12.5^3)))+(Q224*(0.0156*(17.5^3)))+(R224*(0.0156*(22.5^3)))+(S224*(0.0156*(27.5^3)))+(T224*(0.0156*(32.5^3)))+(U224*(0.0156*(37.5^3)))+(V224*(0.0156*(42.5^3)))+(W224*(0.0156*(27.5^3)))</f>
        <v>536.39819999999997</v>
      </c>
      <c r="AA224">
        <f t="shared" si="6"/>
        <v>3</v>
      </c>
      <c r="AB224">
        <f t="shared" si="7"/>
        <v>2</v>
      </c>
    </row>
    <row r="225" spans="1:28">
      <c r="A225" s="6">
        <v>40048</v>
      </c>
      <c r="B225" s="9" t="s">
        <v>670</v>
      </c>
      <c r="C225" s="9" t="s">
        <v>671</v>
      </c>
      <c r="D225" s="9" t="s">
        <v>269</v>
      </c>
      <c r="E225" s="9" t="s">
        <v>402</v>
      </c>
      <c r="F225" s="7">
        <v>12</v>
      </c>
      <c r="G225" s="9" t="s">
        <v>684</v>
      </c>
      <c r="H225">
        <v>7</v>
      </c>
      <c r="I225">
        <v>7</v>
      </c>
      <c r="J225" t="s">
        <v>404</v>
      </c>
      <c r="K225" t="s">
        <v>237</v>
      </c>
      <c r="L225" t="s">
        <v>170</v>
      </c>
      <c r="M225" t="s">
        <v>170</v>
      </c>
      <c r="N225" s="9" t="s">
        <v>238</v>
      </c>
      <c r="P225" s="9">
        <v>4</v>
      </c>
      <c r="Z225">
        <f>(0*(0.0156*(7^3))+0*(0.0156*(8^3))+0*(0.0156*(9^3))+0*(0.0156*(10^3))+1*(0.0156*(12^3))+3*(0.0156*(14^3)))+(Q225*(0.0156*(17.5^3)))+(R225*(0.0156*(22.5^3)))+(S225*(0.0156*(27.5^3)))+(T225*(0.0156*(32.5^3)))+(U225*(0.0156*(37.5^3)))+(V225*(0.0156*(42.5^3)))+(W225*(0.0156*(27.5^3)))</f>
        <v>155.37599999999998</v>
      </c>
      <c r="AA225">
        <f t="shared" si="6"/>
        <v>4</v>
      </c>
      <c r="AB225">
        <f t="shared" si="7"/>
        <v>0</v>
      </c>
    </row>
    <row r="226" spans="1:28">
      <c r="A226" s="6">
        <v>40048</v>
      </c>
      <c r="B226" s="9" t="s">
        <v>670</v>
      </c>
      <c r="C226" s="9" t="s">
        <v>671</v>
      </c>
      <c r="D226" s="9" t="s">
        <v>269</v>
      </c>
      <c r="E226" s="9" t="s">
        <v>402</v>
      </c>
      <c r="F226" s="7">
        <v>12</v>
      </c>
      <c r="G226" s="9" t="s">
        <v>684</v>
      </c>
      <c r="H226">
        <v>7</v>
      </c>
      <c r="I226">
        <v>7</v>
      </c>
      <c r="J226" t="s">
        <v>404</v>
      </c>
      <c r="K226" t="s">
        <v>237</v>
      </c>
      <c r="L226" s="9" t="s">
        <v>77</v>
      </c>
      <c r="M226" t="s">
        <v>65</v>
      </c>
      <c r="N226" s="9" t="s">
        <v>407</v>
      </c>
      <c r="O226" s="9">
        <v>13</v>
      </c>
      <c r="Z226">
        <f>13*(0.0004*(3.5^3.43))</f>
        <v>0.38208213841692834</v>
      </c>
      <c r="AA226">
        <f t="shared" si="6"/>
        <v>13</v>
      </c>
      <c r="AB226">
        <f t="shared" si="7"/>
        <v>0</v>
      </c>
    </row>
    <row r="227" spans="1:28">
      <c r="A227" s="6">
        <v>40048</v>
      </c>
      <c r="B227" s="9" t="s">
        <v>670</v>
      </c>
      <c r="C227" s="9" t="s">
        <v>671</v>
      </c>
      <c r="D227" s="9" t="s">
        <v>269</v>
      </c>
      <c r="E227" s="9" t="s">
        <v>402</v>
      </c>
      <c r="F227" s="7">
        <v>12</v>
      </c>
      <c r="G227" s="9" t="s">
        <v>684</v>
      </c>
      <c r="H227">
        <v>7</v>
      </c>
      <c r="I227">
        <v>7</v>
      </c>
      <c r="J227" t="s">
        <v>404</v>
      </c>
      <c r="K227" t="s">
        <v>237</v>
      </c>
      <c r="L227" t="s">
        <v>199</v>
      </c>
      <c r="M227" t="s">
        <v>175</v>
      </c>
      <c r="N227" s="9" t="s">
        <v>38</v>
      </c>
      <c r="O227" s="9">
        <v>17</v>
      </c>
      <c r="Z227">
        <f>(16*(0.0175*(4^3))+1*(0.0175*(5^3))+P227*(0.0175*(12.5^3)))+(Q227*(0.0175*(17.5^3)))+(R227*(0.0175*(22.5^3)))+(S227*(0.0175*(27.5^3)))+(T227*(0.0175*(32.5^3)))+(U227*(0.0175*(37.5^3)))+(V227*(0.0175*(42.5^3)))+(W227*(0.0175*(27.5^3)))</f>
        <v>20.107500000000002</v>
      </c>
      <c r="AA227">
        <f t="shared" si="6"/>
        <v>17</v>
      </c>
      <c r="AB227">
        <f t="shared" si="7"/>
        <v>0</v>
      </c>
    </row>
    <row r="228" spans="1:28">
      <c r="A228" s="6">
        <v>40048</v>
      </c>
      <c r="B228" s="9" t="s">
        <v>670</v>
      </c>
      <c r="C228" s="9" t="s">
        <v>671</v>
      </c>
      <c r="D228" s="9" t="s">
        <v>269</v>
      </c>
      <c r="E228" s="9" t="s">
        <v>402</v>
      </c>
      <c r="F228" s="7">
        <v>12</v>
      </c>
      <c r="G228" s="9" t="s">
        <v>684</v>
      </c>
      <c r="H228">
        <v>7</v>
      </c>
      <c r="I228">
        <v>7</v>
      </c>
      <c r="J228" t="s">
        <v>404</v>
      </c>
      <c r="K228" t="s">
        <v>237</v>
      </c>
      <c r="L228" t="s">
        <v>174</v>
      </c>
      <c r="M228" t="s">
        <v>174</v>
      </c>
      <c r="N228" s="9" t="s">
        <v>210</v>
      </c>
      <c r="V228">
        <v>1</v>
      </c>
      <c r="Z228">
        <f>(V228*(0.013*(42.5^3)))</f>
        <v>997.953125</v>
      </c>
      <c r="AA228">
        <f t="shared" si="6"/>
        <v>1</v>
      </c>
      <c r="AB228">
        <f t="shared" si="7"/>
        <v>1</v>
      </c>
    </row>
    <row r="229" spans="1:28">
      <c r="A229" s="6">
        <v>40050</v>
      </c>
      <c r="B229" t="s">
        <v>469</v>
      </c>
      <c r="C229" t="s">
        <v>818</v>
      </c>
      <c r="D229" t="s">
        <v>496</v>
      </c>
      <c r="E229" t="s">
        <v>472</v>
      </c>
      <c r="F229" s="7">
        <v>7</v>
      </c>
      <c r="G229">
        <v>7</v>
      </c>
      <c r="H229">
        <v>1</v>
      </c>
      <c r="I229">
        <v>7</v>
      </c>
      <c r="J229" t="s">
        <v>747</v>
      </c>
      <c r="K229" t="s">
        <v>237</v>
      </c>
      <c r="L229" t="s">
        <v>252</v>
      </c>
      <c r="M229" t="s">
        <v>263</v>
      </c>
      <c r="N229" t="s">
        <v>211</v>
      </c>
      <c r="P229">
        <v>24</v>
      </c>
      <c r="R229">
        <v>1</v>
      </c>
      <c r="Z229">
        <f>(24*(0.0211*(12.5^3)))+(Q229*(0.0211*(17.5^3)))+(R229*(0.0211*(22.5^3)))+(S229*(0.0211*(27.5^3)))+(T229*(0.0211*(32.5^3)))+(U229*(0.0211*(37.5^3)))+(V229*(0.0211*(42.5^3)))+(W229*(0.0211*(27.5^3)))</f>
        <v>1229.4046874999999</v>
      </c>
      <c r="AA229">
        <f t="shared" si="6"/>
        <v>25</v>
      </c>
      <c r="AB229">
        <f t="shared" si="7"/>
        <v>1</v>
      </c>
    </row>
    <row r="230" spans="1:28">
      <c r="A230" s="6">
        <v>40050</v>
      </c>
      <c r="B230" t="s">
        <v>469</v>
      </c>
      <c r="C230" t="s">
        <v>818</v>
      </c>
      <c r="D230" t="s">
        <v>496</v>
      </c>
      <c r="E230" t="s">
        <v>472</v>
      </c>
      <c r="F230" s="7">
        <v>7</v>
      </c>
      <c r="G230">
        <v>7</v>
      </c>
      <c r="H230">
        <v>1</v>
      </c>
      <c r="I230">
        <v>7</v>
      </c>
      <c r="J230" t="s">
        <v>747</v>
      </c>
      <c r="K230" t="s">
        <v>237</v>
      </c>
      <c r="L230" t="s">
        <v>170</v>
      </c>
      <c r="M230" t="s">
        <v>170</v>
      </c>
      <c r="N230" t="s">
        <v>477</v>
      </c>
      <c r="P230">
        <v>1</v>
      </c>
      <c r="Z230">
        <f>(0*(0.0156*(7^3))+0*(0.0156*(8^3))+0*(0.0156*(9^3))+0*(0.0156*(10^3))+1*(0.0156*(13^3))+0*(0.0156*(12.5^3)))+(Q230*(0.0156*(17.5^3)))+(R230*(0.0156*(22.5^3)))+(S230*(0.0156*(27.5^3)))+(T230*(0.0156*(32.5^3)))+(U230*(0.0156*(37.5^3)))+(V230*(0.0156*(42.5^3)))+(W230*(0.0156*(27.5^3)))</f>
        <v>34.273199999999996</v>
      </c>
      <c r="AA230">
        <f t="shared" si="6"/>
        <v>1</v>
      </c>
      <c r="AB230">
        <f t="shared" si="7"/>
        <v>0</v>
      </c>
    </row>
    <row r="231" spans="1:28">
      <c r="A231" s="6">
        <v>40050</v>
      </c>
      <c r="B231" t="s">
        <v>469</v>
      </c>
      <c r="C231" t="s">
        <v>818</v>
      </c>
      <c r="D231" t="s">
        <v>496</v>
      </c>
      <c r="E231" t="s">
        <v>472</v>
      </c>
      <c r="F231" s="7">
        <v>7</v>
      </c>
      <c r="G231">
        <v>7</v>
      </c>
      <c r="H231">
        <v>1</v>
      </c>
      <c r="I231">
        <v>7</v>
      </c>
      <c r="J231" t="s">
        <v>747</v>
      </c>
      <c r="K231" t="s">
        <v>237</v>
      </c>
      <c r="L231" t="s">
        <v>170</v>
      </c>
      <c r="M231" t="s">
        <v>170</v>
      </c>
      <c r="N231" t="s">
        <v>476</v>
      </c>
      <c r="V231">
        <v>1</v>
      </c>
      <c r="Z231">
        <f>(0*(0.0156*(7^3))+0*(0.0156*(8^3))+0*(0.0156*(9^3))+0*(0.0156*(10^3))+0*(0.0156*(12^3))+0*(0.0156*(12.5^3)))+(Q231*(0.0156*(17.5^3)))+(R231*(0.0156*(22.5^3)))+(S231*(0.0156*(27.5^3)))+(T231*(0.0156*(32.5^3)))+(U231*(0.0156*(37.5^3)))+(V231*(0.0156*(42.5^3)))+(W231*(0.0156*(27.5^3)))</f>
        <v>1197.54375</v>
      </c>
      <c r="AA231">
        <f t="shared" si="6"/>
        <v>1</v>
      </c>
      <c r="AB231">
        <f t="shared" si="7"/>
        <v>1</v>
      </c>
    </row>
    <row r="232" spans="1:28">
      <c r="A232" s="6">
        <v>40050</v>
      </c>
      <c r="B232" t="s">
        <v>469</v>
      </c>
      <c r="C232" t="s">
        <v>818</v>
      </c>
      <c r="D232" t="s">
        <v>496</v>
      </c>
      <c r="E232" t="s">
        <v>472</v>
      </c>
      <c r="F232" s="7">
        <v>7</v>
      </c>
      <c r="G232">
        <v>7</v>
      </c>
      <c r="H232">
        <v>1</v>
      </c>
      <c r="I232">
        <v>7</v>
      </c>
      <c r="J232" t="s">
        <v>747</v>
      </c>
      <c r="K232" t="s">
        <v>237</v>
      </c>
      <c r="L232" t="s">
        <v>177</v>
      </c>
      <c r="M232" t="s">
        <v>265</v>
      </c>
      <c r="N232" t="s">
        <v>284</v>
      </c>
      <c r="O232">
        <v>1</v>
      </c>
      <c r="Z232">
        <f>(1*(0.009*(80^3.06)))/1000</f>
        <v>5.9937395818191179</v>
      </c>
      <c r="AA232">
        <f t="shared" si="6"/>
        <v>1</v>
      </c>
      <c r="AB232">
        <f t="shared" si="7"/>
        <v>0</v>
      </c>
    </row>
    <row r="233" spans="1:28">
      <c r="A233" s="6">
        <v>40050</v>
      </c>
      <c r="B233" t="s">
        <v>469</v>
      </c>
      <c r="C233" t="s">
        <v>818</v>
      </c>
      <c r="D233" t="s">
        <v>496</v>
      </c>
      <c r="E233" t="s">
        <v>472</v>
      </c>
      <c r="F233" s="7">
        <v>7</v>
      </c>
      <c r="G233">
        <v>7</v>
      </c>
      <c r="H233">
        <v>1</v>
      </c>
      <c r="I233">
        <v>7</v>
      </c>
      <c r="J233" t="s">
        <v>747</v>
      </c>
      <c r="K233" t="s">
        <v>237</v>
      </c>
      <c r="L233" t="s">
        <v>199</v>
      </c>
      <c r="M233" t="s">
        <v>175</v>
      </c>
      <c r="N233" s="9" t="s">
        <v>38</v>
      </c>
      <c r="O233">
        <v>9</v>
      </c>
      <c r="Z233">
        <f>(9*(0.0175*(4^3))+0*(0.0175*(5^3))+P233*(0.0175*(12.5^3)))+(Q233*(0.0175*(17.5^3)))+(R233*(0.0175*(22.5^3)))+(S233*(0.0175*(27.5^3)))+(T233*(0.0175*(32.5^3)))+(U233*(0.0175*(37.5^3)))+(V233*(0.0175*(42.5^3)))+(W233*(0.0175*(27.5^3)))</f>
        <v>10.080000000000002</v>
      </c>
      <c r="AA233">
        <f t="shared" si="6"/>
        <v>9</v>
      </c>
      <c r="AB233">
        <f t="shared" si="7"/>
        <v>0</v>
      </c>
    </row>
    <row r="234" spans="1:28">
      <c r="A234" s="6">
        <v>40050</v>
      </c>
      <c r="B234" t="s">
        <v>469</v>
      </c>
      <c r="C234" t="s">
        <v>818</v>
      </c>
      <c r="D234" t="s">
        <v>496</v>
      </c>
      <c r="E234" t="s">
        <v>472</v>
      </c>
      <c r="F234" s="7">
        <v>7</v>
      </c>
      <c r="G234">
        <v>7</v>
      </c>
      <c r="H234">
        <v>1</v>
      </c>
      <c r="I234">
        <v>7</v>
      </c>
      <c r="J234" t="s">
        <v>747</v>
      </c>
      <c r="K234" t="s">
        <v>237</v>
      </c>
      <c r="L234" t="s">
        <v>61</v>
      </c>
      <c r="M234" t="s">
        <v>175</v>
      </c>
      <c r="N234" t="s">
        <v>586</v>
      </c>
      <c r="O234">
        <v>2</v>
      </c>
      <c r="Z234">
        <f>(1*(0.00000779*(80^3.18)))+(1*(0.00000779*(90^3.18)))</f>
        <v>21.542583849997314</v>
      </c>
      <c r="AA234">
        <f t="shared" si="6"/>
        <v>2</v>
      </c>
      <c r="AB234">
        <f t="shared" si="7"/>
        <v>0</v>
      </c>
    </row>
    <row r="235" spans="1:28">
      <c r="A235" s="6">
        <v>40050</v>
      </c>
      <c r="B235" t="s">
        <v>469</v>
      </c>
      <c r="C235" t="s">
        <v>818</v>
      </c>
      <c r="D235" t="s">
        <v>696</v>
      </c>
      <c r="E235" t="s">
        <v>472</v>
      </c>
      <c r="F235" s="7">
        <v>8</v>
      </c>
      <c r="G235" t="s">
        <v>697</v>
      </c>
      <c r="H235">
        <v>2</v>
      </c>
      <c r="I235">
        <v>8</v>
      </c>
      <c r="J235" t="s">
        <v>404</v>
      </c>
      <c r="K235" t="s">
        <v>237</v>
      </c>
      <c r="L235" t="s">
        <v>199</v>
      </c>
      <c r="M235" t="s">
        <v>175</v>
      </c>
      <c r="N235" s="9" t="s">
        <v>38</v>
      </c>
      <c r="O235">
        <v>5</v>
      </c>
      <c r="Z235">
        <f>(4*(0.0175*(4^3))+1*(0.0175*(3^3))+P235*(0.0175*(12.5^3)))+(Q235*(0.0175*(17.5^3)))+(R235*(0.0175*(22.5^3)))+(S235*(0.0175*(27.5^3)))+(T235*(0.0175*(32.5^3)))+(U235*(0.0175*(37.5^3)))+(V235*(0.0175*(42.5^3)))+(W235*(0.0175*(27.5^3)))</f>
        <v>4.9525000000000006</v>
      </c>
      <c r="AA235">
        <f t="shared" si="6"/>
        <v>5</v>
      </c>
      <c r="AB235">
        <f t="shared" si="7"/>
        <v>0</v>
      </c>
    </row>
    <row r="236" spans="1:28">
      <c r="A236" s="6">
        <v>40050</v>
      </c>
      <c r="B236" t="s">
        <v>469</v>
      </c>
      <c r="C236" t="s">
        <v>818</v>
      </c>
      <c r="D236" t="s">
        <v>696</v>
      </c>
      <c r="E236" t="s">
        <v>472</v>
      </c>
      <c r="F236" s="7">
        <v>8</v>
      </c>
      <c r="G236" t="s">
        <v>697</v>
      </c>
      <c r="H236">
        <v>2</v>
      </c>
      <c r="I236">
        <v>8</v>
      </c>
      <c r="J236" t="s">
        <v>404</v>
      </c>
      <c r="K236" t="s">
        <v>237</v>
      </c>
      <c r="L236" t="s">
        <v>61</v>
      </c>
      <c r="M236" t="s">
        <v>175</v>
      </c>
      <c r="N236" t="s">
        <v>586</v>
      </c>
      <c r="P236">
        <v>1</v>
      </c>
      <c r="Z236">
        <f>(1*(0.00000779*(150^3.18)))</f>
        <v>64.789952488383747</v>
      </c>
      <c r="AA236">
        <f t="shared" si="6"/>
        <v>1</v>
      </c>
      <c r="AB236">
        <f t="shared" si="7"/>
        <v>0</v>
      </c>
    </row>
    <row r="237" spans="1:28">
      <c r="A237" s="6">
        <v>40050</v>
      </c>
      <c r="B237" t="s">
        <v>469</v>
      </c>
      <c r="C237" t="s">
        <v>818</v>
      </c>
      <c r="D237" t="s">
        <v>696</v>
      </c>
      <c r="E237" t="s">
        <v>472</v>
      </c>
      <c r="F237" s="7">
        <v>8</v>
      </c>
      <c r="G237" t="s">
        <v>697</v>
      </c>
      <c r="H237">
        <v>2</v>
      </c>
      <c r="I237">
        <v>8</v>
      </c>
      <c r="J237" t="s">
        <v>404</v>
      </c>
      <c r="K237" t="s">
        <v>237</v>
      </c>
      <c r="L237" t="s">
        <v>170</v>
      </c>
      <c r="M237" t="s">
        <v>170</v>
      </c>
      <c r="N237" t="s">
        <v>509</v>
      </c>
      <c r="U237">
        <v>1</v>
      </c>
      <c r="Z237">
        <f>(0*(0.0156*(7^3))+0*(0.0156*(8^3))+0*(0.0156*(9^3))+0*(0.0156*(10^3))+0*(0.0156*(12^3))+0*(0.0156*(12.5^3)))+(Q237*(0.0156*(17.5^3)))+(R237*(0.0156*(22.5^3)))+(S237*(0.0156*(27.5^3)))+(T237*(0.0156*(32.5^3)))+(U237*(0.0156*(37.5^3)))+(V237*(0.0156*(42.5^3)))+(W237*(0.0156*(27.5^3)))</f>
        <v>822.65625</v>
      </c>
      <c r="AA237">
        <f t="shared" si="6"/>
        <v>1</v>
      </c>
      <c r="AB237">
        <f t="shared" si="7"/>
        <v>1</v>
      </c>
    </row>
    <row r="238" spans="1:28">
      <c r="A238" s="6">
        <v>40050</v>
      </c>
      <c r="B238" t="s">
        <v>469</v>
      </c>
      <c r="C238" t="s">
        <v>818</v>
      </c>
      <c r="D238" t="s">
        <v>696</v>
      </c>
      <c r="E238" t="s">
        <v>472</v>
      </c>
      <c r="F238" s="7">
        <v>8</v>
      </c>
      <c r="G238" t="s">
        <v>697</v>
      </c>
      <c r="H238">
        <v>2</v>
      </c>
      <c r="I238">
        <v>8</v>
      </c>
      <c r="J238" t="s">
        <v>404</v>
      </c>
      <c r="K238" t="s">
        <v>237</v>
      </c>
      <c r="L238" t="s">
        <v>170</v>
      </c>
      <c r="M238" t="s">
        <v>170</v>
      </c>
      <c r="N238" t="s">
        <v>477</v>
      </c>
      <c r="P238">
        <v>1</v>
      </c>
      <c r="Z238">
        <f>(0*(0.0156*(7^3))+0*(0.0156*(8^3))+0*(0.0156*(9^3))+0*(0.0156*(10^3))+1*(0.0156*(12^3))+0*(0.0156*(12.5^3)))+(Q238*(0.0156*(17.5^3)))+(R238*(0.0156*(22.5^3)))+(S238*(0.0156*(27.5^3)))+(T238*(0.0156*(32.5^3)))+(U238*(0.0156*(37.5^3)))+(V238*(0.0156*(42.5^3)))+(W238*(0.0156*(27.5^3)))</f>
        <v>26.956799999999998</v>
      </c>
      <c r="AA238">
        <f t="shared" si="6"/>
        <v>1</v>
      </c>
      <c r="AB238">
        <f t="shared" si="7"/>
        <v>0</v>
      </c>
    </row>
    <row r="239" spans="1:28">
      <c r="A239" s="6">
        <v>40050</v>
      </c>
      <c r="B239" t="s">
        <v>469</v>
      </c>
      <c r="C239" t="s">
        <v>818</v>
      </c>
      <c r="D239" t="s">
        <v>696</v>
      </c>
      <c r="E239" t="s">
        <v>472</v>
      </c>
      <c r="F239" s="7">
        <v>8</v>
      </c>
      <c r="G239" t="s">
        <v>697</v>
      </c>
      <c r="H239">
        <v>2</v>
      </c>
      <c r="I239">
        <v>8</v>
      </c>
      <c r="J239" t="s">
        <v>404</v>
      </c>
      <c r="K239" t="s">
        <v>237</v>
      </c>
      <c r="L239" t="s">
        <v>170</v>
      </c>
      <c r="M239" t="s">
        <v>170</v>
      </c>
      <c r="N239" t="s">
        <v>476</v>
      </c>
      <c r="T239">
        <v>1</v>
      </c>
      <c r="Z239">
        <f>(0*(0.0156*(7^3))+0*(0.0156*(8^3))+0*(0.0156*(9^3))+0*(0.0156*(10^3))+0*(0.0156*(12^3))+0*(0.0156*(12.5^3)))+(Q239*(0.0156*(17.5^3)))+(R239*(0.0156*(22.5^3)))+(S239*(0.0156*(27.5^3)))+(T239*(0.0156*(32.5^3)))+(U239*(0.0156*(37.5^3)))+(V239*(0.0156*(42.5^3)))+(W239*(0.0156*(27.5^3)))</f>
        <v>535.51874999999995</v>
      </c>
      <c r="AA239">
        <f t="shared" si="6"/>
        <v>1</v>
      </c>
      <c r="AB239">
        <f t="shared" si="7"/>
        <v>1</v>
      </c>
    </row>
    <row r="240" spans="1:28">
      <c r="A240" s="6">
        <v>40050</v>
      </c>
      <c r="B240" t="s">
        <v>469</v>
      </c>
      <c r="C240" t="s">
        <v>818</v>
      </c>
      <c r="D240" t="s">
        <v>696</v>
      </c>
      <c r="E240" t="s">
        <v>472</v>
      </c>
      <c r="F240" s="7">
        <v>8</v>
      </c>
      <c r="G240" t="s">
        <v>697</v>
      </c>
      <c r="H240">
        <v>2</v>
      </c>
      <c r="I240">
        <v>8</v>
      </c>
      <c r="J240" t="s">
        <v>404</v>
      </c>
      <c r="K240" t="s">
        <v>237</v>
      </c>
      <c r="L240" t="s">
        <v>252</v>
      </c>
      <c r="M240" t="s">
        <v>263</v>
      </c>
      <c r="N240" t="s">
        <v>211</v>
      </c>
      <c r="P240">
        <v>3</v>
      </c>
      <c r="Q240">
        <v>1</v>
      </c>
      <c r="Z240">
        <f>(3*(0.0211*(12.5^3)))+(1*(0.0211*(17.5^3)))+(R240*(0.0211*(22.5^3)))+(S240*(0.0211*(27.5^3)))+(T240*(0.0211*(32.5^3)))+(U240*(0.0211*(37.5^3)))+(V240*(0.0211*(42.5^3)))+(W240*(0.0211*(27.5^3)))</f>
        <v>236.71562499999999</v>
      </c>
      <c r="AA240">
        <f t="shared" si="6"/>
        <v>4</v>
      </c>
      <c r="AB240">
        <f t="shared" si="7"/>
        <v>1</v>
      </c>
    </row>
    <row r="241" spans="1:28">
      <c r="A241" s="6">
        <v>40051</v>
      </c>
      <c r="B241" s="9" t="s">
        <v>670</v>
      </c>
      <c r="C241" s="9" t="s">
        <v>400</v>
      </c>
      <c r="D241" s="9" t="s">
        <v>511</v>
      </c>
      <c r="E241" s="9" t="s">
        <v>402</v>
      </c>
      <c r="F241" s="10">
        <v>4</v>
      </c>
      <c r="G241" s="9" t="s">
        <v>512</v>
      </c>
      <c r="H241">
        <v>5</v>
      </c>
      <c r="I241">
        <v>5</v>
      </c>
      <c r="J241" t="s">
        <v>404</v>
      </c>
      <c r="K241" s="9" t="s">
        <v>405</v>
      </c>
      <c r="L241" t="s">
        <v>199</v>
      </c>
      <c r="M241" t="s">
        <v>175</v>
      </c>
      <c r="N241" s="9" t="s">
        <v>38</v>
      </c>
      <c r="O241" s="9">
        <v>44</v>
      </c>
      <c r="Z241">
        <f>(29*(0.0175*(4^3))+8*(0.0175*(3^3))+7*(0.0175*(5^3))+P241*(0.0175*(12.5^3)))+(Q241*(0.0175*(17.5^3)))+(R241*(0.0175*(22.5^3)))+(S241*(0.0175*(27.5^3)))+(T241*(0.0175*(32.5^3)))+(U241*(0.0175*(37.5^3)))+(V241*(0.0175*(42.5^3)))+(W241*(0.0175*(27.5^3)))</f>
        <v>51.572500000000005</v>
      </c>
      <c r="AA241">
        <f t="shared" si="6"/>
        <v>44</v>
      </c>
      <c r="AB241">
        <f t="shared" si="7"/>
        <v>0</v>
      </c>
    </row>
    <row r="242" spans="1:28">
      <c r="A242" s="6">
        <v>40051</v>
      </c>
      <c r="B242" s="9" t="s">
        <v>670</v>
      </c>
      <c r="C242" s="9" t="s">
        <v>400</v>
      </c>
      <c r="D242" s="9" t="s">
        <v>511</v>
      </c>
      <c r="E242" s="9" t="s">
        <v>402</v>
      </c>
      <c r="F242" s="10">
        <v>4</v>
      </c>
      <c r="G242" s="9" t="s">
        <v>512</v>
      </c>
      <c r="H242">
        <v>5</v>
      </c>
      <c r="I242">
        <v>5</v>
      </c>
      <c r="J242" t="s">
        <v>404</v>
      </c>
      <c r="K242" s="9" t="s">
        <v>405</v>
      </c>
      <c r="L242" t="s">
        <v>170</v>
      </c>
      <c r="M242" t="s">
        <v>170</v>
      </c>
      <c r="N242" s="9" t="s">
        <v>238</v>
      </c>
      <c r="P242" s="9">
        <v>4</v>
      </c>
      <c r="Z242">
        <f>(0*(0.0156*(7^3))+0*(0.0156*(8^3))+0*(0.0156*(9^3))+1*(0.0156*(10^3))+2*(0.0156*(12^3))+1*(0.0156*(15^3)))+(Q242*(0.0156*(17.5^3)))+(R242*(0.0156*(22.5^3)))+(S242*(0.0156*(27.5^3)))+(T242*(0.0156*(32.5^3)))+(U242*(0.0156*(37.5^3)))+(V242*(0.0156*(42.5^3)))+(W242*(0.0156*(27.5^3)))</f>
        <v>122.1636</v>
      </c>
      <c r="AA242">
        <f t="shared" si="6"/>
        <v>4</v>
      </c>
      <c r="AB242">
        <f t="shared" si="7"/>
        <v>0</v>
      </c>
    </row>
    <row r="243" spans="1:28">
      <c r="A243" s="6">
        <v>40051</v>
      </c>
      <c r="B243" s="9" t="s">
        <v>670</v>
      </c>
      <c r="C243" s="9" t="s">
        <v>400</v>
      </c>
      <c r="D243" s="9" t="s">
        <v>511</v>
      </c>
      <c r="E243" s="9" t="s">
        <v>402</v>
      </c>
      <c r="F243" s="10">
        <v>4</v>
      </c>
      <c r="G243" s="9" t="s">
        <v>512</v>
      </c>
      <c r="H243">
        <v>5</v>
      </c>
      <c r="I243">
        <v>5</v>
      </c>
      <c r="J243" t="s">
        <v>404</v>
      </c>
      <c r="K243" s="9" t="s">
        <v>405</v>
      </c>
      <c r="L243" t="s">
        <v>252</v>
      </c>
      <c r="M243" t="s">
        <v>263</v>
      </c>
      <c r="N243" t="s">
        <v>211</v>
      </c>
      <c r="O243" s="9">
        <v>1</v>
      </c>
      <c r="P243" s="9">
        <v>7</v>
      </c>
      <c r="R243">
        <v>1</v>
      </c>
      <c r="Z243">
        <f>(7*(0.0211*(12.5^3)))+(Q243*(0.0211*(17.5^3)))+(R243*(0.0211*(22.5^3)))+(S243*(0.0211*(27.5^3)))+(T243*(0.0211*(32.5^3)))+(U243*(0.0211*(37.5^3)))+(V243*(0.0211*(42.5^3)))+(W243*(0.0211*(27.5^3)))</f>
        <v>528.81875000000002</v>
      </c>
      <c r="AA243">
        <f t="shared" si="6"/>
        <v>9</v>
      </c>
      <c r="AB243">
        <f t="shared" si="7"/>
        <v>1</v>
      </c>
    </row>
    <row r="244" spans="1:28">
      <c r="A244" s="6">
        <v>40051</v>
      </c>
      <c r="B244" s="9" t="s">
        <v>670</v>
      </c>
      <c r="C244" s="9" t="s">
        <v>400</v>
      </c>
      <c r="D244" s="9" t="s">
        <v>511</v>
      </c>
      <c r="E244" s="9" t="s">
        <v>402</v>
      </c>
      <c r="F244" s="10">
        <v>4</v>
      </c>
      <c r="G244" s="9" t="s">
        <v>512</v>
      </c>
      <c r="H244">
        <v>5</v>
      </c>
      <c r="I244">
        <v>5</v>
      </c>
      <c r="J244" t="s">
        <v>404</v>
      </c>
      <c r="K244" s="9" t="s">
        <v>405</v>
      </c>
      <c r="L244" t="s">
        <v>170</v>
      </c>
      <c r="M244" t="s">
        <v>170</v>
      </c>
      <c r="N244" s="9" t="s">
        <v>409</v>
      </c>
      <c r="Q244">
        <v>1</v>
      </c>
      <c r="U244">
        <v>1</v>
      </c>
      <c r="Z244">
        <f>(0*(0.0156*(7^3))+0*(0.0156*(8^3))+0*(0.0156*(9^3))+0*(0.0156*(10^3))+0*(0.0156*(12^3))+0*(0.0156*(12.5^3)))+(Q244*(0.0156*(17.5^3)))+(R244*(0.0156*(22.5^3)))+(S244*(0.0156*(27.5^3)))+(T244*(0.0156*(32.5^3)))+(U244*(0.0156*(37.5^3)))+(V244*(0.0156*(42.5^3)))+(W244*(0.0156*(27.5^3)))</f>
        <v>906.26250000000005</v>
      </c>
      <c r="AA244">
        <f t="shared" si="6"/>
        <v>2</v>
      </c>
      <c r="AB244">
        <f t="shared" si="7"/>
        <v>2</v>
      </c>
    </row>
    <row r="245" spans="1:28">
      <c r="A245" s="6">
        <v>40051</v>
      </c>
      <c r="B245" s="9" t="s">
        <v>670</v>
      </c>
      <c r="C245" s="9" t="s">
        <v>400</v>
      </c>
      <c r="D245" s="9" t="s">
        <v>511</v>
      </c>
      <c r="E245" s="9" t="s">
        <v>402</v>
      </c>
      <c r="F245" s="10">
        <v>4</v>
      </c>
      <c r="G245" s="9" t="s">
        <v>512</v>
      </c>
      <c r="H245">
        <v>5</v>
      </c>
      <c r="I245">
        <v>5</v>
      </c>
      <c r="J245" t="s">
        <v>404</v>
      </c>
      <c r="K245" s="9" t="s">
        <v>405</v>
      </c>
      <c r="L245" s="9" t="s">
        <v>77</v>
      </c>
      <c r="M245" t="s">
        <v>65</v>
      </c>
      <c r="N245" s="9" t="s">
        <v>407</v>
      </c>
      <c r="O245" s="9">
        <v>30</v>
      </c>
      <c r="Z245">
        <f>30*(0.0004*(4^3.43))</f>
        <v>1.3939494225671596</v>
      </c>
      <c r="AA245">
        <f t="shared" si="6"/>
        <v>30</v>
      </c>
      <c r="AB245">
        <f t="shared" si="7"/>
        <v>0</v>
      </c>
    </row>
    <row r="246" spans="1:28">
      <c r="A246" s="6">
        <v>40051</v>
      </c>
      <c r="B246" s="9" t="s">
        <v>670</v>
      </c>
      <c r="C246" s="9" t="s">
        <v>400</v>
      </c>
      <c r="D246" s="9" t="s">
        <v>511</v>
      </c>
      <c r="E246" s="9" t="s">
        <v>402</v>
      </c>
      <c r="F246" s="10">
        <v>4</v>
      </c>
      <c r="G246" s="9" t="s">
        <v>512</v>
      </c>
      <c r="H246">
        <v>5</v>
      </c>
      <c r="I246">
        <v>5</v>
      </c>
      <c r="J246" t="s">
        <v>404</v>
      </c>
      <c r="K246" s="9" t="s">
        <v>405</v>
      </c>
      <c r="L246" s="9" t="s">
        <v>107</v>
      </c>
      <c r="M246" s="9" t="s">
        <v>202</v>
      </c>
      <c r="N246" s="9" t="s">
        <v>335</v>
      </c>
      <c r="P246" s="9">
        <v>1</v>
      </c>
      <c r="Z246">
        <f>(1*(0.0043*(10^3.018)))</f>
        <v>4.4819649463912077</v>
      </c>
      <c r="AA246">
        <f t="shared" si="6"/>
        <v>1</v>
      </c>
      <c r="AB246">
        <f t="shared" si="7"/>
        <v>0</v>
      </c>
    </row>
    <row r="247" spans="1:28">
      <c r="A247" s="6">
        <v>40051</v>
      </c>
      <c r="B247" s="9" t="s">
        <v>670</v>
      </c>
      <c r="C247" s="9" t="s">
        <v>400</v>
      </c>
      <c r="D247" s="9" t="s">
        <v>511</v>
      </c>
      <c r="E247" s="9" t="s">
        <v>402</v>
      </c>
      <c r="F247" s="10">
        <v>4</v>
      </c>
      <c r="G247" s="9" t="s">
        <v>512</v>
      </c>
      <c r="H247">
        <v>5</v>
      </c>
      <c r="I247">
        <v>5</v>
      </c>
      <c r="J247" t="s">
        <v>404</v>
      </c>
      <c r="K247" s="9" t="s">
        <v>405</v>
      </c>
      <c r="L247" t="s">
        <v>61</v>
      </c>
      <c r="M247" t="s">
        <v>175</v>
      </c>
      <c r="N247" s="9" t="s">
        <v>677</v>
      </c>
      <c r="O247" s="9">
        <v>1</v>
      </c>
      <c r="Q247">
        <v>1</v>
      </c>
      <c r="R247">
        <v>1</v>
      </c>
      <c r="T247">
        <v>1</v>
      </c>
      <c r="Z247">
        <f>(1*(0.00000779*(80^3.18)))+(Q247*(0.00000779*(175^3.18)))+(R247*(0.00000779*(225^3.18)))+(T247*(0.00000779*(325^3.18)))</f>
        <v>1107.1802407315226</v>
      </c>
      <c r="AA247">
        <f t="shared" si="6"/>
        <v>4</v>
      </c>
      <c r="AB247">
        <f t="shared" si="7"/>
        <v>3</v>
      </c>
    </row>
    <row r="248" spans="1:28">
      <c r="A248" s="6">
        <v>40051</v>
      </c>
      <c r="B248" s="9" t="s">
        <v>670</v>
      </c>
      <c r="C248" s="9" t="s">
        <v>400</v>
      </c>
      <c r="D248" s="9" t="s">
        <v>511</v>
      </c>
      <c r="E248" s="9" t="s">
        <v>402</v>
      </c>
      <c r="F248" s="10">
        <v>4</v>
      </c>
      <c r="G248">
        <v>24</v>
      </c>
      <c r="H248">
        <v>6</v>
      </c>
      <c r="I248">
        <v>6</v>
      </c>
      <c r="J248" s="9" t="s">
        <v>309</v>
      </c>
      <c r="K248" s="9" t="s">
        <v>405</v>
      </c>
      <c r="L248" t="s">
        <v>199</v>
      </c>
      <c r="M248" t="s">
        <v>175</v>
      </c>
      <c r="N248" s="9" t="s">
        <v>38</v>
      </c>
      <c r="O248" s="9">
        <v>25</v>
      </c>
      <c r="Z248">
        <f>(24*(0.0175*(4^3))+1*(0.0175*(3^3))+0*(0.0175*(5^3))+P248*(0.0175*(12.5^3)))+(Q248*(0.0175*(17.5^3)))+(R248*(0.0175*(22.5^3)))+(S248*(0.0175*(27.5^3)))+(T248*(0.0175*(32.5^3)))+(U248*(0.0175*(37.5^3)))+(V248*(0.0175*(42.5^3)))+(W248*(0.0175*(27.5^3)))</f>
        <v>27.352500000000003</v>
      </c>
      <c r="AA248">
        <f t="shared" si="6"/>
        <v>25</v>
      </c>
      <c r="AB248">
        <f t="shared" si="7"/>
        <v>0</v>
      </c>
    </row>
    <row r="249" spans="1:28">
      <c r="A249" s="6">
        <v>40051</v>
      </c>
      <c r="B249" s="9" t="s">
        <v>670</v>
      </c>
      <c r="C249" s="9" t="s">
        <v>400</v>
      </c>
      <c r="D249" s="9" t="s">
        <v>511</v>
      </c>
      <c r="E249" s="9" t="s">
        <v>402</v>
      </c>
      <c r="F249" s="10">
        <v>4</v>
      </c>
      <c r="G249">
        <v>24</v>
      </c>
      <c r="H249">
        <v>6</v>
      </c>
      <c r="I249">
        <v>6</v>
      </c>
      <c r="J249" s="9" t="s">
        <v>309</v>
      </c>
      <c r="K249" s="9" t="s">
        <v>405</v>
      </c>
      <c r="L249" t="s">
        <v>174</v>
      </c>
      <c r="M249" t="s">
        <v>174</v>
      </c>
      <c r="N249" s="9" t="s">
        <v>210</v>
      </c>
      <c r="V249">
        <v>1</v>
      </c>
      <c r="Z249">
        <f>(V249*(0.013*(42.5^3)))</f>
        <v>997.953125</v>
      </c>
      <c r="AA249">
        <f t="shared" si="6"/>
        <v>1</v>
      </c>
      <c r="AB249">
        <f t="shared" si="7"/>
        <v>1</v>
      </c>
    </row>
    <row r="250" spans="1:28">
      <c r="A250" s="6">
        <v>40051</v>
      </c>
      <c r="B250" s="9" t="s">
        <v>670</v>
      </c>
      <c r="C250" s="9" t="s">
        <v>400</v>
      </c>
      <c r="D250" s="9" t="s">
        <v>511</v>
      </c>
      <c r="E250" s="9" t="s">
        <v>402</v>
      </c>
      <c r="F250" s="10">
        <v>4</v>
      </c>
      <c r="G250">
        <v>24</v>
      </c>
      <c r="H250">
        <v>6</v>
      </c>
      <c r="I250">
        <v>6</v>
      </c>
      <c r="J250" s="9" t="s">
        <v>309</v>
      </c>
      <c r="K250" s="9" t="s">
        <v>405</v>
      </c>
      <c r="L250" t="s">
        <v>170</v>
      </c>
      <c r="M250" t="s">
        <v>170</v>
      </c>
      <c r="N250" s="9" t="s">
        <v>238</v>
      </c>
      <c r="P250" s="9">
        <v>2</v>
      </c>
      <c r="Z250">
        <f>(0*(0.0156*(7^3))+0*(0.0156*(8^3))+0*(0.0156*(9^3))+1*(0.0156*(10^3))+1*(0.0156*(11^3))+0*(0.0156*(12.5^3)))+(Q250*(0.0156*(17.5^3)))+(R250*(0.0156*(22.5^3)))+(S250*(0.0156*(27.5^3)))+(T250*(0.0156*(32.5^3)))+(U250*(0.0156*(37.5^3)))+(V250*(0.0156*(42.5^3)))+(W250*(0.0156*(27.5^3)))</f>
        <v>36.363599999999998</v>
      </c>
      <c r="AA250">
        <f t="shared" si="6"/>
        <v>2</v>
      </c>
      <c r="AB250">
        <f t="shared" si="7"/>
        <v>0</v>
      </c>
    </row>
    <row r="251" spans="1:28">
      <c r="A251" s="6">
        <v>40051</v>
      </c>
      <c r="B251" s="9" t="s">
        <v>670</v>
      </c>
      <c r="C251" s="9" t="s">
        <v>400</v>
      </c>
      <c r="D251" s="9" t="s">
        <v>511</v>
      </c>
      <c r="E251" s="9" t="s">
        <v>402</v>
      </c>
      <c r="F251" s="10">
        <v>4</v>
      </c>
      <c r="G251">
        <v>24</v>
      </c>
      <c r="H251">
        <v>6</v>
      </c>
      <c r="I251">
        <v>6</v>
      </c>
      <c r="J251" s="9" t="s">
        <v>309</v>
      </c>
      <c r="K251" s="9" t="s">
        <v>405</v>
      </c>
      <c r="L251" s="9" t="s">
        <v>209</v>
      </c>
      <c r="M251" s="9" t="s">
        <v>62</v>
      </c>
      <c r="N251" s="9" t="s">
        <v>243</v>
      </c>
      <c r="Q251">
        <v>1</v>
      </c>
      <c r="Z251">
        <f>(Q251*((2.53*((17.5*10))-0.13)))</f>
        <v>442.61999999999995</v>
      </c>
      <c r="AA251">
        <f t="shared" si="6"/>
        <v>1</v>
      </c>
      <c r="AB251">
        <f t="shared" si="7"/>
        <v>1</v>
      </c>
    </row>
    <row r="252" spans="1:28">
      <c r="A252" s="6">
        <v>40051</v>
      </c>
      <c r="B252" s="9" t="s">
        <v>670</v>
      </c>
      <c r="C252" s="9" t="s">
        <v>400</v>
      </c>
      <c r="D252" s="9" t="s">
        <v>511</v>
      </c>
      <c r="E252" s="9" t="s">
        <v>402</v>
      </c>
      <c r="F252" s="10">
        <v>4</v>
      </c>
      <c r="G252">
        <v>24</v>
      </c>
      <c r="H252">
        <v>6</v>
      </c>
      <c r="I252">
        <v>6</v>
      </c>
      <c r="J252" s="9" t="s">
        <v>309</v>
      </c>
      <c r="K252" s="9" t="s">
        <v>405</v>
      </c>
      <c r="L252" t="s">
        <v>252</v>
      </c>
      <c r="M252" t="s">
        <v>263</v>
      </c>
      <c r="N252" t="s">
        <v>211</v>
      </c>
      <c r="P252" s="9">
        <v>4</v>
      </c>
      <c r="R252">
        <v>1</v>
      </c>
      <c r="Z252">
        <f>(4*(0.0211*(12.5^3)))+(Q252*(0.0211*(17.5^3)))+(R252*(0.0211*(22.5^3)))+(S252*(0.0211*(27.5^3)))+(T252*(0.0211*(32.5^3)))+(U252*(0.0211*(37.5^3)))+(V252*(0.0211*(42.5^3)))+(W252*(0.0211*(27.5^3)))</f>
        <v>405.18593750000002</v>
      </c>
      <c r="AA252">
        <f t="shared" si="6"/>
        <v>5</v>
      </c>
      <c r="AB252">
        <f t="shared" si="7"/>
        <v>1</v>
      </c>
    </row>
    <row r="253" spans="1:28">
      <c r="A253" s="6">
        <v>40051</v>
      </c>
      <c r="B253" s="9" t="s">
        <v>670</v>
      </c>
      <c r="C253" s="9" t="s">
        <v>400</v>
      </c>
      <c r="D253" s="9" t="s">
        <v>511</v>
      </c>
      <c r="E253" s="9" t="s">
        <v>402</v>
      </c>
      <c r="F253" s="10">
        <v>4</v>
      </c>
      <c r="G253">
        <v>24</v>
      </c>
      <c r="H253">
        <v>6</v>
      </c>
      <c r="I253">
        <v>6</v>
      </c>
      <c r="J253" s="9" t="s">
        <v>309</v>
      </c>
      <c r="K253" s="9" t="s">
        <v>405</v>
      </c>
      <c r="L253" s="9" t="s">
        <v>77</v>
      </c>
      <c r="M253" t="s">
        <v>65</v>
      </c>
      <c r="N253" s="9" t="s">
        <v>407</v>
      </c>
      <c r="O253">
        <v>1</v>
      </c>
      <c r="Z253">
        <f>1*(0.0004*(8^3.43))</f>
        <v>0.50079345774267114</v>
      </c>
      <c r="AA253">
        <f t="shared" si="6"/>
        <v>1</v>
      </c>
      <c r="AB253">
        <f t="shared" si="7"/>
        <v>0</v>
      </c>
    </row>
    <row r="254" spans="1:28">
      <c r="M254" t="s">
        <v>66</v>
      </c>
    </row>
    <row r="260" spans="20:20">
      <c r="T260" s="35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213"/>
  <sheetViews>
    <sheetView topLeftCell="Y3" workbookViewId="0">
      <selection activeCell="AN42" sqref="AN42"/>
    </sheetView>
  </sheetViews>
  <sheetFormatPr baseColWidth="10" defaultRowHeight="12"/>
  <cols>
    <col min="8" max="12" width="10.83203125" hidden="1" customWidth="1"/>
    <col min="26" max="26" width="23.1640625" bestFit="1" customWidth="1"/>
    <col min="27" max="27" width="8.6640625" customWidth="1"/>
    <col min="28" max="28" width="12.1640625" bestFit="1" customWidth="1"/>
    <col min="37" max="38" width="23.1640625" bestFit="1" customWidth="1"/>
    <col min="39" max="39" width="12.1640625" customWidth="1"/>
  </cols>
  <sheetData>
    <row r="1" spans="1:46" s="13" customFormat="1">
      <c r="A1" s="13" t="s">
        <v>689</v>
      </c>
      <c r="B1" s="13" t="s">
        <v>690</v>
      </c>
      <c r="C1" s="13" t="s">
        <v>691</v>
      </c>
      <c r="D1" s="13" t="s">
        <v>765</v>
      </c>
      <c r="E1" s="13" t="s">
        <v>767</v>
      </c>
      <c r="F1" s="13" t="s">
        <v>692</v>
      </c>
      <c r="G1" s="13" t="s">
        <v>693</v>
      </c>
      <c r="H1" s="13" t="s">
        <v>384</v>
      </c>
      <c r="I1" s="13" t="s">
        <v>869</v>
      </c>
      <c r="J1" s="13" t="s">
        <v>870</v>
      </c>
      <c r="K1" s="13" t="s">
        <v>871</v>
      </c>
      <c r="L1" s="13" t="s">
        <v>872</v>
      </c>
      <c r="M1" s="13" t="s">
        <v>700</v>
      </c>
      <c r="N1" s="13" t="s">
        <v>701</v>
      </c>
      <c r="O1" s="13" t="s">
        <v>385</v>
      </c>
      <c r="P1" s="13" t="s">
        <v>316</v>
      </c>
      <c r="Q1" s="13" t="s">
        <v>702</v>
      </c>
      <c r="R1" s="13" t="s">
        <v>703</v>
      </c>
      <c r="S1" s="13" t="s">
        <v>704</v>
      </c>
      <c r="T1" s="13" t="s">
        <v>705</v>
      </c>
      <c r="U1" s="13" t="s">
        <v>706</v>
      </c>
      <c r="V1" s="13" t="s">
        <v>398</v>
      </c>
      <c r="W1" s="13" t="s">
        <v>705</v>
      </c>
    </row>
    <row r="2" spans="1:46">
      <c r="A2" s="6">
        <v>40047</v>
      </c>
      <c r="B2" s="32" t="s">
        <v>686</v>
      </c>
      <c r="C2" s="11" t="s">
        <v>687</v>
      </c>
      <c r="D2" s="12" t="s">
        <v>670</v>
      </c>
      <c r="E2" s="12" t="s">
        <v>400</v>
      </c>
      <c r="F2" s="12" t="s">
        <v>511</v>
      </c>
      <c r="G2" s="12">
        <v>1</v>
      </c>
      <c r="M2" s="12">
        <v>3</v>
      </c>
      <c r="N2">
        <v>20</v>
      </c>
      <c r="P2" s="11" t="s">
        <v>450</v>
      </c>
      <c r="Q2">
        <v>9</v>
      </c>
      <c r="S2" s="12">
        <v>1</v>
      </c>
      <c r="W2">
        <f>EXP(-12.1)+EXP(3.23)*Q2</f>
        <v>227.51691829817929</v>
      </c>
    </row>
    <row r="3" spans="1:46">
      <c r="A3" s="6">
        <v>40048</v>
      </c>
      <c r="B3" s="11" t="s">
        <v>505</v>
      </c>
      <c r="C3" s="11" t="s">
        <v>505</v>
      </c>
      <c r="D3" s="33" t="s">
        <v>670</v>
      </c>
      <c r="E3" s="12" t="s">
        <v>688</v>
      </c>
      <c r="F3" s="33" t="s">
        <v>269</v>
      </c>
      <c r="G3" s="12">
        <v>1</v>
      </c>
      <c r="M3" s="12">
        <v>1</v>
      </c>
      <c r="O3">
        <v>4.5</v>
      </c>
      <c r="P3" s="9" t="s">
        <v>450</v>
      </c>
      <c r="Q3">
        <v>11</v>
      </c>
      <c r="S3" s="12">
        <v>1</v>
      </c>
      <c r="W3">
        <f t="shared" ref="W3:W66" si="0">EXP(-12.1)+EXP(3.23)*Q3</f>
        <v>278.07623224010507</v>
      </c>
    </row>
    <row r="4" spans="1:46">
      <c r="A4" s="6">
        <v>40048</v>
      </c>
      <c r="B4" s="11" t="s">
        <v>505</v>
      </c>
      <c r="C4" s="11" t="s">
        <v>505</v>
      </c>
      <c r="D4" s="33" t="s">
        <v>670</v>
      </c>
      <c r="E4" s="12" t="s">
        <v>688</v>
      </c>
      <c r="F4" s="33" t="s">
        <v>269</v>
      </c>
      <c r="G4" s="12">
        <v>1</v>
      </c>
      <c r="M4" s="12">
        <v>1</v>
      </c>
      <c r="O4">
        <v>4.5</v>
      </c>
      <c r="P4" s="9" t="s">
        <v>450</v>
      </c>
      <c r="Q4" s="12">
        <v>6</v>
      </c>
      <c r="S4" s="12">
        <v>1</v>
      </c>
      <c r="W4">
        <f t="shared" si="0"/>
        <v>151.67794738529062</v>
      </c>
    </row>
    <row r="5" spans="1:46">
      <c r="A5" s="6">
        <v>40045</v>
      </c>
      <c r="B5" s="6" t="s">
        <v>505</v>
      </c>
      <c r="C5" t="s">
        <v>707</v>
      </c>
      <c r="D5" t="s">
        <v>517</v>
      </c>
      <c r="E5" t="s">
        <v>518</v>
      </c>
      <c r="F5" t="s">
        <v>519</v>
      </c>
      <c r="G5">
        <v>1</v>
      </c>
      <c r="H5">
        <v>8</v>
      </c>
      <c r="M5">
        <v>2</v>
      </c>
      <c r="O5">
        <v>7.1</v>
      </c>
      <c r="P5" t="s">
        <v>647</v>
      </c>
      <c r="Q5">
        <v>6</v>
      </c>
      <c r="S5" s="12">
        <v>1</v>
      </c>
      <c r="V5" t="s">
        <v>520</v>
      </c>
      <c r="W5">
        <f t="shared" si="0"/>
        <v>151.67794738529062</v>
      </c>
    </row>
    <row r="6" spans="1:46">
      <c r="A6" s="6">
        <v>39994</v>
      </c>
      <c r="B6" s="6" t="s">
        <v>521</v>
      </c>
      <c r="C6" s="11" t="s">
        <v>522</v>
      </c>
      <c r="D6" s="33" t="s">
        <v>276</v>
      </c>
      <c r="E6" s="33" t="s">
        <v>234</v>
      </c>
      <c r="F6" s="33" t="s">
        <v>235</v>
      </c>
      <c r="G6" s="12">
        <v>1</v>
      </c>
      <c r="H6">
        <v>15</v>
      </c>
      <c r="J6">
        <v>1000</v>
      </c>
      <c r="M6" s="12">
        <v>7</v>
      </c>
      <c r="N6">
        <v>16</v>
      </c>
      <c r="P6" t="s">
        <v>435</v>
      </c>
      <c r="Q6">
        <v>4</v>
      </c>
      <c r="S6" s="12">
        <v>1</v>
      </c>
      <c r="W6">
        <f t="shared" si="0"/>
        <v>101.11863344336481</v>
      </c>
    </row>
    <row r="7" spans="1:46">
      <c r="A7" s="6">
        <v>39994</v>
      </c>
      <c r="B7" s="6" t="s">
        <v>521</v>
      </c>
      <c r="C7" s="11" t="s">
        <v>522</v>
      </c>
      <c r="D7" s="33" t="s">
        <v>276</v>
      </c>
      <c r="E7" s="33" t="s">
        <v>234</v>
      </c>
      <c r="F7" s="33" t="s">
        <v>235</v>
      </c>
      <c r="G7" s="12">
        <v>1</v>
      </c>
      <c r="H7">
        <v>15</v>
      </c>
      <c r="J7">
        <v>1000</v>
      </c>
      <c r="M7" s="12">
        <v>5</v>
      </c>
      <c r="N7">
        <v>20</v>
      </c>
      <c r="P7" t="s">
        <v>648</v>
      </c>
      <c r="Q7">
        <v>15</v>
      </c>
      <c r="S7" s="12">
        <v>1</v>
      </c>
      <c r="W7">
        <f t="shared" si="0"/>
        <v>379.19486012395663</v>
      </c>
      <c r="AD7" t="s">
        <v>766</v>
      </c>
      <c r="AE7" t="s">
        <v>334</v>
      </c>
      <c r="AF7" t="s">
        <v>803</v>
      </c>
      <c r="AG7" t="s">
        <v>804</v>
      </c>
      <c r="AK7" s="16" t="s">
        <v>805</v>
      </c>
      <c r="AL7" s="17"/>
      <c r="AM7" s="18"/>
    </row>
    <row r="8" spans="1:46">
      <c r="A8" s="6">
        <v>40018</v>
      </c>
      <c r="B8" s="6" t="s">
        <v>523</v>
      </c>
      <c r="C8" s="11" t="s">
        <v>524</v>
      </c>
      <c r="D8" s="33" t="s">
        <v>502</v>
      </c>
      <c r="E8" s="12" t="s">
        <v>186</v>
      </c>
      <c r="F8" s="12" t="s">
        <v>187</v>
      </c>
      <c r="G8" s="12">
        <v>1</v>
      </c>
      <c r="M8">
        <v>5</v>
      </c>
      <c r="N8">
        <v>21</v>
      </c>
      <c r="P8" s="12" t="s">
        <v>602</v>
      </c>
      <c r="Q8">
        <v>14</v>
      </c>
      <c r="S8" s="12">
        <v>1</v>
      </c>
      <c r="W8">
        <f t="shared" si="0"/>
        <v>353.91520315299374</v>
      </c>
      <c r="Y8" s="16" t="s">
        <v>129</v>
      </c>
      <c r="Z8" s="17"/>
      <c r="AA8" s="17"/>
      <c r="AB8" s="18"/>
      <c r="AD8" t="s">
        <v>333</v>
      </c>
      <c r="AE8" s="16" t="s">
        <v>290</v>
      </c>
      <c r="AF8" s="16">
        <v>3</v>
      </c>
      <c r="AG8" s="19">
        <v>126.3982904143277</v>
      </c>
      <c r="AK8" s="29" t="s">
        <v>765</v>
      </c>
      <c r="AL8" s="29" t="s">
        <v>692</v>
      </c>
      <c r="AM8" s="18" t="s">
        <v>730</v>
      </c>
      <c r="AP8" t="s">
        <v>774</v>
      </c>
      <c r="AQ8" t="s">
        <v>804</v>
      </c>
      <c r="AR8" t="s">
        <v>427</v>
      </c>
      <c r="AS8" t="s">
        <v>540</v>
      </c>
      <c r="AT8" t="s">
        <v>347</v>
      </c>
    </row>
    <row r="9" spans="1:46" s="12" customFormat="1">
      <c r="A9" s="32">
        <v>40048</v>
      </c>
      <c r="B9" s="6" t="s">
        <v>525</v>
      </c>
      <c r="C9" s="11" t="s">
        <v>525</v>
      </c>
      <c r="D9" s="33" t="s">
        <v>670</v>
      </c>
      <c r="E9" s="12" t="s">
        <v>688</v>
      </c>
      <c r="F9" s="33" t="s">
        <v>269</v>
      </c>
      <c r="G9" s="12">
        <v>1</v>
      </c>
      <c r="M9" s="12">
        <v>2</v>
      </c>
      <c r="N9" s="12">
        <v>17</v>
      </c>
      <c r="P9" s="11" t="s">
        <v>602</v>
      </c>
      <c r="Q9" s="12">
        <v>14</v>
      </c>
      <c r="S9" s="12">
        <v>1</v>
      </c>
      <c r="W9">
        <f t="shared" si="0"/>
        <v>353.91520315299374</v>
      </c>
      <c r="Y9" s="29" t="s">
        <v>765</v>
      </c>
      <c r="Z9" s="29" t="s">
        <v>767</v>
      </c>
      <c r="AA9" s="29" t="s">
        <v>700</v>
      </c>
      <c r="AB9" s="18" t="s">
        <v>730</v>
      </c>
      <c r="AD9" t="s">
        <v>333</v>
      </c>
      <c r="AE9" s="16" t="s">
        <v>290</v>
      </c>
      <c r="AF9" s="21">
        <v>5</v>
      </c>
      <c r="AG9" s="22">
        <v>75.838976472401924</v>
      </c>
      <c r="AK9" s="16" t="s">
        <v>332</v>
      </c>
      <c r="AL9" s="16" t="s">
        <v>290</v>
      </c>
      <c r="AM9" s="19">
        <v>25.279658141386733</v>
      </c>
      <c r="AP9" s="16" t="s">
        <v>811</v>
      </c>
      <c r="AQ9" s="19">
        <v>25.279658141386733</v>
      </c>
      <c r="AR9" s="19">
        <v>69.48713350193124</v>
      </c>
      <c r="AS9" s="19">
        <v>19</v>
      </c>
      <c r="AT9" s="12">
        <f>AR9/SQRT(AS9)</f>
        <v>15.941441726907252</v>
      </c>
    </row>
    <row r="10" spans="1:46">
      <c r="A10" s="6">
        <v>40051</v>
      </c>
      <c r="B10" s="11" t="s">
        <v>525</v>
      </c>
      <c r="C10" s="11" t="s">
        <v>525</v>
      </c>
      <c r="D10" s="33" t="s">
        <v>670</v>
      </c>
      <c r="E10" s="33" t="s">
        <v>400</v>
      </c>
      <c r="F10" s="33" t="s">
        <v>511</v>
      </c>
      <c r="G10" s="12">
        <v>2</v>
      </c>
      <c r="M10" s="12">
        <v>5</v>
      </c>
      <c r="O10" s="9">
        <v>6.5</v>
      </c>
      <c r="P10" s="11" t="s">
        <v>602</v>
      </c>
      <c r="Q10">
        <v>20</v>
      </c>
      <c r="S10" s="12">
        <v>1</v>
      </c>
      <c r="W10">
        <f t="shared" si="0"/>
        <v>505.59314497877108</v>
      </c>
      <c r="Y10" s="16" t="s">
        <v>276</v>
      </c>
      <c r="Z10" s="16" t="s">
        <v>290</v>
      </c>
      <c r="AA10" s="16">
        <v>3</v>
      </c>
      <c r="AB10" s="19">
        <v>126.3982904143277</v>
      </c>
      <c r="AD10" t="s">
        <v>333</v>
      </c>
      <c r="AE10" s="16" t="s">
        <v>290</v>
      </c>
      <c r="AF10" s="21">
        <v>8</v>
      </c>
      <c r="AG10" s="22">
        <v>278.0762377996183</v>
      </c>
      <c r="AK10" s="20"/>
      <c r="AL10" s="21" t="s">
        <v>234</v>
      </c>
      <c r="AM10" s="22">
        <v>136.51015075652703</v>
      </c>
      <c r="AP10" s="21" t="s">
        <v>812</v>
      </c>
      <c r="AQ10" s="22">
        <v>136.51015075652703</v>
      </c>
      <c r="AR10" s="22">
        <v>243.0224169094862</v>
      </c>
      <c r="AS10" s="22">
        <v>23</v>
      </c>
      <c r="AT10" s="12">
        <f t="shared" ref="AT10:AT17" si="1">AR10/SQRT(AS10)</f>
        <v>50.673676864615658</v>
      </c>
    </row>
    <row r="11" spans="1:46">
      <c r="A11" s="6">
        <v>39994</v>
      </c>
      <c r="B11" s="6" t="s">
        <v>521</v>
      </c>
      <c r="C11" s="11" t="s">
        <v>522</v>
      </c>
      <c r="D11" s="33" t="s">
        <v>276</v>
      </c>
      <c r="E11" s="33" t="s">
        <v>234</v>
      </c>
      <c r="F11" s="33" t="s">
        <v>235</v>
      </c>
      <c r="G11" s="12">
        <v>1</v>
      </c>
      <c r="H11">
        <v>15</v>
      </c>
      <c r="J11">
        <v>1000</v>
      </c>
      <c r="M11" s="12">
        <v>1</v>
      </c>
      <c r="N11">
        <v>16</v>
      </c>
      <c r="P11" s="11" t="s">
        <v>212</v>
      </c>
      <c r="Q11">
        <v>10</v>
      </c>
      <c r="S11">
        <v>1</v>
      </c>
      <c r="W11">
        <f t="shared" si="0"/>
        <v>252.79657526914218</v>
      </c>
      <c r="Y11" s="20"/>
      <c r="Z11" s="20"/>
      <c r="AA11" s="21">
        <v>5</v>
      </c>
      <c r="AB11" s="22">
        <v>75.838976472401924</v>
      </c>
      <c r="AD11" t="s">
        <v>333</v>
      </c>
      <c r="AE11" s="16" t="s">
        <v>290</v>
      </c>
      <c r="AF11" s="21">
        <v>1</v>
      </c>
      <c r="AG11" s="22">
        <v>0</v>
      </c>
      <c r="AI11">
        <v>23</v>
      </c>
      <c r="AK11" s="20"/>
      <c r="AL11" s="21" t="s">
        <v>461</v>
      </c>
      <c r="AM11" s="22">
        <v>122.406764166409</v>
      </c>
      <c r="AP11" s="21" t="s">
        <v>426</v>
      </c>
      <c r="AQ11" s="22">
        <v>122.406764166409</v>
      </c>
      <c r="AR11" s="22">
        <v>218.97093098133442</v>
      </c>
      <c r="AS11" s="22">
        <v>19</v>
      </c>
      <c r="AT11" s="12">
        <f t="shared" si="1"/>
        <v>50.235376827402959</v>
      </c>
    </row>
    <row r="12" spans="1:46">
      <c r="A12" s="6">
        <v>39994</v>
      </c>
      <c r="B12" s="6" t="s">
        <v>521</v>
      </c>
      <c r="C12" s="11" t="s">
        <v>526</v>
      </c>
      <c r="D12" s="33" t="s">
        <v>276</v>
      </c>
      <c r="E12" s="33" t="s">
        <v>234</v>
      </c>
      <c r="F12" s="33" t="s">
        <v>235</v>
      </c>
      <c r="G12" s="12">
        <v>1</v>
      </c>
      <c r="H12">
        <v>15</v>
      </c>
      <c r="J12">
        <v>1000</v>
      </c>
      <c r="M12" s="12">
        <v>5</v>
      </c>
      <c r="N12">
        <v>20</v>
      </c>
      <c r="P12" s="9" t="s">
        <v>212</v>
      </c>
      <c r="Q12">
        <v>12</v>
      </c>
      <c r="S12">
        <v>2</v>
      </c>
      <c r="W12">
        <f t="shared" si="0"/>
        <v>303.35588921106796</v>
      </c>
      <c r="Y12" s="20"/>
      <c r="Z12" s="20"/>
      <c r="AA12" s="21">
        <v>8</v>
      </c>
      <c r="AB12" s="22">
        <v>278.0762377996183</v>
      </c>
      <c r="AD12" t="s">
        <v>333</v>
      </c>
      <c r="AE12" s="16" t="s">
        <v>290</v>
      </c>
      <c r="AF12" s="21">
        <v>2</v>
      </c>
      <c r="AG12" s="22">
        <v>0</v>
      </c>
      <c r="AK12" s="16" t="s">
        <v>808</v>
      </c>
      <c r="AL12" s="23"/>
      <c r="AM12" s="19">
        <v>98.711044329544393</v>
      </c>
      <c r="AP12" s="16" t="s">
        <v>503</v>
      </c>
      <c r="AQ12" s="19">
        <v>14.635591755743768</v>
      </c>
      <c r="AR12" s="19">
        <v>36.063076030179154</v>
      </c>
      <c r="AS12" s="19">
        <v>19</v>
      </c>
      <c r="AT12" s="12">
        <f t="shared" si="1"/>
        <v>8.2734370530934154</v>
      </c>
    </row>
    <row r="13" spans="1:46">
      <c r="A13" s="6">
        <v>39994</v>
      </c>
      <c r="B13" s="6" t="s">
        <v>527</v>
      </c>
      <c r="C13" s="11" t="s">
        <v>528</v>
      </c>
      <c r="D13" s="33" t="s">
        <v>276</v>
      </c>
      <c r="E13" s="12" t="s">
        <v>234</v>
      </c>
      <c r="F13" s="12" t="s">
        <v>235</v>
      </c>
      <c r="G13" s="12">
        <v>1</v>
      </c>
      <c r="H13">
        <v>7</v>
      </c>
      <c r="M13" s="12">
        <v>3</v>
      </c>
      <c r="N13">
        <v>22</v>
      </c>
      <c r="P13" t="s">
        <v>212</v>
      </c>
      <c r="Q13" s="34">
        <v>10</v>
      </c>
      <c r="S13">
        <v>1</v>
      </c>
      <c r="W13">
        <f t="shared" si="0"/>
        <v>252.79657526914218</v>
      </c>
      <c r="Y13" s="20"/>
      <c r="Z13" s="16" t="s">
        <v>743</v>
      </c>
      <c r="AA13" s="23"/>
      <c r="AB13" s="19">
        <v>480.31350468634793</v>
      </c>
      <c r="AD13" t="s">
        <v>333</v>
      </c>
      <c r="AE13" s="16" t="s">
        <v>290</v>
      </c>
      <c r="AF13" s="21">
        <v>4</v>
      </c>
      <c r="AG13" s="22">
        <v>0</v>
      </c>
      <c r="AK13" s="16" t="s">
        <v>330</v>
      </c>
      <c r="AL13" s="16" t="s">
        <v>503</v>
      </c>
      <c r="AM13" s="19">
        <v>14.635591755743768</v>
      </c>
      <c r="AP13" s="21" t="s">
        <v>186</v>
      </c>
      <c r="AQ13" s="22">
        <v>44.54034932015206</v>
      </c>
      <c r="AR13" s="22">
        <v>108.40958323902365</v>
      </c>
      <c r="AS13" s="22">
        <v>21</v>
      </c>
      <c r="AT13" s="12">
        <f t="shared" si="1"/>
        <v>23.656910535782941</v>
      </c>
    </row>
    <row r="14" spans="1:46">
      <c r="A14" s="6">
        <v>39994</v>
      </c>
      <c r="B14" s="6" t="s">
        <v>527</v>
      </c>
      <c r="C14" s="11" t="s">
        <v>528</v>
      </c>
      <c r="D14" s="33" t="s">
        <v>276</v>
      </c>
      <c r="E14" s="12" t="s">
        <v>234</v>
      </c>
      <c r="F14" s="12" t="s">
        <v>235</v>
      </c>
      <c r="G14" s="12">
        <v>1</v>
      </c>
      <c r="H14">
        <v>7</v>
      </c>
      <c r="M14" s="12">
        <v>4</v>
      </c>
      <c r="N14">
        <v>23</v>
      </c>
      <c r="P14" t="s">
        <v>212</v>
      </c>
      <c r="Q14" s="34">
        <v>9</v>
      </c>
      <c r="S14">
        <v>4</v>
      </c>
      <c r="W14">
        <f t="shared" si="0"/>
        <v>227.51691829817929</v>
      </c>
      <c r="Y14" s="20"/>
      <c r="Z14" s="16" t="s">
        <v>234</v>
      </c>
      <c r="AA14" s="16">
        <v>1</v>
      </c>
      <c r="AB14" s="19">
        <v>404.4745226544328</v>
      </c>
      <c r="AD14" t="s">
        <v>333</v>
      </c>
      <c r="AE14" s="16" t="s">
        <v>290</v>
      </c>
      <c r="AF14" s="21">
        <v>6</v>
      </c>
      <c r="AG14" s="22">
        <v>0</v>
      </c>
      <c r="AK14" s="20"/>
      <c r="AL14" s="21" t="s">
        <v>186</v>
      </c>
      <c r="AM14" s="22">
        <v>44.54034932015206</v>
      </c>
      <c r="AP14" s="21" t="s">
        <v>302</v>
      </c>
      <c r="AQ14" s="22">
        <v>111.95276949781882</v>
      </c>
      <c r="AR14" s="22">
        <v>282.13404958579196</v>
      </c>
      <c r="AS14" s="22">
        <v>21</v>
      </c>
      <c r="AT14" s="12">
        <f t="shared" si="1"/>
        <v>61.566697064348382</v>
      </c>
    </row>
    <row r="15" spans="1:46">
      <c r="A15" s="6">
        <v>39994</v>
      </c>
      <c r="B15" s="6" t="s">
        <v>527</v>
      </c>
      <c r="C15" s="11" t="s">
        <v>528</v>
      </c>
      <c r="D15" s="33" t="s">
        <v>276</v>
      </c>
      <c r="E15" s="12" t="s">
        <v>234</v>
      </c>
      <c r="F15" s="12" t="s">
        <v>235</v>
      </c>
      <c r="G15" s="12">
        <v>1</v>
      </c>
      <c r="H15">
        <v>7</v>
      </c>
      <c r="M15" s="12">
        <v>6</v>
      </c>
      <c r="N15">
        <v>25</v>
      </c>
      <c r="P15" t="s">
        <v>212</v>
      </c>
      <c r="Q15" s="34">
        <v>11</v>
      </c>
      <c r="S15">
        <v>1</v>
      </c>
      <c r="W15">
        <f t="shared" si="0"/>
        <v>278.07623224010507</v>
      </c>
      <c r="Y15" s="20"/>
      <c r="Z15" s="20"/>
      <c r="AA15" s="21">
        <v>2</v>
      </c>
      <c r="AB15" s="22">
        <v>505.59315053828436</v>
      </c>
      <c r="AD15" t="s">
        <v>333</v>
      </c>
      <c r="AE15" s="16" t="s">
        <v>290</v>
      </c>
      <c r="AF15" s="21">
        <v>7</v>
      </c>
      <c r="AG15" s="22">
        <v>0</v>
      </c>
      <c r="AK15" s="20"/>
      <c r="AL15" s="21" t="s">
        <v>302</v>
      </c>
      <c r="AM15" s="22">
        <v>111.95276949781882</v>
      </c>
      <c r="AP15" s="16" t="s">
        <v>400</v>
      </c>
      <c r="AQ15" s="19">
        <v>96.062699547391304</v>
      </c>
      <c r="AR15" s="19">
        <v>228.41692803246107</v>
      </c>
      <c r="AS15" s="19">
        <v>20</v>
      </c>
      <c r="AT15" s="12">
        <f t="shared" si="1"/>
        <v>51.07557782922602</v>
      </c>
    </row>
    <row r="16" spans="1:46">
      <c r="A16" s="6">
        <v>39994</v>
      </c>
      <c r="B16" s="6" t="s">
        <v>527</v>
      </c>
      <c r="C16" s="11" t="s">
        <v>528</v>
      </c>
      <c r="D16" s="33" t="s">
        <v>276</v>
      </c>
      <c r="E16" s="33" t="s">
        <v>234</v>
      </c>
      <c r="F16" s="33" t="s">
        <v>235</v>
      </c>
      <c r="G16" s="12">
        <v>2</v>
      </c>
      <c r="H16">
        <v>15</v>
      </c>
      <c r="J16">
        <v>1227</v>
      </c>
      <c r="M16" s="12">
        <v>1</v>
      </c>
      <c r="N16">
        <v>20</v>
      </c>
      <c r="P16" t="s">
        <v>212</v>
      </c>
      <c r="Q16" s="34">
        <v>6</v>
      </c>
      <c r="S16">
        <v>6</v>
      </c>
      <c r="W16">
        <f t="shared" si="0"/>
        <v>151.67794738529062</v>
      </c>
      <c r="Y16" s="20"/>
      <c r="Z16" s="20"/>
      <c r="AA16" s="21">
        <v>3</v>
      </c>
      <c r="AB16" s="22">
        <v>707.83041186550076</v>
      </c>
      <c r="AD16" t="s">
        <v>333</v>
      </c>
      <c r="AE16" s="16" t="s">
        <v>290</v>
      </c>
      <c r="AF16" s="21">
        <v>9</v>
      </c>
      <c r="AG16" s="22">
        <v>0</v>
      </c>
      <c r="AK16" s="16" t="s">
        <v>809</v>
      </c>
      <c r="AL16" s="23"/>
      <c r="AM16" s="19">
        <v>58.433307189123283</v>
      </c>
      <c r="AP16" s="21" t="s">
        <v>41</v>
      </c>
      <c r="AQ16" s="22">
        <v>60.67117978804324</v>
      </c>
      <c r="AR16" s="22">
        <v>134.11893561506992</v>
      </c>
      <c r="AS16" s="22">
        <v>20</v>
      </c>
      <c r="AT16" s="12">
        <f t="shared" si="1"/>
        <v>29.989905710521388</v>
      </c>
    </row>
    <row r="17" spans="1:46">
      <c r="A17" s="6">
        <v>39994</v>
      </c>
      <c r="B17" s="6" t="s">
        <v>527</v>
      </c>
      <c r="C17" s="11" t="s">
        <v>528</v>
      </c>
      <c r="D17" s="33" t="s">
        <v>276</v>
      </c>
      <c r="E17" s="33" t="s">
        <v>234</v>
      </c>
      <c r="F17" s="33" t="s">
        <v>235</v>
      </c>
      <c r="G17" s="12">
        <v>2</v>
      </c>
      <c r="H17">
        <v>15</v>
      </c>
      <c r="J17">
        <v>1227</v>
      </c>
      <c r="M17" s="12">
        <v>2</v>
      </c>
      <c r="N17">
        <v>18</v>
      </c>
      <c r="P17" t="s">
        <v>212</v>
      </c>
      <c r="Q17" s="34">
        <v>6</v>
      </c>
      <c r="S17">
        <v>3</v>
      </c>
      <c r="W17">
        <f t="shared" si="0"/>
        <v>151.67794738529062</v>
      </c>
      <c r="Y17" s="20"/>
      <c r="Z17" s="20"/>
      <c r="AA17" s="21">
        <v>4</v>
      </c>
      <c r="AB17" s="22">
        <v>606.71177842213592</v>
      </c>
      <c r="AD17" t="s">
        <v>333</v>
      </c>
      <c r="AE17" s="16" t="s">
        <v>290</v>
      </c>
      <c r="AF17" s="21">
        <v>10</v>
      </c>
      <c r="AG17" s="22">
        <v>0</v>
      </c>
      <c r="AK17" s="16" t="s">
        <v>806</v>
      </c>
      <c r="AL17" s="16" t="s">
        <v>400</v>
      </c>
      <c r="AM17" s="19">
        <v>96.062699547391304</v>
      </c>
      <c r="AP17" s="21" t="s">
        <v>688</v>
      </c>
      <c r="AQ17" s="22">
        <v>265.43640820223425</v>
      </c>
      <c r="AR17" s="22">
        <v>636.92170819917328</v>
      </c>
      <c r="AS17" s="22">
        <v>20</v>
      </c>
      <c r="AT17" s="12">
        <f t="shared" si="1"/>
        <v>142.42002358786365</v>
      </c>
    </row>
    <row r="18" spans="1:46">
      <c r="A18" s="6">
        <v>39994</v>
      </c>
      <c r="B18" s="6" t="s">
        <v>527</v>
      </c>
      <c r="C18" s="11" t="s">
        <v>528</v>
      </c>
      <c r="D18" s="33" t="s">
        <v>276</v>
      </c>
      <c r="E18" s="33" t="s">
        <v>234</v>
      </c>
      <c r="F18" s="33" t="s">
        <v>235</v>
      </c>
      <c r="G18" s="12">
        <v>2</v>
      </c>
      <c r="H18">
        <v>15</v>
      </c>
      <c r="J18">
        <v>1227</v>
      </c>
      <c r="M18" s="12">
        <v>3</v>
      </c>
      <c r="N18">
        <v>25</v>
      </c>
      <c r="P18" t="s">
        <v>212</v>
      </c>
      <c r="Q18" s="34">
        <v>4</v>
      </c>
      <c r="S18">
        <v>9</v>
      </c>
      <c r="W18">
        <f t="shared" si="0"/>
        <v>101.11863344336481</v>
      </c>
      <c r="Y18" s="20"/>
      <c r="Z18" s="20"/>
      <c r="AA18" s="21">
        <v>5</v>
      </c>
      <c r="AB18" s="22">
        <v>682.55074933502465</v>
      </c>
      <c r="AD18" t="s">
        <v>333</v>
      </c>
      <c r="AE18" s="16" t="s">
        <v>290</v>
      </c>
      <c r="AF18" s="21">
        <v>11</v>
      </c>
      <c r="AG18" s="22">
        <v>0</v>
      </c>
      <c r="AI18">
        <v>19</v>
      </c>
      <c r="AK18" s="20"/>
      <c r="AL18" s="21" t="s">
        <v>41</v>
      </c>
      <c r="AM18" s="22">
        <v>60.67117978804324</v>
      </c>
    </row>
    <row r="19" spans="1:46">
      <c r="A19" s="6">
        <v>39994</v>
      </c>
      <c r="B19" s="6" t="s">
        <v>527</v>
      </c>
      <c r="C19" s="11" t="s">
        <v>528</v>
      </c>
      <c r="D19" s="33" t="s">
        <v>276</v>
      </c>
      <c r="E19" s="33" t="s">
        <v>234</v>
      </c>
      <c r="F19" s="33" t="s">
        <v>235</v>
      </c>
      <c r="G19" s="12">
        <v>2</v>
      </c>
      <c r="H19">
        <v>15</v>
      </c>
      <c r="J19">
        <v>1227</v>
      </c>
      <c r="M19" s="12">
        <v>4</v>
      </c>
      <c r="N19">
        <v>23</v>
      </c>
      <c r="P19" t="s">
        <v>212</v>
      </c>
      <c r="Q19" s="34">
        <v>15</v>
      </c>
      <c r="S19">
        <v>5</v>
      </c>
      <c r="W19">
        <f t="shared" si="0"/>
        <v>379.19486012395663</v>
      </c>
      <c r="Y19" s="20"/>
      <c r="Z19" s="20"/>
      <c r="AA19" s="21">
        <v>6</v>
      </c>
      <c r="AB19" s="22">
        <v>278.07623224010507</v>
      </c>
      <c r="AD19" t="s">
        <v>333</v>
      </c>
      <c r="AE19" s="16" t="s">
        <v>290</v>
      </c>
      <c r="AF19" s="21">
        <v>12</v>
      </c>
      <c r="AG19" s="22">
        <v>0</v>
      </c>
      <c r="AK19" s="20"/>
      <c r="AL19" s="21" t="s">
        <v>688</v>
      </c>
      <c r="AM19" s="22">
        <v>265.43640820223425</v>
      </c>
    </row>
    <row r="20" spans="1:46">
      <c r="A20" s="6">
        <v>39994</v>
      </c>
      <c r="B20" s="6" t="s">
        <v>527</v>
      </c>
      <c r="C20" s="11" t="s">
        <v>529</v>
      </c>
      <c r="D20" s="33" t="s">
        <v>276</v>
      </c>
      <c r="E20" s="33" t="s">
        <v>234</v>
      </c>
      <c r="F20" s="33" t="s">
        <v>235</v>
      </c>
      <c r="G20" s="12">
        <v>2</v>
      </c>
      <c r="H20">
        <v>15</v>
      </c>
      <c r="J20">
        <v>1227</v>
      </c>
      <c r="M20" s="12">
        <v>3</v>
      </c>
      <c r="N20">
        <v>25</v>
      </c>
      <c r="P20" t="s">
        <v>212</v>
      </c>
      <c r="Q20" s="34">
        <v>14</v>
      </c>
      <c r="S20">
        <v>1</v>
      </c>
      <c r="W20">
        <f t="shared" si="0"/>
        <v>353.91520315299374</v>
      </c>
      <c r="Y20" s="20"/>
      <c r="Z20" s="20"/>
      <c r="AA20" s="21">
        <v>7</v>
      </c>
      <c r="AB20" s="22">
        <v>227.51692385769252</v>
      </c>
      <c r="AD20" t="s">
        <v>333</v>
      </c>
      <c r="AE20" s="16" t="s">
        <v>290</v>
      </c>
      <c r="AF20" s="21">
        <v>13</v>
      </c>
      <c r="AG20" s="22">
        <v>0</v>
      </c>
      <c r="AK20" s="16" t="s">
        <v>810</v>
      </c>
      <c r="AL20" s="23"/>
      <c r="AM20" s="19">
        <v>140.7234291792229</v>
      </c>
    </row>
    <row r="21" spans="1:46">
      <c r="A21" s="6">
        <v>39995</v>
      </c>
      <c r="B21" s="32" t="s">
        <v>530</v>
      </c>
      <c r="C21" s="11" t="s">
        <v>531</v>
      </c>
      <c r="D21" s="33" t="s">
        <v>276</v>
      </c>
      <c r="E21" s="12" t="s">
        <v>234</v>
      </c>
      <c r="F21" s="12" t="s">
        <v>235</v>
      </c>
      <c r="G21" s="12">
        <v>1</v>
      </c>
      <c r="H21">
        <v>15</v>
      </c>
      <c r="J21">
        <v>937</v>
      </c>
      <c r="M21" s="12">
        <v>2</v>
      </c>
      <c r="N21">
        <v>25</v>
      </c>
      <c r="P21" t="s">
        <v>212</v>
      </c>
      <c r="Q21" s="34">
        <v>14</v>
      </c>
      <c r="S21">
        <v>1</v>
      </c>
      <c r="W21">
        <f t="shared" si="0"/>
        <v>353.91520315299374</v>
      </c>
      <c r="Y21" s="20"/>
      <c r="Z21" s="16" t="s">
        <v>567</v>
      </c>
      <c r="AA21" s="23"/>
      <c r="AB21" s="19">
        <v>3412.7537689131759</v>
      </c>
      <c r="AD21" t="s">
        <v>333</v>
      </c>
      <c r="AE21" s="16" t="s">
        <v>290</v>
      </c>
      <c r="AF21" s="21">
        <v>14</v>
      </c>
      <c r="AG21" s="22">
        <v>0</v>
      </c>
      <c r="AK21" s="26" t="s">
        <v>755</v>
      </c>
      <c r="AL21" s="27"/>
      <c r="AM21" s="28">
        <v>99.057789576365181</v>
      </c>
    </row>
    <row r="22" spans="1:46">
      <c r="A22" s="6">
        <v>39995</v>
      </c>
      <c r="B22" s="32" t="s">
        <v>530</v>
      </c>
      <c r="C22" s="11" t="s">
        <v>531</v>
      </c>
      <c r="D22" s="33" t="s">
        <v>276</v>
      </c>
      <c r="E22" s="12" t="s">
        <v>234</v>
      </c>
      <c r="F22" s="12" t="s">
        <v>235</v>
      </c>
      <c r="G22" s="12">
        <v>1</v>
      </c>
      <c r="H22">
        <v>15</v>
      </c>
      <c r="J22">
        <v>937</v>
      </c>
      <c r="M22" s="12">
        <v>7</v>
      </c>
      <c r="N22">
        <v>21</v>
      </c>
      <c r="P22" s="12" t="s">
        <v>212</v>
      </c>
      <c r="Q22">
        <v>5</v>
      </c>
      <c r="S22">
        <v>1</v>
      </c>
      <c r="W22">
        <f t="shared" si="0"/>
        <v>126.3982904143277</v>
      </c>
      <c r="Y22" s="20"/>
      <c r="Z22" s="16" t="s">
        <v>461</v>
      </c>
      <c r="AA22" s="16">
        <v>1</v>
      </c>
      <c r="AB22" s="19">
        <v>379.19486568346986</v>
      </c>
      <c r="AD22" t="s">
        <v>333</v>
      </c>
      <c r="AE22" s="16" t="s">
        <v>290</v>
      </c>
      <c r="AF22" s="21">
        <v>15</v>
      </c>
      <c r="AG22" s="22">
        <v>0</v>
      </c>
    </row>
    <row r="23" spans="1:46">
      <c r="A23" s="6">
        <v>39996</v>
      </c>
      <c r="B23" s="32" t="s">
        <v>530</v>
      </c>
      <c r="C23" s="11" t="s">
        <v>531</v>
      </c>
      <c r="D23" s="33" t="s">
        <v>276</v>
      </c>
      <c r="E23" s="12" t="s">
        <v>461</v>
      </c>
      <c r="F23" s="12" t="s">
        <v>462</v>
      </c>
      <c r="G23" s="12">
        <v>1</v>
      </c>
      <c r="H23">
        <v>4</v>
      </c>
      <c r="M23" s="12">
        <v>2</v>
      </c>
      <c r="N23">
        <v>20</v>
      </c>
      <c r="P23" s="12" t="s">
        <v>212</v>
      </c>
      <c r="Q23" s="12">
        <v>6</v>
      </c>
      <c r="S23">
        <v>1</v>
      </c>
      <c r="W23">
        <f t="shared" si="0"/>
        <v>151.67794738529062</v>
      </c>
      <c r="Y23" s="20"/>
      <c r="Z23" s="20"/>
      <c r="AA23" s="21">
        <v>2</v>
      </c>
      <c r="AB23" s="22">
        <v>657.27109792357498</v>
      </c>
      <c r="AD23" t="s">
        <v>333</v>
      </c>
      <c r="AE23" s="16" t="s">
        <v>290</v>
      </c>
      <c r="AF23" s="21">
        <v>16</v>
      </c>
      <c r="AG23" s="22">
        <v>0</v>
      </c>
    </row>
    <row r="24" spans="1:46">
      <c r="A24" s="6">
        <v>39996</v>
      </c>
      <c r="B24" s="6" t="s">
        <v>532</v>
      </c>
      <c r="C24" s="11" t="s">
        <v>533</v>
      </c>
      <c r="D24" s="33" t="s">
        <v>276</v>
      </c>
      <c r="E24" s="33" t="s">
        <v>461</v>
      </c>
      <c r="F24" s="33" t="s">
        <v>462</v>
      </c>
      <c r="G24" s="12">
        <v>1</v>
      </c>
      <c r="H24">
        <v>5</v>
      </c>
      <c r="M24" s="12">
        <v>1</v>
      </c>
      <c r="N24">
        <v>12</v>
      </c>
      <c r="P24" t="s">
        <v>212</v>
      </c>
      <c r="Q24" s="34">
        <v>5</v>
      </c>
      <c r="S24">
        <v>2</v>
      </c>
      <c r="W24">
        <f t="shared" si="0"/>
        <v>126.3982904143277</v>
      </c>
      <c r="Y24" s="20"/>
      <c r="Z24" s="20"/>
      <c r="AA24" s="21">
        <v>3</v>
      </c>
      <c r="AB24" s="22">
        <v>353.91520315299374</v>
      </c>
      <c r="AD24" t="s">
        <v>333</v>
      </c>
      <c r="AE24" s="16" t="s">
        <v>290</v>
      </c>
      <c r="AF24" s="21">
        <v>17</v>
      </c>
      <c r="AG24" s="22">
        <v>0</v>
      </c>
      <c r="AI24">
        <v>19</v>
      </c>
    </row>
    <row r="25" spans="1:46">
      <c r="A25" s="6">
        <v>39996</v>
      </c>
      <c r="B25" s="6" t="s">
        <v>532</v>
      </c>
      <c r="C25" s="11" t="s">
        <v>533</v>
      </c>
      <c r="D25" s="33" t="s">
        <v>276</v>
      </c>
      <c r="E25" s="33" t="s">
        <v>461</v>
      </c>
      <c r="F25" s="33" t="s">
        <v>462</v>
      </c>
      <c r="G25" s="12">
        <v>1</v>
      </c>
      <c r="H25">
        <v>5</v>
      </c>
      <c r="M25" s="12">
        <v>2</v>
      </c>
      <c r="N25">
        <v>13</v>
      </c>
      <c r="P25" t="s">
        <v>212</v>
      </c>
      <c r="Q25" s="34">
        <v>6</v>
      </c>
      <c r="S25">
        <v>2</v>
      </c>
      <c r="W25">
        <f t="shared" si="0"/>
        <v>151.67794738529062</v>
      </c>
      <c r="Y25" s="20"/>
      <c r="Z25" s="20"/>
      <c r="AA25" s="21">
        <v>4</v>
      </c>
      <c r="AB25" s="22">
        <v>126.3982904143277</v>
      </c>
      <c r="AD25" t="s">
        <v>333</v>
      </c>
      <c r="AE25" s="16" t="s">
        <v>290</v>
      </c>
      <c r="AF25" s="21">
        <v>18</v>
      </c>
      <c r="AG25" s="22">
        <v>0</v>
      </c>
    </row>
    <row r="26" spans="1:46">
      <c r="A26" s="6">
        <v>39996</v>
      </c>
      <c r="B26" s="6" t="s">
        <v>532</v>
      </c>
      <c r="C26" s="11" t="s">
        <v>534</v>
      </c>
      <c r="D26" s="33" t="s">
        <v>276</v>
      </c>
      <c r="E26" s="33" t="s">
        <v>461</v>
      </c>
      <c r="F26" s="33" t="s">
        <v>462</v>
      </c>
      <c r="G26" s="12">
        <v>2</v>
      </c>
      <c r="M26" s="12">
        <v>1</v>
      </c>
      <c r="N26">
        <v>11</v>
      </c>
      <c r="P26" s="9" t="s">
        <v>212</v>
      </c>
      <c r="Q26" s="34">
        <v>10</v>
      </c>
      <c r="S26">
        <v>1</v>
      </c>
      <c r="W26">
        <f t="shared" si="0"/>
        <v>252.79657526914218</v>
      </c>
      <c r="Y26" s="20"/>
      <c r="Z26" s="20"/>
      <c r="AA26" s="21">
        <v>5</v>
      </c>
      <c r="AB26" s="22">
        <v>631.99145763115177</v>
      </c>
      <c r="AD26" t="s">
        <v>333</v>
      </c>
      <c r="AE26" s="16" t="s">
        <v>290</v>
      </c>
      <c r="AF26" s="21">
        <v>19</v>
      </c>
      <c r="AG26" s="22">
        <v>0</v>
      </c>
    </row>
    <row r="27" spans="1:46">
      <c r="A27" s="6">
        <v>39996</v>
      </c>
      <c r="B27" s="6" t="s">
        <v>532</v>
      </c>
      <c r="C27" s="11" t="s">
        <v>534</v>
      </c>
      <c r="D27" s="33" t="s">
        <v>276</v>
      </c>
      <c r="E27" s="33" t="s">
        <v>461</v>
      </c>
      <c r="F27" s="33" t="s">
        <v>462</v>
      </c>
      <c r="G27" s="12">
        <v>2</v>
      </c>
      <c r="M27" s="12">
        <v>2</v>
      </c>
      <c r="N27">
        <v>14</v>
      </c>
      <c r="P27" s="9" t="s">
        <v>212</v>
      </c>
      <c r="Q27" s="34">
        <v>14</v>
      </c>
      <c r="S27">
        <v>3</v>
      </c>
      <c r="W27">
        <f t="shared" si="0"/>
        <v>353.91520315299374</v>
      </c>
      <c r="Y27" s="20"/>
      <c r="Z27" s="20"/>
      <c r="AA27" s="21">
        <v>6</v>
      </c>
      <c r="AB27" s="22">
        <v>176.95760435625351</v>
      </c>
      <c r="AD27" t="s">
        <v>333</v>
      </c>
      <c r="AE27" s="16" t="s">
        <v>234</v>
      </c>
      <c r="AF27" s="16">
        <v>1</v>
      </c>
      <c r="AG27" s="19">
        <v>404.4745226544328</v>
      </c>
      <c r="AI27">
        <v>21</v>
      </c>
    </row>
    <row r="28" spans="1:46">
      <c r="A28" s="6">
        <v>39996</v>
      </c>
      <c r="B28" s="6" t="s">
        <v>532</v>
      </c>
      <c r="C28" s="11" t="s">
        <v>534</v>
      </c>
      <c r="D28" s="33" t="s">
        <v>276</v>
      </c>
      <c r="E28" s="33" t="s">
        <v>461</v>
      </c>
      <c r="F28" s="33" t="s">
        <v>462</v>
      </c>
      <c r="G28" s="12">
        <v>2</v>
      </c>
      <c r="M28" s="12">
        <v>3</v>
      </c>
      <c r="N28">
        <v>14</v>
      </c>
      <c r="P28" s="9" t="s">
        <v>212</v>
      </c>
      <c r="Q28" s="34">
        <v>14</v>
      </c>
      <c r="S28">
        <v>3</v>
      </c>
      <c r="W28">
        <f t="shared" si="0"/>
        <v>353.91520315299374</v>
      </c>
      <c r="Y28" s="20"/>
      <c r="Z28" s="16" t="s">
        <v>746</v>
      </c>
      <c r="AA28" s="23"/>
      <c r="AB28" s="19">
        <v>2325.7285191617711</v>
      </c>
      <c r="AD28" t="s">
        <v>333</v>
      </c>
      <c r="AE28" s="16" t="s">
        <v>234</v>
      </c>
      <c r="AF28" s="21">
        <v>2</v>
      </c>
      <c r="AG28" s="22">
        <v>505.59315053828436</v>
      </c>
    </row>
    <row r="29" spans="1:46">
      <c r="A29" s="6">
        <v>39997</v>
      </c>
      <c r="B29" s="6" t="s">
        <v>530</v>
      </c>
      <c r="C29" s="11" t="s">
        <v>535</v>
      </c>
      <c r="D29" s="33" t="s">
        <v>276</v>
      </c>
      <c r="E29" s="12" t="s">
        <v>461</v>
      </c>
      <c r="F29" s="12" t="s">
        <v>462</v>
      </c>
      <c r="G29" s="12">
        <v>1</v>
      </c>
      <c r="H29">
        <v>6</v>
      </c>
      <c r="J29">
        <v>918</v>
      </c>
      <c r="M29" s="12">
        <v>5</v>
      </c>
      <c r="N29">
        <v>28</v>
      </c>
      <c r="P29" t="s">
        <v>212</v>
      </c>
      <c r="Q29">
        <v>5</v>
      </c>
      <c r="S29">
        <v>1</v>
      </c>
      <c r="W29">
        <f t="shared" si="0"/>
        <v>126.3982904143277</v>
      </c>
      <c r="Y29" s="16" t="s">
        <v>823</v>
      </c>
      <c r="Z29" s="23"/>
      <c r="AA29" s="23"/>
      <c r="AB29" s="19">
        <v>6218.795792761297</v>
      </c>
      <c r="AD29" t="s">
        <v>333</v>
      </c>
      <c r="AE29" s="16" t="s">
        <v>234</v>
      </c>
      <c r="AF29" s="21">
        <v>3</v>
      </c>
      <c r="AG29" s="22">
        <v>707.83041186550076</v>
      </c>
    </row>
    <row r="30" spans="1:46">
      <c r="A30" s="6">
        <v>39997</v>
      </c>
      <c r="B30" s="6" t="s">
        <v>530</v>
      </c>
      <c r="C30" s="11" t="s">
        <v>535</v>
      </c>
      <c r="D30" s="33" t="s">
        <v>276</v>
      </c>
      <c r="E30" s="12" t="s">
        <v>461</v>
      </c>
      <c r="F30" s="12" t="s">
        <v>462</v>
      </c>
      <c r="G30" s="12">
        <v>1</v>
      </c>
      <c r="H30">
        <v>6</v>
      </c>
      <c r="J30">
        <v>918</v>
      </c>
      <c r="M30" s="12">
        <v>5</v>
      </c>
      <c r="N30">
        <v>28</v>
      </c>
      <c r="P30" t="s">
        <v>212</v>
      </c>
      <c r="Q30">
        <v>5</v>
      </c>
      <c r="S30">
        <v>1</v>
      </c>
      <c r="W30">
        <f t="shared" si="0"/>
        <v>126.3982904143277</v>
      </c>
      <c r="Y30" s="16" t="s">
        <v>502</v>
      </c>
      <c r="Z30" s="16" t="s">
        <v>503</v>
      </c>
      <c r="AA30" s="16">
        <v>2</v>
      </c>
      <c r="AB30" s="19">
        <v>75.838976472401924</v>
      </c>
      <c r="AD30" t="s">
        <v>333</v>
      </c>
      <c r="AE30" s="16" t="s">
        <v>234</v>
      </c>
      <c r="AF30" s="21">
        <v>4</v>
      </c>
      <c r="AG30" s="22">
        <v>606.71177842213592</v>
      </c>
    </row>
    <row r="31" spans="1:46">
      <c r="A31" s="6">
        <v>39997</v>
      </c>
      <c r="B31" s="6" t="s">
        <v>530</v>
      </c>
      <c r="C31" s="11" t="s">
        <v>535</v>
      </c>
      <c r="D31" s="33" t="s">
        <v>276</v>
      </c>
      <c r="E31" s="12" t="s">
        <v>461</v>
      </c>
      <c r="F31" s="12" t="s">
        <v>462</v>
      </c>
      <c r="G31" s="12">
        <v>1</v>
      </c>
      <c r="H31">
        <v>6</v>
      </c>
      <c r="J31">
        <v>918</v>
      </c>
      <c r="M31" s="12">
        <v>5</v>
      </c>
      <c r="N31">
        <v>28</v>
      </c>
      <c r="P31" t="s">
        <v>212</v>
      </c>
      <c r="Q31">
        <v>5</v>
      </c>
      <c r="S31">
        <v>1</v>
      </c>
      <c r="W31">
        <f t="shared" si="0"/>
        <v>126.3982904143277</v>
      </c>
      <c r="Y31" s="20"/>
      <c r="Z31" s="20"/>
      <c r="AA31" s="21">
        <v>4</v>
      </c>
      <c r="AB31" s="22">
        <v>75.838976472401924</v>
      </c>
      <c r="AD31" t="s">
        <v>333</v>
      </c>
      <c r="AE31" s="16" t="s">
        <v>234</v>
      </c>
      <c r="AF31" s="21">
        <v>5</v>
      </c>
      <c r="AG31" s="22">
        <v>682.55074933502465</v>
      </c>
      <c r="AI31">
        <v>21</v>
      </c>
    </row>
    <row r="32" spans="1:46">
      <c r="A32" s="6">
        <v>39997</v>
      </c>
      <c r="B32" s="6" t="s">
        <v>530</v>
      </c>
      <c r="C32" s="11" t="s">
        <v>531</v>
      </c>
      <c r="D32" s="33" t="s">
        <v>276</v>
      </c>
      <c r="E32" s="12" t="s">
        <v>461</v>
      </c>
      <c r="F32" s="12" t="s">
        <v>462</v>
      </c>
      <c r="G32" s="12">
        <v>1</v>
      </c>
      <c r="H32">
        <v>6</v>
      </c>
      <c r="J32">
        <v>918</v>
      </c>
      <c r="M32" s="12">
        <v>4</v>
      </c>
      <c r="N32">
        <v>32</v>
      </c>
      <c r="P32" t="s">
        <v>212</v>
      </c>
      <c r="Q32" s="34">
        <v>5</v>
      </c>
      <c r="S32">
        <v>1</v>
      </c>
      <c r="W32">
        <f t="shared" si="0"/>
        <v>126.3982904143277</v>
      </c>
      <c r="Y32" s="20"/>
      <c r="Z32" s="20"/>
      <c r="AA32" s="21">
        <v>7</v>
      </c>
      <c r="AB32" s="22">
        <v>126.3982904143277</v>
      </c>
      <c r="AD32" t="s">
        <v>333</v>
      </c>
      <c r="AE32" s="16" t="s">
        <v>234</v>
      </c>
      <c r="AF32" s="21">
        <v>6</v>
      </c>
      <c r="AG32" s="22">
        <v>278.07623224010507</v>
      </c>
    </row>
    <row r="33" spans="1:35">
      <c r="A33" s="6">
        <v>39997</v>
      </c>
      <c r="B33" s="6" t="s">
        <v>530</v>
      </c>
      <c r="C33" s="11" t="s">
        <v>531</v>
      </c>
      <c r="D33" s="33" t="s">
        <v>276</v>
      </c>
      <c r="E33" s="12" t="s">
        <v>461</v>
      </c>
      <c r="F33" s="12" t="s">
        <v>462</v>
      </c>
      <c r="G33" s="12">
        <v>1</v>
      </c>
      <c r="H33">
        <v>6</v>
      </c>
      <c r="J33">
        <v>918</v>
      </c>
      <c r="M33" s="12">
        <v>5</v>
      </c>
      <c r="N33">
        <v>28</v>
      </c>
      <c r="P33" s="12" t="s">
        <v>212</v>
      </c>
      <c r="Q33">
        <v>3</v>
      </c>
      <c r="S33">
        <v>1</v>
      </c>
      <c r="W33">
        <f t="shared" si="0"/>
        <v>75.838976472401924</v>
      </c>
      <c r="Y33" s="20"/>
      <c r="Z33" s="16" t="s">
        <v>824</v>
      </c>
      <c r="AA33" s="23"/>
      <c r="AB33" s="19">
        <v>278.07624335913158</v>
      </c>
      <c r="AD33" t="s">
        <v>333</v>
      </c>
      <c r="AE33" s="16" t="s">
        <v>234</v>
      </c>
      <c r="AF33" s="21">
        <v>7</v>
      </c>
      <c r="AG33" s="22">
        <v>227.51692385769252</v>
      </c>
    </row>
    <row r="34" spans="1:35">
      <c r="A34" s="6">
        <v>39997</v>
      </c>
      <c r="B34" s="6" t="s">
        <v>530</v>
      </c>
      <c r="C34" s="11" t="s">
        <v>531</v>
      </c>
      <c r="D34" s="33" t="s">
        <v>276</v>
      </c>
      <c r="E34" s="12" t="s">
        <v>461</v>
      </c>
      <c r="F34" s="12" t="s">
        <v>462</v>
      </c>
      <c r="G34" s="12">
        <v>1</v>
      </c>
      <c r="H34">
        <v>6</v>
      </c>
      <c r="J34">
        <v>918</v>
      </c>
      <c r="M34" s="12">
        <v>5</v>
      </c>
      <c r="N34">
        <v>28</v>
      </c>
      <c r="P34" s="12" t="s">
        <v>212</v>
      </c>
      <c r="Q34">
        <v>3</v>
      </c>
      <c r="S34">
        <v>1</v>
      </c>
      <c r="W34">
        <f t="shared" si="0"/>
        <v>75.838976472401924</v>
      </c>
      <c r="Y34" s="20"/>
      <c r="Z34" s="16" t="s">
        <v>186</v>
      </c>
      <c r="AA34" s="16">
        <v>2</v>
      </c>
      <c r="AB34" s="19">
        <v>353.91520871250702</v>
      </c>
      <c r="AD34" t="s">
        <v>333</v>
      </c>
      <c r="AE34" s="16" t="s">
        <v>234</v>
      </c>
      <c r="AF34" s="21">
        <v>8</v>
      </c>
      <c r="AG34" s="22">
        <v>0</v>
      </c>
    </row>
    <row r="35" spans="1:35">
      <c r="A35" s="6">
        <v>39997</v>
      </c>
      <c r="B35" s="6" t="s">
        <v>530</v>
      </c>
      <c r="C35" s="11" t="s">
        <v>531</v>
      </c>
      <c r="D35" s="33" t="s">
        <v>276</v>
      </c>
      <c r="E35" s="12" t="s">
        <v>461</v>
      </c>
      <c r="F35" s="12" t="s">
        <v>462</v>
      </c>
      <c r="G35" s="12">
        <v>1</v>
      </c>
      <c r="H35">
        <v>6</v>
      </c>
      <c r="J35">
        <v>918</v>
      </c>
      <c r="M35" s="12">
        <v>5</v>
      </c>
      <c r="N35">
        <v>28</v>
      </c>
      <c r="P35" s="12" t="s">
        <v>212</v>
      </c>
      <c r="Q35">
        <v>4</v>
      </c>
      <c r="S35">
        <v>1</v>
      </c>
      <c r="W35">
        <f t="shared" si="0"/>
        <v>101.11863344336481</v>
      </c>
      <c r="Y35" s="20"/>
      <c r="Z35" s="20"/>
      <c r="AA35" s="21">
        <v>3</v>
      </c>
      <c r="AB35" s="22">
        <v>101.11863344336481</v>
      </c>
      <c r="AD35" t="s">
        <v>333</v>
      </c>
      <c r="AE35" s="16" t="s">
        <v>234</v>
      </c>
      <c r="AF35" s="21">
        <v>9</v>
      </c>
      <c r="AG35" s="22">
        <v>0</v>
      </c>
    </row>
    <row r="36" spans="1:35">
      <c r="A36" s="6">
        <v>39997</v>
      </c>
      <c r="B36" s="6" t="s">
        <v>530</v>
      </c>
      <c r="C36" s="11" t="s">
        <v>531</v>
      </c>
      <c r="D36" s="33" t="s">
        <v>276</v>
      </c>
      <c r="E36" s="12" t="s">
        <v>461</v>
      </c>
      <c r="F36" s="12" t="s">
        <v>462</v>
      </c>
      <c r="G36" s="12">
        <v>1</v>
      </c>
      <c r="H36">
        <v>6</v>
      </c>
      <c r="J36">
        <v>918</v>
      </c>
      <c r="M36" s="12">
        <v>6</v>
      </c>
      <c r="N36">
        <v>28</v>
      </c>
      <c r="P36" s="12" t="s">
        <v>212</v>
      </c>
      <c r="Q36">
        <v>7</v>
      </c>
      <c r="S36">
        <v>1</v>
      </c>
      <c r="W36">
        <f t="shared" si="0"/>
        <v>176.95760435625351</v>
      </c>
      <c r="Y36" s="20"/>
      <c r="Z36" s="20"/>
      <c r="AA36" s="21">
        <v>4</v>
      </c>
      <c r="AB36" s="22">
        <v>126.3982904143277</v>
      </c>
      <c r="AD36" t="s">
        <v>333</v>
      </c>
      <c r="AE36" s="16" t="s">
        <v>234</v>
      </c>
      <c r="AF36" s="21">
        <v>10</v>
      </c>
      <c r="AG36" s="22">
        <v>0</v>
      </c>
      <c r="AI36">
        <v>20</v>
      </c>
    </row>
    <row r="37" spans="1:35">
      <c r="A37" s="6">
        <v>39998</v>
      </c>
      <c r="B37" s="6" t="s">
        <v>530</v>
      </c>
      <c r="C37" s="11" t="s">
        <v>535</v>
      </c>
      <c r="D37" s="33" t="s">
        <v>276</v>
      </c>
      <c r="E37" s="12" t="s">
        <v>290</v>
      </c>
      <c r="F37" s="12" t="s">
        <v>291</v>
      </c>
      <c r="G37" s="12">
        <v>1</v>
      </c>
      <c r="H37">
        <v>6</v>
      </c>
      <c r="J37">
        <v>937</v>
      </c>
      <c r="M37" s="12">
        <v>8</v>
      </c>
      <c r="N37">
        <v>31</v>
      </c>
      <c r="P37" s="12" t="s">
        <v>212</v>
      </c>
      <c r="Q37" s="34">
        <v>5</v>
      </c>
      <c r="S37">
        <v>1</v>
      </c>
      <c r="W37">
        <f t="shared" si="0"/>
        <v>126.3982904143277</v>
      </c>
      <c r="Y37" s="20"/>
      <c r="Z37" s="20"/>
      <c r="AA37" s="21">
        <v>5</v>
      </c>
      <c r="AB37" s="22">
        <v>353.91520315299374</v>
      </c>
      <c r="AD37" t="s">
        <v>333</v>
      </c>
      <c r="AE37" s="16" t="s">
        <v>234</v>
      </c>
      <c r="AF37" s="21">
        <v>11</v>
      </c>
      <c r="AG37" s="22">
        <v>0</v>
      </c>
    </row>
    <row r="38" spans="1:35">
      <c r="A38" s="6">
        <v>39998</v>
      </c>
      <c r="B38" s="6" t="s">
        <v>530</v>
      </c>
      <c r="C38" s="11" t="s">
        <v>531</v>
      </c>
      <c r="D38" s="33" t="s">
        <v>276</v>
      </c>
      <c r="E38" s="12" t="s">
        <v>290</v>
      </c>
      <c r="F38" s="12" t="s">
        <v>291</v>
      </c>
      <c r="G38" s="12">
        <v>1</v>
      </c>
      <c r="H38">
        <v>6</v>
      </c>
      <c r="J38">
        <v>937</v>
      </c>
      <c r="M38" s="12">
        <v>3</v>
      </c>
      <c r="N38">
        <v>31</v>
      </c>
      <c r="P38" s="12" t="s">
        <v>212</v>
      </c>
      <c r="Q38">
        <v>5</v>
      </c>
      <c r="S38">
        <v>1</v>
      </c>
      <c r="W38">
        <f t="shared" si="0"/>
        <v>126.3982904143277</v>
      </c>
      <c r="Y38" s="20"/>
      <c r="Z38" s="16" t="s">
        <v>363</v>
      </c>
      <c r="AA38" s="23"/>
      <c r="AB38" s="19">
        <v>935.34733572319328</v>
      </c>
      <c r="AD38" t="s">
        <v>333</v>
      </c>
      <c r="AE38" s="16" t="s">
        <v>234</v>
      </c>
      <c r="AF38" s="21">
        <v>12</v>
      </c>
      <c r="AG38" s="22">
        <v>0</v>
      </c>
    </row>
    <row r="39" spans="1:35">
      <c r="A39" s="6">
        <v>39998</v>
      </c>
      <c r="B39" s="6" t="s">
        <v>530</v>
      </c>
      <c r="C39" s="11" t="s">
        <v>531</v>
      </c>
      <c r="D39" s="33" t="s">
        <v>276</v>
      </c>
      <c r="E39" s="12" t="s">
        <v>290</v>
      </c>
      <c r="F39" s="12" t="s">
        <v>291</v>
      </c>
      <c r="G39" s="12">
        <v>1</v>
      </c>
      <c r="H39">
        <v>6</v>
      </c>
      <c r="J39">
        <v>937</v>
      </c>
      <c r="M39" s="12">
        <v>5</v>
      </c>
      <c r="N39">
        <v>28</v>
      </c>
      <c r="P39" s="12" t="s">
        <v>212</v>
      </c>
      <c r="Q39">
        <v>3</v>
      </c>
      <c r="S39">
        <v>1</v>
      </c>
      <c r="W39">
        <f t="shared" si="0"/>
        <v>75.838976472401924</v>
      </c>
      <c r="Y39" s="20"/>
      <c r="Z39" s="16" t="s">
        <v>302</v>
      </c>
      <c r="AA39" s="16">
        <v>1</v>
      </c>
      <c r="AB39" s="19">
        <v>353.91520871250702</v>
      </c>
      <c r="AD39" t="s">
        <v>333</v>
      </c>
      <c r="AE39" s="16" t="s">
        <v>234</v>
      </c>
      <c r="AF39" s="21">
        <v>13</v>
      </c>
      <c r="AG39" s="22">
        <v>0</v>
      </c>
    </row>
    <row r="40" spans="1:35">
      <c r="A40" s="6">
        <v>39998</v>
      </c>
      <c r="B40" s="6" t="s">
        <v>530</v>
      </c>
      <c r="C40" s="11" t="s">
        <v>531</v>
      </c>
      <c r="D40" s="33" t="s">
        <v>276</v>
      </c>
      <c r="E40" s="12" t="s">
        <v>290</v>
      </c>
      <c r="F40" s="12" t="s">
        <v>291</v>
      </c>
      <c r="G40" s="12">
        <v>1</v>
      </c>
      <c r="H40">
        <v>6</v>
      </c>
      <c r="J40">
        <v>937</v>
      </c>
      <c r="M40" s="12">
        <v>8</v>
      </c>
      <c r="N40">
        <v>31</v>
      </c>
      <c r="P40" s="12" t="s">
        <v>212</v>
      </c>
      <c r="Q40">
        <v>6</v>
      </c>
      <c r="S40">
        <v>1</v>
      </c>
      <c r="W40">
        <f t="shared" si="0"/>
        <v>151.67794738529062</v>
      </c>
      <c r="Y40" s="20"/>
      <c r="Z40" s="20"/>
      <c r="AA40" s="21">
        <v>2</v>
      </c>
      <c r="AB40" s="22">
        <v>1238.7032082557216</v>
      </c>
      <c r="AD40" t="s">
        <v>333</v>
      </c>
      <c r="AE40" s="16" t="s">
        <v>234</v>
      </c>
      <c r="AF40" s="21">
        <v>14</v>
      </c>
      <c r="AG40" s="22">
        <v>0</v>
      </c>
    </row>
    <row r="41" spans="1:35">
      <c r="A41" s="6">
        <v>40016</v>
      </c>
      <c r="B41" s="6" t="s">
        <v>324</v>
      </c>
      <c r="C41" s="11" t="s">
        <v>531</v>
      </c>
      <c r="D41" s="33" t="s">
        <v>502</v>
      </c>
      <c r="E41" s="33" t="s">
        <v>503</v>
      </c>
      <c r="F41" s="33" t="s">
        <v>504</v>
      </c>
      <c r="G41" s="12">
        <v>1</v>
      </c>
      <c r="H41">
        <v>10</v>
      </c>
      <c r="M41" s="12">
        <v>2</v>
      </c>
      <c r="N41">
        <v>25</v>
      </c>
      <c r="P41" s="12" t="s">
        <v>212</v>
      </c>
      <c r="Q41" s="12">
        <v>3</v>
      </c>
      <c r="S41">
        <v>1</v>
      </c>
      <c r="W41">
        <f t="shared" si="0"/>
        <v>75.838976472401924</v>
      </c>
      <c r="Y41" s="20"/>
      <c r="Z41" s="20"/>
      <c r="AA41" s="21">
        <v>3</v>
      </c>
      <c r="AB41" s="22">
        <v>227.51692385769252</v>
      </c>
      <c r="AD41" t="s">
        <v>333</v>
      </c>
      <c r="AE41" s="16" t="s">
        <v>234</v>
      </c>
      <c r="AF41" s="21">
        <v>15</v>
      </c>
      <c r="AG41" s="22">
        <v>0</v>
      </c>
      <c r="AI41">
        <v>20</v>
      </c>
    </row>
    <row r="42" spans="1:35">
      <c r="A42" s="6">
        <v>40016</v>
      </c>
      <c r="B42" s="6" t="s">
        <v>324</v>
      </c>
      <c r="C42" s="11" t="s">
        <v>531</v>
      </c>
      <c r="D42" s="33" t="s">
        <v>502</v>
      </c>
      <c r="E42" s="33" t="s">
        <v>503</v>
      </c>
      <c r="F42" s="33" t="s">
        <v>504</v>
      </c>
      <c r="G42" s="12">
        <v>1</v>
      </c>
      <c r="H42">
        <v>10</v>
      </c>
      <c r="M42" s="12">
        <v>4</v>
      </c>
      <c r="N42">
        <v>25</v>
      </c>
      <c r="P42" s="12" t="s">
        <v>212</v>
      </c>
      <c r="Q42">
        <v>3</v>
      </c>
      <c r="S42">
        <v>1</v>
      </c>
      <c r="W42">
        <f t="shared" si="0"/>
        <v>75.838976472401924</v>
      </c>
      <c r="Y42" s="20"/>
      <c r="Z42" s="20"/>
      <c r="AA42" s="21">
        <v>4</v>
      </c>
      <c r="AB42" s="22">
        <v>227.51692385769252</v>
      </c>
      <c r="AD42" t="s">
        <v>333</v>
      </c>
      <c r="AE42" s="16" t="s">
        <v>234</v>
      </c>
      <c r="AF42" s="21">
        <v>16</v>
      </c>
      <c r="AG42" s="22">
        <v>0</v>
      </c>
    </row>
    <row r="43" spans="1:35">
      <c r="A43" s="6">
        <v>40016</v>
      </c>
      <c r="B43" s="6" t="s">
        <v>324</v>
      </c>
      <c r="C43" s="11" t="s">
        <v>524</v>
      </c>
      <c r="D43" s="33" t="s">
        <v>502</v>
      </c>
      <c r="E43" s="33" t="s">
        <v>503</v>
      </c>
      <c r="F43" s="33" t="s">
        <v>504</v>
      </c>
      <c r="G43" s="12">
        <v>1</v>
      </c>
      <c r="H43">
        <v>10</v>
      </c>
      <c r="M43" s="12">
        <v>7</v>
      </c>
      <c r="N43">
        <v>18</v>
      </c>
      <c r="P43" s="12" t="s">
        <v>212</v>
      </c>
      <c r="Q43">
        <v>5</v>
      </c>
      <c r="S43">
        <v>1</v>
      </c>
      <c r="W43">
        <f t="shared" si="0"/>
        <v>126.3982904143277</v>
      </c>
      <c r="Y43" s="20"/>
      <c r="Z43" s="20"/>
      <c r="AA43" s="21">
        <v>5</v>
      </c>
      <c r="AB43" s="22">
        <v>303.35589477058124</v>
      </c>
      <c r="AD43" t="s">
        <v>333</v>
      </c>
      <c r="AE43" s="16" t="s">
        <v>234</v>
      </c>
      <c r="AF43" s="21">
        <v>17</v>
      </c>
      <c r="AG43" s="22">
        <v>0</v>
      </c>
    </row>
    <row r="44" spans="1:35">
      <c r="A44" s="6">
        <v>40017</v>
      </c>
      <c r="B44" s="6" t="s">
        <v>525</v>
      </c>
      <c r="C44" s="11" t="s">
        <v>525</v>
      </c>
      <c r="D44" s="33" t="s">
        <v>502</v>
      </c>
      <c r="E44" s="12" t="s">
        <v>302</v>
      </c>
      <c r="F44" s="33" t="s">
        <v>325</v>
      </c>
      <c r="G44" s="12">
        <v>1</v>
      </c>
      <c r="H44">
        <v>15</v>
      </c>
      <c r="M44" s="12">
        <v>3</v>
      </c>
      <c r="N44">
        <v>19</v>
      </c>
      <c r="P44" t="s">
        <v>212</v>
      </c>
      <c r="Q44">
        <v>4</v>
      </c>
      <c r="S44">
        <v>1</v>
      </c>
      <c r="W44">
        <f t="shared" si="0"/>
        <v>101.11863344336481</v>
      </c>
      <c r="Y44" s="20"/>
      <c r="Z44" s="16" t="s">
        <v>825</v>
      </c>
      <c r="AA44" s="23"/>
      <c r="AB44" s="19">
        <v>2351.0081594541953</v>
      </c>
      <c r="AD44" t="s">
        <v>333</v>
      </c>
      <c r="AE44" s="16" t="s">
        <v>234</v>
      </c>
      <c r="AF44" s="21">
        <v>18</v>
      </c>
      <c r="AG44" s="22">
        <v>0</v>
      </c>
    </row>
    <row r="45" spans="1:35">
      <c r="A45" s="6">
        <v>40017</v>
      </c>
      <c r="B45" s="6" t="s">
        <v>523</v>
      </c>
      <c r="C45" s="11" t="s">
        <v>524</v>
      </c>
      <c r="D45" s="33" t="s">
        <v>502</v>
      </c>
      <c r="E45" s="12" t="s">
        <v>302</v>
      </c>
      <c r="F45" s="33" t="s">
        <v>325</v>
      </c>
      <c r="G45" s="12">
        <v>1</v>
      </c>
      <c r="H45">
        <v>15</v>
      </c>
      <c r="M45" s="12">
        <v>1</v>
      </c>
      <c r="N45">
        <v>18</v>
      </c>
      <c r="P45" t="s">
        <v>212</v>
      </c>
      <c r="Q45">
        <v>6</v>
      </c>
      <c r="S45">
        <v>1</v>
      </c>
      <c r="W45">
        <f t="shared" si="0"/>
        <v>151.67794738529062</v>
      </c>
      <c r="Y45" s="16" t="s">
        <v>752</v>
      </c>
      <c r="Z45" s="23"/>
      <c r="AA45" s="23"/>
      <c r="AB45" s="19">
        <v>3564.4317385365202</v>
      </c>
      <c r="AD45" t="s">
        <v>333</v>
      </c>
      <c r="AE45" s="16" t="s">
        <v>234</v>
      </c>
      <c r="AF45" s="21">
        <v>19</v>
      </c>
      <c r="AG45" s="22">
        <v>0</v>
      </c>
      <c r="AI45">
        <v>20</v>
      </c>
    </row>
    <row r="46" spans="1:35">
      <c r="A46" s="6">
        <v>40017</v>
      </c>
      <c r="B46" s="6" t="s">
        <v>523</v>
      </c>
      <c r="C46" s="11" t="s">
        <v>524</v>
      </c>
      <c r="D46" s="33" t="s">
        <v>502</v>
      </c>
      <c r="E46" s="12" t="s">
        <v>302</v>
      </c>
      <c r="F46" s="33" t="s">
        <v>325</v>
      </c>
      <c r="G46" s="12">
        <v>1</v>
      </c>
      <c r="H46">
        <v>15</v>
      </c>
      <c r="M46" s="12">
        <v>2</v>
      </c>
      <c r="N46">
        <v>19</v>
      </c>
      <c r="P46" t="s">
        <v>212</v>
      </c>
      <c r="Q46">
        <v>24</v>
      </c>
      <c r="S46">
        <v>1</v>
      </c>
      <c r="W46">
        <f t="shared" si="0"/>
        <v>606.71177286262275</v>
      </c>
      <c r="Y46" s="16" t="s">
        <v>670</v>
      </c>
      <c r="Z46" s="16" t="s">
        <v>400</v>
      </c>
      <c r="AA46" s="16">
        <v>1</v>
      </c>
      <c r="AB46" s="19">
        <v>151.67794738529062</v>
      </c>
      <c r="AD46" t="s">
        <v>333</v>
      </c>
      <c r="AE46" s="16" t="s">
        <v>234</v>
      </c>
      <c r="AF46" s="21">
        <v>20</v>
      </c>
      <c r="AG46" s="22">
        <v>0</v>
      </c>
    </row>
    <row r="47" spans="1:35">
      <c r="A47" s="6">
        <v>40017</v>
      </c>
      <c r="B47" s="6" t="s">
        <v>523</v>
      </c>
      <c r="C47" s="11" t="s">
        <v>524</v>
      </c>
      <c r="D47" s="33" t="s">
        <v>502</v>
      </c>
      <c r="E47" s="12" t="s">
        <v>302</v>
      </c>
      <c r="F47" s="33" t="s">
        <v>325</v>
      </c>
      <c r="G47" s="12">
        <v>1</v>
      </c>
      <c r="H47">
        <v>15</v>
      </c>
      <c r="M47" s="12">
        <v>2</v>
      </c>
      <c r="N47">
        <v>19</v>
      </c>
      <c r="P47" t="s">
        <v>212</v>
      </c>
      <c r="Q47">
        <v>15</v>
      </c>
      <c r="S47">
        <v>1</v>
      </c>
      <c r="W47">
        <f t="shared" si="0"/>
        <v>379.19486012395663</v>
      </c>
      <c r="Y47" s="20"/>
      <c r="Z47" s="20"/>
      <c r="AA47" s="21">
        <v>2</v>
      </c>
      <c r="AB47" s="22">
        <v>631.99145207163861</v>
      </c>
      <c r="AD47" t="s">
        <v>333</v>
      </c>
      <c r="AE47" s="16" t="s">
        <v>234</v>
      </c>
      <c r="AF47" s="21">
        <v>21</v>
      </c>
      <c r="AG47" s="22">
        <v>0</v>
      </c>
    </row>
    <row r="48" spans="1:35">
      <c r="A48" s="6">
        <v>40017</v>
      </c>
      <c r="B48" s="6" t="s">
        <v>523</v>
      </c>
      <c r="C48" s="11" t="s">
        <v>524</v>
      </c>
      <c r="D48" s="33" t="s">
        <v>502</v>
      </c>
      <c r="E48" s="12" t="s">
        <v>302</v>
      </c>
      <c r="F48" s="33" t="s">
        <v>325</v>
      </c>
      <c r="G48" s="12">
        <v>1</v>
      </c>
      <c r="H48">
        <v>15</v>
      </c>
      <c r="M48" s="12">
        <v>3</v>
      </c>
      <c r="N48">
        <v>21</v>
      </c>
      <c r="P48" t="s">
        <v>212</v>
      </c>
      <c r="Q48">
        <v>5</v>
      </c>
      <c r="S48">
        <v>1</v>
      </c>
      <c r="W48">
        <f t="shared" si="0"/>
        <v>126.3982904143277</v>
      </c>
      <c r="Y48" s="20"/>
      <c r="Z48" s="20"/>
      <c r="AA48" s="21">
        <v>3</v>
      </c>
      <c r="AB48" s="22">
        <v>227.51691829817929</v>
      </c>
      <c r="AD48" t="s">
        <v>333</v>
      </c>
      <c r="AE48" s="16" t="s">
        <v>234</v>
      </c>
      <c r="AF48" s="21">
        <v>22</v>
      </c>
      <c r="AG48" s="22">
        <v>0</v>
      </c>
    </row>
    <row r="49" spans="1:33">
      <c r="A49" s="6">
        <v>40017</v>
      </c>
      <c r="B49" s="6" t="s">
        <v>525</v>
      </c>
      <c r="C49" s="11" t="s">
        <v>525</v>
      </c>
      <c r="D49" s="33" t="s">
        <v>502</v>
      </c>
      <c r="E49" s="12" t="s">
        <v>302</v>
      </c>
      <c r="F49" s="12" t="s">
        <v>306</v>
      </c>
      <c r="G49" s="12">
        <v>2</v>
      </c>
      <c r="M49" s="12">
        <v>2</v>
      </c>
      <c r="N49">
        <v>28</v>
      </c>
      <c r="P49" t="s">
        <v>212</v>
      </c>
      <c r="Q49">
        <v>10</v>
      </c>
      <c r="S49">
        <v>1</v>
      </c>
      <c r="W49">
        <f t="shared" si="0"/>
        <v>252.79657526914218</v>
      </c>
      <c r="Y49" s="20"/>
      <c r="Z49" s="20"/>
      <c r="AA49" s="21">
        <v>4</v>
      </c>
      <c r="AB49" s="22">
        <v>75.838976472401924</v>
      </c>
      <c r="AD49" t="s">
        <v>333</v>
      </c>
      <c r="AE49" s="16" t="s">
        <v>234</v>
      </c>
      <c r="AF49" s="21">
        <v>23</v>
      </c>
      <c r="AG49" s="22">
        <v>0</v>
      </c>
    </row>
    <row r="50" spans="1:33">
      <c r="A50" s="6">
        <v>40017</v>
      </c>
      <c r="B50" s="6" t="s">
        <v>523</v>
      </c>
      <c r="C50" s="11" t="s">
        <v>524</v>
      </c>
      <c r="D50" s="33" t="s">
        <v>502</v>
      </c>
      <c r="E50" s="12" t="s">
        <v>302</v>
      </c>
      <c r="F50" s="12" t="s">
        <v>306</v>
      </c>
      <c r="G50" s="12">
        <v>2</v>
      </c>
      <c r="M50">
        <v>5</v>
      </c>
      <c r="N50">
        <v>25</v>
      </c>
      <c r="P50" s="12" t="s">
        <v>212</v>
      </c>
      <c r="Q50">
        <v>4</v>
      </c>
      <c r="S50">
        <v>1</v>
      </c>
      <c r="W50">
        <f t="shared" si="0"/>
        <v>101.11863344336481</v>
      </c>
      <c r="Y50" s="20"/>
      <c r="Z50" s="20"/>
      <c r="AA50" s="21">
        <v>5</v>
      </c>
      <c r="AB50" s="22">
        <v>834.22869672031527</v>
      </c>
      <c r="AD50" t="s">
        <v>333</v>
      </c>
      <c r="AE50" s="16" t="s">
        <v>234</v>
      </c>
      <c r="AF50" s="21">
        <v>24</v>
      </c>
      <c r="AG50" s="22">
        <v>0</v>
      </c>
    </row>
    <row r="51" spans="1:33">
      <c r="A51" s="6">
        <v>40017</v>
      </c>
      <c r="B51" s="6" t="s">
        <v>523</v>
      </c>
      <c r="C51" s="11" t="s">
        <v>524</v>
      </c>
      <c r="D51" s="33" t="s">
        <v>502</v>
      </c>
      <c r="E51" s="12" t="s">
        <v>302</v>
      </c>
      <c r="F51" s="12" t="s">
        <v>306</v>
      </c>
      <c r="G51" s="12">
        <v>2</v>
      </c>
      <c r="M51">
        <v>5</v>
      </c>
      <c r="N51">
        <v>25</v>
      </c>
      <c r="P51" s="12" t="s">
        <v>212</v>
      </c>
      <c r="Q51">
        <v>8</v>
      </c>
      <c r="S51">
        <v>1</v>
      </c>
      <c r="W51">
        <f t="shared" si="0"/>
        <v>202.2372613272164</v>
      </c>
      <c r="Y51" s="20"/>
      <c r="Z51" s="16" t="s">
        <v>731</v>
      </c>
      <c r="AA51" s="23"/>
      <c r="AB51" s="19">
        <v>1921.253990947826</v>
      </c>
      <c r="AD51" t="s">
        <v>333</v>
      </c>
      <c r="AE51" s="16" t="s">
        <v>234</v>
      </c>
      <c r="AF51" s="21">
        <v>25</v>
      </c>
      <c r="AG51" s="22">
        <v>0</v>
      </c>
    </row>
    <row r="52" spans="1:33">
      <c r="A52" s="6">
        <v>40017</v>
      </c>
      <c r="B52" s="6" t="s">
        <v>530</v>
      </c>
      <c r="C52" s="11" t="s">
        <v>326</v>
      </c>
      <c r="D52" s="33" t="s">
        <v>502</v>
      </c>
      <c r="E52" s="12" t="s">
        <v>302</v>
      </c>
      <c r="F52" s="12" t="s">
        <v>306</v>
      </c>
      <c r="G52" s="12">
        <v>3</v>
      </c>
      <c r="M52">
        <v>1</v>
      </c>
      <c r="N52">
        <v>20</v>
      </c>
      <c r="P52" s="12" t="s">
        <v>212</v>
      </c>
      <c r="Q52" s="34">
        <v>8</v>
      </c>
      <c r="S52">
        <v>4</v>
      </c>
      <c r="W52">
        <f t="shared" si="0"/>
        <v>202.2372613272164</v>
      </c>
      <c r="Y52" s="20"/>
      <c r="Z52" s="16" t="s">
        <v>41</v>
      </c>
      <c r="AA52" s="16">
        <v>1</v>
      </c>
      <c r="AB52" s="19">
        <v>252.79658082865544</v>
      </c>
      <c r="AD52" t="s">
        <v>333</v>
      </c>
      <c r="AE52" s="16" t="s">
        <v>461</v>
      </c>
      <c r="AF52" s="16">
        <v>1</v>
      </c>
      <c r="AG52" s="19">
        <v>379.19486568346986</v>
      </c>
    </row>
    <row r="53" spans="1:33">
      <c r="A53" s="6">
        <v>40017</v>
      </c>
      <c r="B53" s="6" t="s">
        <v>530</v>
      </c>
      <c r="C53" s="11" t="s">
        <v>326</v>
      </c>
      <c r="D53" s="33" t="s">
        <v>502</v>
      </c>
      <c r="E53" s="12" t="s">
        <v>302</v>
      </c>
      <c r="F53" s="12" t="s">
        <v>306</v>
      </c>
      <c r="G53" s="12">
        <v>3</v>
      </c>
      <c r="M53">
        <v>4</v>
      </c>
      <c r="N53">
        <v>28</v>
      </c>
      <c r="P53" t="s">
        <v>212</v>
      </c>
      <c r="Q53">
        <v>5</v>
      </c>
      <c r="S53">
        <v>1</v>
      </c>
      <c r="W53">
        <f t="shared" si="0"/>
        <v>126.3982904143277</v>
      </c>
      <c r="Y53" s="20"/>
      <c r="Z53" s="20"/>
      <c r="AA53" s="21">
        <v>2</v>
      </c>
      <c r="AB53" s="22">
        <v>379.19487680249642</v>
      </c>
      <c r="AD53" t="s">
        <v>333</v>
      </c>
      <c r="AE53" s="16" t="s">
        <v>461</v>
      </c>
      <c r="AF53" s="21">
        <v>2</v>
      </c>
      <c r="AG53" s="22">
        <v>657.27109792357498</v>
      </c>
    </row>
    <row r="54" spans="1:33">
      <c r="A54" s="6">
        <v>40017</v>
      </c>
      <c r="B54" s="6" t="s">
        <v>530</v>
      </c>
      <c r="C54" s="11" t="s">
        <v>535</v>
      </c>
      <c r="D54" s="33" t="s">
        <v>502</v>
      </c>
      <c r="E54" s="12" t="s">
        <v>302</v>
      </c>
      <c r="F54" s="12" t="s">
        <v>306</v>
      </c>
      <c r="G54" s="12">
        <v>3</v>
      </c>
      <c r="M54">
        <v>4</v>
      </c>
      <c r="N54">
        <v>28</v>
      </c>
      <c r="P54" t="s">
        <v>212</v>
      </c>
      <c r="Q54">
        <v>4</v>
      </c>
      <c r="S54">
        <v>1</v>
      </c>
      <c r="W54">
        <f t="shared" si="0"/>
        <v>101.11863344336481</v>
      </c>
      <c r="Y54" s="20"/>
      <c r="Z54" s="20"/>
      <c r="AA54" s="21">
        <v>3</v>
      </c>
      <c r="AB54" s="22">
        <v>429.75419074442209</v>
      </c>
      <c r="AD54" t="s">
        <v>333</v>
      </c>
      <c r="AE54" s="16" t="s">
        <v>461</v>
      </c>
      <c r="AF54" s="21">
        <v>3</v>
      </c>
      <c r="AG54" s="22">
        <v>353.91520315299374</v>
      </c>
    </row>
    <row r="55" spans="1:33">
      <c r="A55" s="6">
        <v>40018</v>
      </c>
      <c r="B55" s="6" t="s">
        <v>525</v>
      </c>
      <c r="C55" s="11" t="s">
        <v>525</v>
      </c>
      <c r="D55" s="33" t="s">
        <v>502</v>
      </c>
      <c r="E55" s="12" t="s">
        <v>186</v>
      </c>
      <c r="F55" s="12" t="s">
        <v>187</v>
      </c>
      <c r="G55" s="12">
        <v>1</v>
      </c>
      <c r="H55">
        <v>20</v>
      </c>
      <c r="M55">
        <v>2</v>
      </c>
      <c r="N55">
        <v>22</v>
      </c>
      <c r="P55" t="s">
        <v>212</v>
      </c>
      <c r="Q55">
        <v>7</v>
      </c>
      <c r="S55">
        <v>1</v>
      </c>
      <c r="W55">
        <f t="shared" si="0"/>
        <v>176.95760435625351</v>
      </c>
      <c r="Y55" s="20"/>
      <c r="Z55" s="20"/>
      <c r="AA55" s="21">
        <v>5</v>
      </c>
      <c r="AB55" s="22">
        <v>151.67794738529062</v>
      </c>
      <c r="AD55" t="s">
        <v>333</v>
      </c>
      <c r="AE55" s="16" t="s">
        <v>461</v>
      </c>
      <c r="AF55" s="21">
        <v>4</v>
      </c>
      <c r="AG55" s="22">
        <v>126.3982904143277</v>
      </c>
    </row>
    <row r="56" spans="1:33">
      <c r="A56" s="6">
        <v>40018</v>
      </c>
      <c r="B56" s="6" t="s">
        <v>525</v>
      </c>
      <c r="C56" s="11" t="s">
        <v>525</v>
      </c>
      <c r="D56" s="33" t="s">
        <v>502</v>
      </c>
      <c r="E56" s="12" t="s">
        <v>186</v>
      </c>
      <c r="F56" s="12" t="s">
        <v>187</v>
      </c>
      <c r="G56" s="12">
        <v>1</v>
      </c>
      <c r="H56">
        <v>20</v>
      </c>
      <c r="M56">
        <v>2</v>
      </c>
      <c r="N56">
        <v>22</v>
      </c>
      <c r="P56" t="s">
        <v>212</v>
      </c>
      <c r="Q56">
        <v>7</v>
      </c>
      <c r="S56">
        <v>1</v>
      </c>
      <c r="W56">
        <f t="shared" si="0"/>
        <v>176.95760435625351</v>
      </c>
      <c r="Y56" s="20"/>
      <c r="Z56" s="16" t="s">
        <v>659</v>
      </c>
      <c r="AA56" s="23"/>
      <c r="AB56" s="19">
        <v>1213.4235957608648</v>
      </c>
      <c r="AD56" t="s">
        <v>333</v>
      </c>
      <c r="AE56" s="16" t="s">
        <v>461</v>
      </c>
      <c r="AF56" s="21">
        <v>5</v>
      </c>
      <c r="AG56" s="22">
        <v>631.99145763115177</v>
      </c>
    </row>
    <row r="57" spans="1:33">
      <c r="A57" s="6">
        <v>40018</v>
      </c>
      <c r="B57" s="6" t="s">
        <v>523</v>
      </c>
      <c r="C57" s="11" t="s">
        <v>524</v>
      </c>
      <c r="D57" s="33" t="s">
        <v>502</v>
      </c>
      <c r="E57" s="12" t="s">
        <v>186</v>
      </c>
      <c r="F57" s="12" t="s">
        <v>13</v>
      </c>
      <c r="G57" s="12">
        <v>2</v>
      </c>
      <c r="M57">
        <v>3</v>
      </c>
      <c r="N57">
        <v>22</v>
      </c>
      <c r="P57" s="12" t="s">
        <v>212</v>
      </c>
      <c r="Q57">
        <v>4</v>
      </c>
      <c r="R57" t="s">
        <v>327</v>
      </c>
      <c r="S57">
        <v>3</v>
      </c>
      <c r="W57">
        <f t="shared" si="0"/>
        <v>101.11863344336481</v>
      </c>
      <c r="Y57" s="20"/>
      <c r="Z57" s="16" t="s">
        <v>688</v>
      </c>
      <c r="AA57" s="16">
        <v>1</v>
      </c>
      <c r="AB57" s="19">
        <v>1643.1777531482076</v>
      </c>
      <c r="AD57" t="s">
        <v>333</v>
      </c>
      <c r="AE57" s="16" t="s">
        <v>461</v>
      </c>
      <c r="AF57" s="21">
        <v>6</v>
      </c>
      <c r="AG57" s="22">
        <v>176.95760435625351</v>
      </c>
    </row>
    <row r="58" spans="1:33">
      <c r="A58" s="6">
        <v>40018</v>
      </c>
      <c r="B58" s="6" t="s">
        <v>523</v>
      </c>
      <c r="C58" s="11" t="s">
        <v>524</v>
      </c>
      <c r="D58" s="33" t="s">
        <v>502</v>
      </c>
      <c r="E58" s="12" t="s">
        <v>186</v>
      </c>
      <c r="F58" s="12" t="s">
        <v>13</v>
      </c>
      <c r="G58" s="12">
        <v>2</v>
      </c>
      <c r="M58">
        <v>4</v>
      </c>
      <c r="N58">
        <v>22</v>
      </c>
      <c r="P58" s="12" t="s">
        <v>212</v>
      </c>
      <c r="Q58">
        <v>5</v>
      </c>
      <c r="S58">
        <v>1</v>
      </c>
      <c r="W58">
        <f t="shared" si="0"/>
        <v>126.3982904143277</v>
      </c>
      <c r="Y58" s="20"/>
      <c r="Z58" s="20"/>
      <c r="AA58" s="21">
        <v>2</v>
      </c>
      <c r="AB58" s="22">
        <v>1946.5336701568417</v>
      </c>
      <c r="AD58" t="s">
        <v>333</v>
      </c>
      <c r="AE58" s="16" t="s">
        <v>461</v>
      </c>
      <c r="AF58" s="21">
        <v>7</v>
      </c>
      <c r="AG58" s="22">
        <v>0</v>
      </c>
    </row>
    <row r="59" spans="1:33">
      <c r="A59" s="32">
        <v>40044</v>
      </c>
      <c r="B59" s="32" t="s">
        <v>686</v>
      </c>
      <c r="C59" s="12" t="s">
        <v>328</v>
      </c>
      <c r="D59" s="12" t="s">
        <v>670</v>
      </c>
      <c r="E59" s="12" t="s">
        <v>400</v>
      </c>
      <c r="F59" s="12" t="s">
        <v>329</v>
      </c>
      <c r="G59" s="12">
        <v>1</v>
      </c>
      <c r="M59" s="12">
        <v>2</v>
      </c>
      <c r="O59" s="12">
        <v>5.3</v>
      </c>
      <c r="P59" s="12" t="s">
        <v>212</v>
      </c>
      <c r="Q59">
        <v>7</v>
      </c>
      <c r="S59">
        <v>1</v>
      </c>
      <c r="W59">
        <f t="shared" si="0"/>
        <v>176.95760435625351</v>
      </c>
      <c r="Y59" s="20"/>
      <c r="Z59" s="20"/>
      <c r="AA59" s="21">
        <v>3</v>
      </c>
      <c r="AB59" s="22">
        <v>1617.8981072962713</v>
      </c>
      <c r="AD59" t="s">
        <v>333</v>
      </c>
      <c r="AE59" s="16" t="s">
        <v>461</v>
      </c>
      <c r="AF59" s="21">
        <v>8</v>
      </c>
      <c r="AG59" s="22">
        <v>0</v>
      </c>
    </row>
    <row r="60" spans="1:33">
      <c r="A60" s="32">
        <v>40044</v>
      </c>
      <c r="B60" s="32" t="s">
        <v>686</v>
      </c>
      <c r="C60" s="12" t="s">
        <v>328</v>
      </c>
      <c r="D60" s="12" t="s">
        <v>670</v>
      </c>
      <c r="E60" s="12" t="s">
        <v>400</v>
      </c>
      <c r="F60" s="12" t="s">
        <v>329</v>
      </c>
      <c r="G60" s="12">
        <v>1</v>
      </c>
      <c r="M60" s="12">
        <v>4</v>
      </c>
      <c r="O60" s="12">
        <v>5.8</v>
      </c>
      <c r="P60" s="12" t="s">
        <v>212</v>
      </c>
      <c r="Q60">
        <v>3</v>
      </c>
      <c r="S60">
        <v>1</v>
      </c>
      <c r="W60">
        <f t="shared" si="0"/>
        <v>75.838976472401924</v>
      </c>
      <c r="Y60" s="20"/>
      <c r="Z60" s="20"/>
      <c r="AA60" s="21">
        <v>4</v>
      </c>
      <c r="AB60" s="22">
        <v>101.11863344336481</v>
      </c>
      <c r="AD60" t="s">
        <v>333</v>
      </c>
      <c r="AE60" s="16" t="s">
        <v>461</v>
      </c>
      <c r="AF60" s="21">
        <v>9</v>
      </c>
      <c r="AG60" s="22">
        <v>0</v>
      </c>
    </row>
    <row r="61" spans="1:33">
      <c r="A61" s="32">
        <v>40044</v>
      </c>
      <c r="B61" s="32" t="s">
        <v>686</v>
      </c>
      <c r="C61" s="12" t="s">
        <v>328</v>
      </c>
      <c r="D61" s="12" t="s">
        <v>670</v>
      </c>
      <c r="E61" s="12" t="s">
        <v>400</v>
      </c>
      <c r="F61" s="12" t="s">
        <v>329</v>
      </c>
      <c r="G61" s="12">
        <v>1</v>
      </c>
      <c r="M61" s="12">
        <v>5</v>
      </c>
      <c r="O61" s="12">
        <v>5.9</v>
      </c>
      <c r="P61" s="12" t="s">
        <v>212</v>
      </c>
      <c r="Q61">
        <v>7</v>
      </c>
      <c r="S61">
        <v>1</v>
      </c>
      <c r="W61">
        <f t="shared" si="0"/>
        <v>176.95760435625351</v>
      </c>
      <c r="Y61" s="20"/>
      <c r="Z61" s="16" t="s">
        <v>130</v>
      </c>
      <c r="AA61" s="23"/>
      <c r="AB61" s="19">
        <v>5308.7281640446854</v>
      </c>
      <c r="AD61" t="s">
        <v>333</v>
      </c>
      <c r="AE61" s="16" t="s">
        <v>461</v>
      </c>
      <c r="AF61" s="21">
        <v>10</v>
      </c>
      <c r="AG61" s="22">
        <v>0</v>
      </c>
    </row>
    <row r="62" spans="1:33">
      <c r="A62" s="6">
        <v>40045</v>
      </c>
      <c r="B62" s="6" t="s">
        <v>525</v>
      </c>
      <c r="C62" t="s">
        <v>744</v>
      </c>
      <c r="D62" t="s">
        <v>745</v>
      </c>
      <c r="E62" t="s">
        <v>796</v>
      </c>
      <c r="F62" t="s">
        <v>797</v>
      </c>
      <c r="G62">
        <v>1</v>
      </c>
      <c r="H62">
        <v>8</v>
      </c>
      <c r="M62">
        <v>3</v>
      </c>
      <c r="N62">
        <v>32</v>
      </c>
      <c r="P62" t="s">
        <v>212</v>
      </c>
      <c r="Q62">
        <v>5</v>
      </c>
      <c r="S62">
        <v>1</v>
      </c>
      <c r="W62">
        <f t="shared" si="0"/>
        <v>126.3982904143277</v>
      </c>
      <c r="Y62" s="16" t="s">
        <v>754</v>
      </c>
      <c r="Z62" s="23"/>
      <c r="AA62" s="23"/>
      <c r="AB62" s="19">
        <v>8443.4057507533744</v>
      </c>
      <c r="AD62" t="s">
        <v>333</v>
      </c>
      <c r="AE62" s="16" t="s">
        <v>461</v>
      </c>
      <c r="AF62" s="21">
        <v>11</v>
      </c>
      <c r="AG62" s="22">
        <v>0</v>
      </c>
    </row>
    <row r="63" spans="1:33">
      <c r="A63" s="6">
        <v>40045</v>
      </c>
      <c r="B63" s="6" t="s">
        <v>525</v>
      </c>
      <c r="C63" t="s">
        <v>744</v>
      </c>
      <c r="D63" t="s">
        <v>745</v>
      </c>
      <c r="E63" t="s">
        <v>796</v>
      </c>
      <c r="F63" t="s">
        <v>797</v>
      </c>
      <c r="G63">
        <v>1</v>
      </c>
      <c r="H63">
        <v>8</v>
      </c>
      <c r="M63">
        <v>3</v>
      </c>
      <c r="N63">
        <v>32</v>
      </c>
      <c r="P63" t="s">
        <v>212</v>
      </c>
      <c r="Q63">
        <v>4</v>
      </c>
      <c r="S63">
        <v>1</v>
      </c>
      <c r="W63">
        <f t="shared" si="0"/>
        <v>101.11863344336481</v>
      </c>
      <c r="Y63" s="16" t="s">
        <v>163</v>
      </c>
      <c r="Z63" s="16" t="s">
        <v>163</v>
      </c>
      <c r="AA63" s="16" t="s">
        <v>163</v>
      </c>
      <c r="AB63" s="19"/>
      <c r="AD63" t="s">
        <v>333</v>
      </c>
      <c r="AE63" s="16" t="s">
        <v>461</v>
      </c>
      <c r="AF63" s="21">
        <v>12</v>
      </c>
      <c r="AG63" s="22">
        <v>0</v>
      </c>
    </row>
    <row r="64" spans="1:33">
      <c r="A64" s="6">
        <v>40045</v>
      </c>
      <c r="B64" s="6" t="s">
        <v>525</v>
      </c>
      <c r="C64" t="s">
        <v>744</v>
      </c>
      <c r="D64" t="s">
        <v>745</v>
      </c>
      <c r="E64" t="s">
        <v>796</v>
      </c>
      <c r="F64" t="s">
        <v>797</v>
      </c>
      <c r="G64">
        <v>1</v>
      </c>
      <c r="H64">
        <v>8</v>
      </c>
      <c r="M64">
        <v>3</v>
      </c>
      <c r="N64">
        <v>32</v>
      </c>
      <c r="P64" t="s">
        <v>212</v>
      </c>
      <c r="Q64">
        <v>5</v>
      </c>
      <c r="S64">
        <v>1</v>
      </c>
      <c r="W64">
        <f t="shared" si="0"/>
        <v>126.3982904143277</v>
      </c>
      <c r="Y64" s="20"/>
      <c r="Z64" s="16" t="s">
        <v>368</v>
      </c>
      <c r="AA64" s="23"/>
      <c r="AB64" s="19"/>
      <c r="AD64" t="s">
        <v>333</v>
      </c>
      <c r="AE64" s="16" t="s">
        <v>461</v>
      </c>
      <c r="AF64" s="21">
        <v>13</v>
      </c>
      <c r="AG64" s="22">
        <v>0</v>
      </c>
    </row>
    <row r="65" spans="1:33">
      <c r="A65" s="6">
        <v>40045</v>
      </c>
      <c r="B65" s="6" t="s">
        <v>525</v>
      </c>
      <c r="C65" t="s">
        <v>744</v>
      </c>
      <c r="D65" t="s">
        <v>745</v>
      </c>
      <c r="E65" t="s">
        <v>796</v>
      </c>
      <c r="F65" t="s">
        <v>797</v>
      </c>
      <c r="G65">
        <v>1</v>
      </c>
      <c r="H65">
        <v>8</v>
      </c>
      <c r="M65">
        <v>3</v>
      </c>
      <c r="N65">
        <v>32</v>
      </c>
      <c r="P65" t="s">
        <v>212</v>
      </c>
      <c r="Q65">
        <v>3</v>
      </c>
      <c r="S65">
        <v>1</v>
      </c>
      <c r="W65">
        <f t="shared" si="0"/>
        <v>75.838976472401924</v>
      </c>
      <c r="Y65" s="16" t="s">
        <v>368</v>
      </c>
      <c r="Z65" s="23"/>
      <c r="AA65" s="23"/>
      <c r="AB65" s="19"/>
      <c r="AD65" t="s">
        <v>333</v>
      </c>
      <c r="AE65" s="16" t="s">
        <v>461</v>
      </c>
      <c r="AF65" s="21">
        <v>14</v>
      </c>
      <c r="AG65" s="22">
        <v>0</v>
      </c>
    </row>
    <row r="66" spans="1:33">
      <c r="A66" s="6">
        <v>40045</v>
      </c>
      <c r="B66" s="6" t="s">
        <v>525</v>
      </c>
      <c r="C66" t="s">
        <v>798</v>
      </c>
      <c r="D66" t="s">
        <v>799</v>
      </c>
      <c r="E66" t="s">
        <v>322</v>
      </c>
      <c r="F66" t="s">
        <v>323</v>
      </c>
      <c r="G66">
        <v>1</v>
      </c>
      <c r="H66">
        <v>8</v>
      </c>
      <c r="M66">
        <v>5</v>
      </c>
      <c r="N66">
        <v>26</v>
      </c>
      <c r="P66" t="s">
        <v>212</v>
      </c>
      <c r="Q66">
        <v>6</v>
      </c>
      <c r="S66">
        <v>1</v>
      </c>
      <c r="W66">
        <f t="shared" si="0"/>
        <v>151.67794738529062</v>
      </c>
      <c r="Y66" s="26" t="s">
        <v>755</v>
      </c>
      <c r="Z66" s="27"/>
      <c r="AA66" s="27"/>
      <c r="AB66" s="28">
        <v>18226.633282051193</v>
      </c>
      <c r="AD66" t="s">
        <v>333</v>
      </c>
      <c r="AE66" s="16" t="s">
        <v>461</v>
      </c>
      <c r="AF66" s="21">
        <v>15</v>
      </c>
      <c r="AG66" s="22">
        <v>0</v>
      </c>
    </row>
    <row r="67" spans="1:33">
      <c r="A67" s="6">
        <v>40046</v>
      </c>
      <c r="B67" s="6" t="s">
        <v>525</v>
      </c>
      <c r="C67" s="12" t="s">
        <v>525</v>
      </c>
      <c r="D67" s="12" t="s">
        <v>670</v>
      </c>
      <c r="E67" s="12" t="s">
        <v>688</v>
      </c>
      <c r="F67" s="12" t="s">
        <v>269</v>
      </c>
      <c r="G67" s="12">
        <v>1</v>
      </c>
      <c r="J67">
        <v>750</v>
      </c>
      <c r="M67" s="12">
        <v>2</v>
      </c>
      <c r="N67">
        <v>36</v>
      </c>
      <c r="P67" s="12" t="s">
        <v>212</v>
      </c>
      <c r="Q67">
        <v>3</v>
      </c>
      <c r="S67">
        <v>1</v>
      </c>
      <c r="W67">
        <f t="shared" ref="W67:W110" si="2">EXP(-12.1)+EXP(3.23)*Q67</f>
        <v>75.838976472401924</v>
      </c>
      <c r="AD67" t="s">
        <v>333</v>
      </c>
      <c r="AE67" s="16" t="s">
        <v>461</v>
      </c>
      <c r="AF67" s="21">
        <v>16</v>
      </c>
      <c r="AG67" s="22">
        <v>0</v>
      </c>
    </row>
    <row r="68" spans="1:33">
      <c r="A68" s="6">
        <v>40046</v>
      </c>
      <c r="B68" s="6" t="s">
        <v>525</v>
      </c>
      <c r="C68" s="12" t="s">
        <v>525</v>
      </c>
      <c r="D68" s="12" t="s">
        <v>670</v>
      </c>
      <c r="E68" s="12" t="s">
        <v>688</v>
      </c>
      <c r="F68" s="12" t="s">
        <v>269</v>
      </c>
      <c r="G68" s="12">
        <v>1</v>
      </c>
      <c r="J68">
        <v>750</v>
      </c>
      <c r="M68" s="12">
        <v>2</v>
      </c>
      <c r="N68">
        <v>36</v>
      </c>
      <c r="P68" s="12" t="s">
        <v>212</v>
      </c>
      <c r="Q68">
        <v>3</v>
      </c>
      <c r="S68">
        <v>1</v>
      </c>
      <c r="W68">
        <f t="shared" si="2"/>
        <v>75.838976472401924</v>
      </c>
      <c r="AD68" t="s">
        <v>333</v>
      </c>
      <c r="AE68" s="16" t="s">
        <v>461</v>
      </c>
      <c r="AF68" s="21">
        <v>17</v>
      </c>
      <c r="AG68" s="22">
        <v>0</v>
      </c>
    </row>
    <row r="69" spans="1:33" s="12" customFormat="1">
      <c r="A69" s="32">
        <v>40046</v>
      </c>
      <c r="B69" s="6" t="s">
        <v>505</v>
      </c>
      <c r="C69" s="12" t="s">
        <v>505</v>
      </c>
      <c r="D69" s="12" t="s">
        <v>670</v>
      </c>
      <c r="E69" s="12" t="s">
        <v>688</v>
      </c>
      <c r="F69" s="12" t="s">
        <v>269</v>
      </c>
      <c r="G69" s="12">
        <v>1</v>
      </c>
      <c r="J69" s="12">
        <v>800</v>
      </c>
      <c r="M69" s="12">
        <v>1</v>
      </c>
      <c r="O69" s="12">
        <v>10.199999999999999</v>
      </c>
      <c r="P69" s="12" t="s">
        <v>212</v>
      </c>
      <c r="Q69" s="12">
        <v>3</v>
      </c>
      <c r="S69">
        <v>1</v>
      </c>
      <c r="W69">
        <f t="shared" si="2"/>
        <v>75.838976472401924</v>
      </c>
      <c r="AD69" t="s">
        <v>333</v>
      </c>
      <c r="AE69" s="16" t="s">
        <v>461</v>
      </c>
      <c r="AF69" s="21">
        <v>18</v>
      </c>
      <c r="AG69" s="22">
        <v>0</v>
      </c>
    </row>
    <row r="70" spans="1:33">
      <c r="A70" s="6">
        <v>40046</v>
      </c>
      <c r="B70" s="6" t="s">
        <v>525</v>
      </c>
      <c r="C70" s="12" t="s">
        <v>525</v>
      </c>
      <c r="D70" s="12" t="s">
        <v>670</v>
      </c>
      <c r="E70" s="12" t="s">
        <v>688</v>
      </c>
      <c r="F70" s="12" t="s">
        <v>269</v>
      </c>
      <c r="G70" s="12">
        <v>2</v>
      </c>
      <c r="J70">
        <v>1040</v>
      </c>
      <c r="M70" s="12">
        <v>1</v>
      </c>
      <c r="N70">
        <v>30</v>
      </c>
      <c r="P70" t="s">
        <v>212</v>
      </c>
      <c r="Q70">
        <v>5</v>
      </c>
      <c r="S70">
        <v>1</v>
      </c>
      <c r="W70">
        <f t="shared" si="2"/>
        <v>126.3982904143277</v>
      </c>
      <c r="AD70" t="s">
        <v>333</v>
      </c>
      <c r="AE70" s="16" t="s">
        <v>461</v>
      </c>
      <c r="AF70" s="21">
        <v>19</v>
      </c>
      <c r="AG70" s="22">
        <v>0</v>
      </c>
    </row>
    <row r="71" spans="1:33">
      <c r="A71" s="6">
        <v>40046</v>
      </c>
      <c r="B71" s="6" t="s">
        <v>525</v>
      </c>
      <c r="C71" s="12" t="s">
        <v>525</v>
      </c>
      <c r="D71" s="12" t="s">
        <v>670</v>
      </c>
      <c r="E71" s="12" t="s">
        <v>688</v>
      </c>
      <c r="F71" s="12" t="s">
        <v>269</v>
      </c>
      <c r="G71" s="12">
        <v>2</v>
      </c>
      <c r="J71">
        <v>1040</v>
      </c>
      <c r="M71" s="12">
        <v>1</v>
      </c>
      <c r="N71">
        <v>30</v>
      </c>
      <c r="P71" t="s">
        <v>212</v>
      </c>
      <c r="Q71">
        <v>7</v>
      </c>
      <c r="S71">
        <v>1</v>
      </c>
      <c r="W71">
        <f t="shared" si="2"/>
        <v>176.95760435625351</v>
      </c>
      <c r="AD71" t="s">
        <v>331</v>
      </c>
      <c r="AE71" s="16" t="s">
        <v>503</v>
      </c>
      <c r="AF71" s="16">
        <v>2</v>
      </c>
      <c r="AG71" s="19">
        <v>75.838976472401924</v>
      </c>
    </row>
    <row r="72" spans="1:33">
      <c r="A72" s="6">
        <v>40046</v>
      </c>
      <c r="B72" s="6" t="s">
        <v>525</v>
      </c>
      <c r="C72" s="12" t="s">
        <v>525</v>
      </c>
      <c r="D72" s="12" t="s">
        <v>670</v>
      </c>
      <c r="E72" s="12" t="s">
        <v>688</v>
      </c>
      <c r="F72" s="12" t="s">
        <v>269</v>
      </c>
      <c r="G72" s="12">
        <v>2</v>
      </c>
      <c r="J72">
        <v>1040</v>
      </c>
      <c r="M72" s="12">
        <v>1</v>
      </c>
      <c r="N72">
        <v>30</v>
      </c>
      <c r="P72" t="s">
        <v>212</v>
      </c>
      <c r="Q72">
        <v>11</v>
      </c>
      <c r="S72">
        <v>1</v>
      </c>
      <c r="W72">
        <f t="shared" si="2"/>
        <v>278.07623224010507</v>
      </c>
      <c r="AD72" t="s">
        <v>331</v>
      </c>
      <c r="AE72" s="16" t="s">
        <v>503</v>
      </c>
      <c r="AF72" s="21">
        <v>4</v>
      </c>
      <c r="AG72" s="22">
        <v>75.838976472401924</v>
      </c>
    </row>
    <row r="73" spans="1:33">
      <c r="A73" s="6">
        <v>40046</v>
      </c>
      <c r="B73" s="6" t="s">
        <v>525</v>
      </c>
      <c r="C73" s="12" t="s">
        <v>525</v>
      </c>
      <c r="D73" s="12" t="s">
        <v>670</v>
      </c>
      <c r="E73" s="12" t="s">
        <v>688</v>
      </c>
      <c r="F73" s="12" t="s">
        <v>269</v>
      </c>
      <c r="G73" s="12">
        <v>2</v>
      </c>
      <c r="J73">
        <v>1040</v>
      </c>
      <c r="M73" s="12">
        <v>2</v>
      </c>
      <c r="N73">
        <v>30</v>
      </c>
      <c r="P73" t="s">
        <v>212</v>
      </c>
      <c r="Q73">
        <v>4</v>
      </c>
      <c r="S73">
        <v>1</v>
      </c>
      <c r="W73">
        <f t="shared" si="2"/>
        <v>101.11863344336481</v>
      </c>
      <c r="AD73" t="s">
        <v>331</v>
      </c>
      <c r="AE73" s="16" t="s">
        <v>503</v>
      </c>
      <c r="AF73" s="21">
        <v>7</v>
      </c>
      <c r="AG73" s="22">
        <v>126.3982904143277</v>
      </c>
    </row>
    <row r="74" spans="1:33">
      <c r="A74" s="6">
        <v>40046</v>
      </c>
      <c r="B74" s="6" t="s">
        <v>525</v>
      </c>
      <c r="C74" s="12" t="s">
        <v>525</v>
      </c>
      <c r="D74" s="12" t="s">
        <v>670</v>
      </c>
      <c r="E74" s="12" t="s">
        <v>688</v>
      </c>
      <c r="F74" s="12" t="s">
        <v>269</v>
      </c>
      <c r="G74" s="12">
        <v>2</v>
      </c>
      <c r="J74">
        <v>1040</v>
      </c>
      <c r="M74" s="12">
        <v>2</v>
      </c>
      <c r="N74">
        <v>30</v>
      </c>
      <c r="P74" t="s">
        <v>212</v>
      </c>
      <c r="Q74">
        <v>7</v>
      </c>
      <c r="S74">
        <v>1</v>
      </c>
      <c r="W74">
        <f t="shared" si="2"/>
        <v>176.95760435625351</v>
      </c>
      <c r="AD74" t="s">
        <v>331</v>
      </c>
      <c r="AE74" s="16" t="s">
        <v>503</v>
      </c>
      <c r="AF74" s="21">
        <v>1</v>
      </c>
      <c r="AG74" s="22">
        <v>0</v>
      </c>
    </row>
    <row r="75" spans="1:33">
      <c r="A75" s="6">
        <v>40046</v>
      </c>
      <c r="B75" s="6" t="s">
        <v>525</v>
      </c>
      <c r="C75" s="12" t="s">
        <v>525</v>
      </c>
      <c r="D75" s="12" t="s">
        <v>670</v>
      </c>
      <c r="E75" s="12" t="s">
        <v>688</v>
      </c>
      <c r="F75" s="12" t="s">
        <v>269</v>
      </c>
      <c r="G75" s="12">
        <v>2</v>
      </c>
      <c r="J75">
        <v>1040</v>
      </c>
      <c r="M75" s="12">
        <v>2</v>
      </c>
      <c r="N75">
        <v>30</v>
      </c>
      <c r="P75" t="s">
        <v>212</v>
      </c>
      <c r="Q75">
        <v>6</v>
      </c>
      <c r="S75">
        <v>1</v>
      </c>
      <c r="W75">
        <f t="shared" si="2"/>
        <v>151.67794738529062</v>
      </c>
      <c r="AD75" t="s">
        <v>331</v>
      </c>
      <c r="AE75" s="16" t="s">
        <v>503</v>
      </c>
      <c r="AF75" s="21">
        <v>3</v>
      </c>
      <c r="AG75" s="22">
        <v>0</v>
      </c>
    </row>
    <row r="76" spans="1:33">
      <c r="A76" s="6">
        <v>40046</v>
      </c>
      <c r="B76" s="6" t="s">
        <v>525</v>
      </c>
      <c r="C76" s="12" t="s">
        <v>525</v>
      </c>
      <c r="D76" s="12" t="s">
        <v>670</v>
      </c>
      <c r="E76" s="12" t="s">
        <v>688</v>
      </c>
      <c r="F76" s="12" t="s">
        <v>269</v>
      </c>
      <c r="G76" s="12">
        <v>2</v>
      </c>
      <c r="J76">
        <v>1040</v>
      </c>
      <c r="M76" s="12">
        <v>2</v>
      </c>
      <c r="N76">
        <v>30</v>
      </c>
      <c r="P76" t="s">
        <v>212</v>
      </c>
      <c r="Q76">
        <v>3</v>
      </c>
      <c r="S76">
        <v>1</v>
      </c>
      <c r="W76">
        <f t="shared" si="2"/>
        <v>75.838976472401924</v>
      </c>
      <c r="AD76" t="s">
        <v>331</v>
      </c>
      <c r="AE76" s="16" t="s">
        <v>503</v>
      </c>
      <c r="AF76" s="21">
        <v>5</v>
      </c>
      <c r="AG76" s="22">
        <v>0</v>
      </c>
    </row>
    <row r="77" spans="1:33">
      <c r="A77" s="6">
        <v>40046</v>
      </c>
      <c r="B77" s="6" t="s">
        <v>525</v>
      </c>
      <c r="C77" s="12" t="s">
        <v>525</v>
      </c>
      <c r="D77" s="12" t="s">
        <v>670</v>
      </c>
      <c r="E77" s="12" t="s">
        <v>688</v>
      </c>
      <c r="F77" s="12" t="s">
        <v>269</v>
      </c>
      <c r="G77" s="12">
        <v>2</v>
      </c>
      <c r="J77">
        <v>1040</v>
      </c>
      <c r="M77" s="12">
        <v>2</v>
      </c>
      <c r="N77">
        <v>30</v>
      </c>
      <c r="P77" t="s">
        <v>212</v>
      </c>
      <c r="Q77">
        <v>3</v>
      </c>
      <c r="S77">
        <v>1</v>
      </c>
      <c r="W77">
        <f t="shared" si="2"/>
        <v>75.838976472401924</v>
      </c>
      <c r="AD77" t="s">
        <v>331</v>
      </c>
      <c r="AE77" s="16" t="s">
        <v>503</v>
      </c>
      <c r="AF77" s="21">
        <v>6</v>
      </c>
      <c r="AG77" s="22">
        <v>0</v>
      </c>
    </row>
    <row r="78" spans="1:33">
      <c r="A78" s="32">
        <v>40046</v>
      </c>
      <c r="B78" s="6" t="s">
        <v>525</v>
      </c>
      <c r="C78" s="12" t="s">
        <v>525</v>
      </c>
      <c r="D78" s="12" t="s">
        <v>670</v>
      </c>
      <c r="E78" s="12" t="s">
        <v>688</v>
      </c>
      <c r="F78" s="12" t="s">
        <v>269</v>
      </c>
      <c r="G78" s="12">
        <v>2</v>
      </c>
      <c r="H78" s="12"/>
      <c r="I78" s="12"/>
      <c r="J78" s="12">
        <v>1040</v>
      </c>
      <c r="K78" s="12"/>
      <c r="L78" s="12"/>
      <c r="M78" s="12">
        <v>3</v>
      </c>
      <c r="N78" s="12">
        <v>30</v>
      </c>
      <c r="P78" t="s">
        <v>212</v>
      </c>
      <c r="Q78">
        <v>7</v>
      </c>
      <c r="S78">
        <v>1</v>
      </c>
      <c r="W78">
        <f t="shared" si="2"/>
        <v>176.95760435625351</v>
      </c>
      <c r="AD78" t="s">
        <v>331</v>
      </c>
      <c r="AE78" s="16" t="s">
        <v>503</v>
      </c>
      <c r="AF78" s="21">
        <v>8</v>
      </c>
      <c r="AG78" s="22">
        <v>0</v>
      </c>
    </row>
    <row r="79" spans="1:33">
      <c r="A79" s="32">
        <v>40046</v>
      </c>
      <c r="B79" s="6" t="s">
        <v>525</v>
      </c>
      <c r="C79" s="12" t="s">
        <v>525</v>
      </c>
      <c r="D79" s="12" t="s">
        <v>670</v>
      </c>
      <c r="E79" s="12" t="s">
        <v>688</v>
      </c>
      <c r="F79" s="12" t="s">
        <v>269</v>
      </c>
      <c r="G79" s="12">
        <v>2</v>
      </c>
      <c r="H79" s="12"/>
      <c r="I79" s="12"/>
      <c r="J79" s="12">
        <v>1040</v>
      </c>
      <c r="K79" s="12"/>
      <c r="L79" s="12"/>
      <c r="M79" s="12">
        <v>3</v>
      </c>
      <c r="N79" s="12">
        <v>30</v>
      </c>
      <c r="P79" t="s">
        <v>212</v>
      </c>
      <c r="Q79">
        <v>12</v>
      </c>
      <c r="S79">
        <v>1</v>
      </c>
      <c r="W79">
        <f t="shared" si="2"/>
        <v>303.35588921106796</v>
      </c>
      <c r="AD79" t="s">
        <v>331</v>
      </c>
      <c r="AE79" s="16" t="s">
        <v>503</v>
      </c>
      <c r="AF79" s="21">
        <v>9</v>
      </c>
      <c r="AG79" s="22">
        <v>0</v>
      </c>
    </row>
    <row r="80" spans="1:33">
      <c r="A80" s="32">
        <v>40046</v>
      </c>
      <c r="B80" s="6" t="s">
        <v>525</v>
      </c>
      <c r="C80" s="12" t="s">
        <v>525</v>
      </c>
      <c r="D80" s="12" t="s">
        <v>670</v>
      </c>
      <c r="E80" s="12" t="s">
        <v>688</v>
      </c>
      <c r="F80" s="12" t="s">
        <v>269</v>
      </c>
      <c r="G80" s="12">
        <v>2</v>
      </c>
      <c r="H80" s="12"/>
      <c r="I80" s="12"/>
      <c r="J80" s="12">
        <v>1040</v>
      </c>
      <c r="K80" s="12"/>
      <c r="L80" s="12"/>
      <c r="M80" s="12">
        <v>3</v>
      </c>
      <c r="N80" s="12">
        <v>30</v>
      </c>
      <c r="P80" t="s">
        <v>212</v>
      </c>
      <c r="Q80">
        <v>7</v>
      </c>
      <c r="S80">
        <v>1</v>
      </c>
      <c r="W80">
        <f t="shared" si="2"/>
        <v>176.95760435625351</v>
      </c>
      <c r="AD80" t="s">
        <v>331</v>
      </c>
      <c r="AE80" s="16" t="s">
        <v>503</v>
      </c>
      <c r="AF80" s="21">
        <v>10</v>
      </c>
      <c r="AG80" s="22">
        <v>0</v>
      </c>
    </row>
    <row r="81" spans="1:33">
      <c r="A81" s="32">
        <v>40046</v>
      </c>
      <c r="B81" s="6" t="s">
        <v>525</v>
      </c>
      <c r="C81" s="12" t="s">
        <v>525</v>
      </c>
      <c r="D81" s="12" t="s">
        <v>670</v>
      </c>
      <c r="E81" s="12" t="s">
        <v>688</v>
      </c>
      <c r="F81" s="12" t="s">
        <v>269</v>
      </c>
      <c r="G81" s="12">
        <v>2</v>
      </c>
      <c r="H81" s="12"/>
      <c r="I81" s="12"/>
      <c r="J81" s="12">
        <v>1040</v>
      </c>
      <c r="K81" s="12"/>
      <c r="L81" s="12"/>
      <c r="M81" s="12">
        <v>3</v>
      </c>
      <c r="N81" s="12">
        <v>30</v>
      </c>
      <c r="P81" t="s">
        <v>212</v>
      </c>
      <c r="Q81">
        <v>4</v>
      </c>
      <c r="S81">
        <v>1</v>
      </c>
      <c r="W81">
        <f t="shared" si="2"/>
        <v>101.11863344336481</v>
      </c>
      <c r="AD81" t="s">
        <v>331</v>
      </c>
      <c r="AE81" s="16" t="s">
        <v>503</v>
      </c>
      <c r="AF81" s="21">
        <v>11</v>
      </c>
      <c r="AG81" s="22">
        <v>0</v>
      </c>
    </row>
    <row r="82" spans="1:33" s="12" customFormat="1">
      <c r="A82" s="32">
        <v>40046</v>
      </c>
      <c r="B82" s="32" t="s">
        <v>505</v>
      </c>
      <c r="C82" s="12" t="s">
        <v>505</v>
      </c>
      <c r="D82" s="12" t="s">
        <v>670</v>
      </c>
      <c r="E82" s="12" t="s">
        <v>688</v>
      </c>
      <c r="F82" s="12" t="s">
        <v>269</v>
      </c>
      <c r="G82" s="12">
        <v>2</v>
      </c>
      <c r="J82" s="12">
        <v>1040</v>
      </c>
      <c r="M82" s="12">
        <v>1</v>
      </c>
      <c r="O82" s="12">
        <v>9.1</v>
      </c>
      <c r="P82" s="12" t="s">
        <v>212</v>
      </c>
      <c r="Q82" s="12">
        <v>9</v>
      </c>
      <c r="S82">
        <v>1</v>
      </c>
      <c r="W82">
        <f t="shared" si="2"/>
        <v>227.51691829817929</v>
      </c>
      <c r="AD82" t="s">
        <v>331</v>
      </c>
      <c r="AE82" s="16" t="s">
        <v>503</v>
      </c>
      <c r="AF82" s="21">
        <v>12</v>
      </c>
      <c r="AG82" s="22">
        <v>0</v>
      </c>
    </row>
    <row r="83" spans="1:33">
      <c r="A83" s="32">
        <v>40046</v>
      </c>
      <c r="B83" s="32" t="s">
        <v>505</v>
      </c>
      <c r="C83" s="12" t="s">
        <v>505</v>
      </c>
      <c r="D83" s="12" t="s">
        <v>670</v>
      </c>
      <c r="E83" s="12" t="s">
        <v>688</v>
      </c>
      <c r="F83" s="12" t="s">
        <v>269</v>
      </c>
      <c r="G83" s="12">
        <v>2</v>
      </c>
      <c r="H83" s="12"/>
      <c r="I83" s="12"/>
      <c r="J83" s="12">
        <v>1040</v>
      </c>
      <c r="M83" s="12">
        <v>2</v>
      </c>
      <c r="O83">
        <v>7.3</v>
      </c>
      <c r="P83" t="s">
        <v>212</v>
      </c>
      <c r="Q83">
        <v>4</v>
      </c>
      <c r="S83">
        <v>1</v>
      </c>
      <c r="W83">
        <f t="shared" si="2"/>
        <v>101.11863344336481</v>
      </c>
      <c r="AD83" t="s">
        <v>331</v>
      </c>
      <c r="AE83" s="16" t="s">
        <v>503</v>
      </c>
      <c r="AF83" s="21">
        <v>13</v>
      </c>
      <c r="AG83" s="22">
        <v>0</v>
      </c>
    </row>
    <row r="84" spans="1:33">
      <c r="A84" s="32">
        <v>40046</v>
      </c>
      <c r="B84" s="32" t="s">
        <v>505</v>
      </c>
      <c r="C84" s="12" t="s">
        <v>505</v>
      </c>
      <c r="D84" s="12" t="s">
        <v>670</v>
      </c>
      <c r="E84" s="12" t="s">
        <v>688</v>
      </c>
      <c r="F84" s="12" t="s">
        <v>269</v>
      </c>
      <c r="G84" s="12">
        <v>2</v>
      </c>
      <c r="H84" s="12"/>
      <c r="I84" s="12"/>
      <c r="J84" s="12">
        <v>1040</v>
      </c>
      <c r="M84" s="12">
        <v>2</v>
      </c>
      <c r="O84">
        <v>7.3</v>
      </c>
      <c r="P84" t="s">
        <v>212</v>
      </c>
      <c r="Q84">
        <v>3</v>
      </c>
      <c r="S84">
        <v>1</v>
      </c>
      <c r="W84">
        <f t="shared" si="2"/>
        <v>75.838976472401924</v>
      </c>
      <c r="AD84" t="s">
        <v>331</v>
      </c>
      <c r="AE84" s="16" t="s">
        <v>503</v>
      </c>
      <c r="AF84" s="21">
        <v>14</v>
      </c>
      <c r="AG84" s="22">
        <v>0</v>
      </c>
    </row>
    <row r="85" spans="1:33">
      <c r="A85" s="32">
        <v>40046</v>
      </c>
      <c r="B85" s="32" t="s">
        <v>505</v>
      </c>
      <c r="C85" s="12" t="s">
        <v>505</v>
      </c>
      <c r="D85" s="12" t="s">
        <v>670</v>
      </c>
      <c r="E85" s="12" t="s">
        <v>688</v>
      </c>
      <c r="F85" s="12" t="s">
        <v>269</v>
      </c>
      <c r="G85" s="12">
        <v>2</v>
      </c>
      <c r="H85" s="12"/>
      <c r="I85" s="12"/>
      <c r="J85" s="12">
        <v>1040</v>
      </c>
      <c r="M85" s="12">
        <v>2</v>
      </c>
      <c r="O85">
        <v>7.3</v>
      </c>
      <c r="P85" t="s">
        <v>212</v>
      </c>
      <c r="Q85">
        <v>4</v>
      </c>
      <c r="S85">
        <v>1</v>
      </c>
      <c r="W85">
        <f t="shared" si="2"/>
        <v>101.11863344336481</v>
      </c>
      <c r="AD85" t="s">
        <v>331</v>
      </c>
      <c r="AE85" s="16" t="s">
        <v>503</v>
      </c>
      <c r="AF85" s="21">
        <v>15</v>
      </c>
      <c r="AG85" s="22">
        <v>0</v>
      </c>
    </row>
    <row r="86" spans="1:33">
      <c r="A86" s="32">
        <v>40046</v>
      </c>
      <c r="B86" s="32" t="s">
        <v>505</v>
      </c>
      <c r="C86" s="12" t="s">
        <v>505</v>
      </c>
      <c r="D86" s="12" t="s">
        <v>670</v>
      </c>
      <c r="E86" s="12" t="s">
        <v>688</v>
      </c>
      <c r="F86" s="12" t="s">
        <v>269</v>
      </c>
      <c r="G86" s="12">
        <v>2</v>
      </c>
      <c r="H86" s="12"/>
      <c r="I86" s="12"/>
      <c r="J86" s="12">
        <v>1040</v>
      </c>
      <c r="M86" s="12">
        <v>2</v>
      </c>
      <c r="O86">
        <v>7.3</v>
      </c>
      <c r="P86" t="s">
        <v>212</v>
      </c>
      <c r="Q86">
        <v>3</v>
      </c>
      <c r="S86">
        <v>1</v>
      </c>
      <c r="W86">
        <f t="shared" si="2"/>
        <v>75.838976472401924</v>
      </c>
      <c r="AD86" t="s">
        <v>331</v>
      </c>
      <c r="AE86" s="16" t="s">
        <v>503</v>
      </c>
      <c r="AF86" s="21">
        <v>16</v>
      </c>
      <c r="AG86" s="22">
        <v>0</v>
      </c>
    </row>
    <row r="87" spans="1:33">
      <c r="A87" s="32">
        <v>40046</v>
      </c>
      <c r="B87" s="32" t="s">
        <v>505</v>
      </c>
      <c r="C87" s="12" t="s">
        <v>505</v>
      </c>
      <c r="D87" s="12" t="s">
        <v>670</v>
      </c>
      <c r="E87" s="12" t="s">
        <v>688</v>
      </c>
      <c r="F87" s="12" t="s">
        <v>269</v>
      </c>
      <c r="G87" s="12">
        <v>2</v>
      </c>
      <c r="H87" s="12"/>
      <c r="I87" s="12"/>
      <c r="J87" s="12">
        <v>1040</v>
      </c>
      <c r="M87" s="12">
        <v>2</v>
      </c>
      <c r="O87">
        <v>7.3</v>
      </c>
      <c r="P87" t="s">
        <v>212</v>
      </c>
      <c r="Q87">
        <v>4</v>
      </c>
      <c r="S87">
        <v>1</v>
      </c>
      <c r="W87">
        <f t="shared" si="2"/>
        <v>101.11863344336481</v>
      </c>
      <c r="AD87" t="s">
        <v>331</v>
      </c>
      <c r="AE87" s="16" t="s">
        <v>503</v>
      </c>
      <c r="AF87" s="21">
        <v>17</v>
      </c>
      <c r="AG87" s="22">
        <v>0</v>
      </c>
    </row>
    <row r="88" spans="1:33">
      <c r="A88" s="32">
        <v>40046</v>
      </c>
      <c r="B88" s="32" t="s">
        <v>505</v>
      </c>
      <c r="C88" s="12" t="s">
        <v>505</v>
      </c>
      <c r="D88" s="12" t="s">
        <v>670</v>
      </c>
      <c r="E88" s="12" t="s">
        <v>688</v>
      </c>
      <c r="F88" s="12" t="s">
        <v>269</v>
      </c>
      <c r="G88" s="12">
        <v>2</v>
      </c>
      <c r="H88" s="12"/>
      <c r="I88" s="12"/>
      <c r="J88" s="12">
        <v>1040</v>
      </c>
      <c r="M88" s="12">
        <v>3</v>
      </c>
      <c r="O88">
        <v>8.6</v>
      </c>
      <c r="P88" t="s">
        <v>212</v>
      </c>
      <c r="Q88">
        <v>6</v>
      </c>
      <c r="S88">
        <v>1</v>
      </c>
      <c r="W88">
        <f t="shared" si="2"/>
        <v>151.67794738529062</v>
      </c>
      <c r="AD88" t="s">
        <v>331</v>
      </c>
      <c r="AE88" s="16" t="s">
        <v>503</v>
      </c>
      <c r="AF88" s="21">
        <v>18</v>
      </c>
      <c r="AG88" s="22">
        <v>0</v>
      </c>
    </row>
    <row r="89" spans="1:33">
      <c r="A89" s="32">
        <v>40046</v>
      </c>
      <c r="B89" s="32" t="s">
        <v>505</v>
      </c>
      <c r="C89" s="12" t="s">
        <v>505</v>
      </c>
      <c r="D89" s="12" t="s">
        <v>670</v>
      </c>
      <c r="E89" s="12" t="s">
        <v>688</v>
      </c>
      <c r="F89" s="12" t="s">
        <v>269</v>
      </c>
      <c r="G89" s="12">
        <v>2</v>
      </c>
      <c r="H89" s="12"/>
      <c r="I89" s="12"/>
      <c r="J89" s="12">
        <v>1040</v>
      </c>
      <c r="M89" s="12">
        <v>3</v>
      </c>
      <c r="O89">
        <v>8.6</v>
      </c>
      <c r="P89" t="s">
        <v>212</v>
      </c>
      <c r="Q89">
        <v>2</v>
      </c>
      <c r="S89">
        <v>1</v>
      </c>
      <c r="W89">
        <f t="shared" si="2"/>
        <v>50.559319501439028</v>
      </c>
      <c r="AD89" t="s">
        <v>331</v>
      </c>
      <c r="AE89" s="16" t="s">
        <v>503</v>
      </c>
      <c r="AF89" s="21">
        <v>19</v>
      </c>
      <c r="AG89" s="22">
        <v>0</v>
      </c>
    </row>
    <row r="90" spans="1:33">
      <c r="A90" s="32">
        <v>40046</v>
      </c>
      <c r="B90" s="32" t="s">
        <v>505</v>
      </c>
      <c r="C90" s="12" t="s">
        <v>505</v>
      </c>
      <c r="D90" s="12" t="s">
        <v>670</v>
      </c>
      <c r="E90" s="12" t="s">
        <v>688</v>
      </c>
      <c r="F90" s="12" t="s">
        <v>269</v>
      </c>
      <c r="G90" s="12">
        <v>2</v>
      </c>
      <c r="H90" s="12"/>
      <c r="I90" s="12"/>
      <c r="J90" s="12">
        <v>1040</v>
      </c>
      <c r="M90" s="12">
        <v>3</v>
      </c>
      <c r="O90">
        <v>8.6</v>
      </c>
      <c r="P90" t="s">
        <v>212</v>
      </c>
      <c r="Q90">
        <v>5</v>
      </c>
      <c r="S90">
        <v>1</v>
      </c>
      <c r="W90">
        <f t="shared" si="2"/>
        <v>126.3982904143277</v>
      </c>
      <c r="AD90" t="s">
        <v>331</v>
      </c>
      <c r="AE90" s="16" t="s">
        <v>186</v>
      </c>
      <c r="AF90" s="16">
        <v>2</v>
      </c>
      <c r="AG90" s="19">
        <v>353.91520871250702</v>
      </c>
    </row>
    <row r="91" spans="1:33">
      <c r="A91" s="32">
        <v>40046</v>
      </c>
      <c r="B91" s="32" t="s">
        <v>505</v>
      </c>
      <c r="C91" s="12" t="s">
        <v>505</v>
      </c>
      <c r="D91" s="12" t="s">
        <v>670</v>
      </c>
      <c r="E91" s="12" t="s">
        <v>688</v>
      </c>
      <c r="F91" s="12" t="s">
        <v>269</v>
      </c>
      <c r="G91" s="12">
        <v>2</v>
      </c>
      <c r="H91" s="12"/>
      <c r="I91" s="12"/>
      <c r="J91" s="12">
        <v>1040</v>
      </c>
      <c r="M91" s="12">
        <v>3</v>
      </c>
      <c r="O91">
        <v>8.6</v>
      </c>
      <c r="P91" t="s">
        <v>212</v>
      </c>
      <c r="Q91">
        <v>6</v>
      </c>
      <c r="S91">
        <v>1</v>
      </c>
      <c r="W91">
        <f t="shared" si="2"/>
        <v>151.67794738529062</v>
      </c>
      <c r="AD91" t="s">
        <v>331</v>
      </c>
      <c r="AE91" s="16" t="s">
        <v>186</v>
      </c>
      <c r="AF91" s="21">
        <v>3</v>
      </c>
      <c r="AG91" s="22">
        <v>101.11863344336481</v>
      </c>
    </row>
    <row r="92" spans="1:33">
      <c r="A92" s="32">
        <v>40046</v>
      </c>
      <c r="B92" s="32" t="s">
        <v>505</v>
      </c>
      <c r="C92" s="12" t="s">
        <v>505</v>
      </c>
      <c r="D92" s="12" t="s">
        <v>670</v>
      </c>
      <c r="E92" s="12" t="s">
        <v>688</v>
      </c>
      <c r="F92" s="12" t="s">
        <v>269</v>
      </c>
      <c r="G92" s="12">
        <v>2</v>
      </c>
      <c r="H92" s="12"/>
      <c r="I92" s="12"/>
      <c r="J92" s="12">
        <v>1040</v>
      </c>
      <c r="M92" s="12">
        <v>3</v>
      </c>
      <c r="O92">
        <v>8.6</v>
      </c>
      <c r="P92" t="s">
        <v>212</v>
      </c>
      <c r="Q92">
        <v>3</v>
      </c>
      <c r="S92">
        <v>1</v>
      </c>
      <c r="W92">
        <f t="shared" si="2"/>
        <v>75.838976472401924</v>
      </c>
      <c r="AD92" t="s">
        <v>331</v>
      </c>
      <c r="AE92" s="16" t="s">
        <v>186</v>
      </c>
      <c r="AF92" s="21">
        <v>4</v>
      </c>
      <c r="AG92" s="22">
        <v>126.3982904143277</v>
      </c>
    </row>
    <row r="93" spans="1:33">
      <c r="A93" s="6">
        <v>40048</v>
      </c>
      <c r="B93" s="6" t="s">
        <v>525</v>
      </c>
      <c r="C93" s="11" t="s">
        <v>525</v>
      </c>
      <c r="D93" s="33" t="s">
        <v>670</v>
      </c>
      <c r="E93" s="12" t="s">
        <v>688</v>
      </c>
      <c r="F93" s="33" t="s">
        <v>269</v>
      </c>
      <c r="G93" s="12">
        <v>1</v>
      </c>
      <c r="M93" s="12">
        <v>1</v>
      </c>
      <c r="N93">
        <v>20</v>
      </c>
      <c r="P93" s="9" t="s">
        <v>212</v>
      </c>
      <c r="Q93">
        <v>7</v>
      </c>
      <c r="S93">
        <v>1</v>
      </c>
      <c r="W93">
        <f t="shared" si="2"/>
        <v>176.95760435625351</v>
      </c>
      <c r="AD93" t="s">
        <v>331</v>
      </c>
      <c r="AE93" s="16" t="s">
        <v>186</v>
      </c>
      <c r="AF93" s="21">
        <v>5</v>
      </c>
      <c r="AG93" s="22">
        <v>353.91520315299374</v>
      </c>
    </row>
    <row r="94" spans="1:33">
      <c r="A94" s="6">
        <v>40048</v>
      </c>
      <c r="B94" s="6" t="s">
        <v>525</v>
      </c>
      <c r="C94" s="11" t="s">
        <v>525</v>
      </c>
      <c r="D94" s="33" t="s">
        <v>670</v>
      </c>
      <c r="E94" s="12" t="s">
        <v>688</v>
      </c>
      <c r="F94" s="33" t="s">
        <v>269</v>
      </c>
      <c r="G94" s="12">
        <v>1</v>
      </c>
      <c r="M94" s="12">
        <v>1</v>
      </c>
      <c r="N94">
        <v>20</v>
      </c>
      <c r="P94" s="9" t="s">
        <v>212</v>
      </c>
      <c r="Q94">
        <v>6</v>
      </c>
      <c r="S94">
        <v>1</v>
      </c>
      <c r="W94">
        <f t="shared" si="2"/>
        <v>151.67794738529062</v>
      </c>
      <c r="AD94" t="s">
        <v>331</v>
      </c>
      <c r="AE94" s="16" t="s">
        <v>186</v>
      </c>
      <c r="AF94" s="21">
        <v>1</v>
      </c>
      <c r="AG94" s="22">
        <v>0</v>
      </c>
    </row>
    <row r="95" spans="1:33">
      <c r="A95" s="6">
        <v>40048</v>
      </c>
      <c r="B95" s="6" t="s">
        <v>525</v>
      </c>
      <c r="C95" s="11" t="s">
        <v>525</v>
      </c>
      <c r="D95" s="33" t="s">
        <v>670</v>
      </c>
      <c r="E95" s="12" t="s">
        <v>688</v>
      </c>
      <c r="F95" s="33" t="s">
        <v>269</v>
      </c>
      <c r="G95" s="12">
        <v>1</v>
      </c>
      <c r="M95" s="12">
        <v>2</v>
      </c>
      <c r="N95">
        <v>17</v>
      </c>
      <c r="P95" s="9" t="s">
        <v>212</v>
      </c>
      <c r="Q95">
        <v>10</v>
      </c>
      <c r="S95">
        <v>1</v>
      </c>
      <c r="W95">
        <f t="shared" si="2"/>
        <v>252.79657526914218</v>
      </c>
      <c r="AD95" t="s">
        <v>331</v>
      </c>
      <c r="AE95" s="16" t="s">
        <v>186</v>
      </c>
      <c r="AF95" s="21">
        <v>6</v>
      </c>
      <c r="AG95" s="22">
        <v>0</v>
      </c>
    </row>
    <row r="96" spans="1:33">
      <c r="A96" s="6">
        <v>40048</v>
      </c>
      <c r="B96" s="6" t="s">
        <v>525</v>
      </c>
      <c r="C96" s="11" t="s">
        <v>525</v>
      </c>
      <c r="D96" s="33" t="s">
        <v>670</v>
      </c>
      <c r="E96" s="12" t="s">
        <v>688</v>
      </c>
      <c r="F96" s="33" t="s">
        <v>269</v>
      </c>
      <c r="G96" s="12">
        <v>1</v>
      </c>
      <c r="M96" s="12">
        <v>2</v>
      </c>
      <c r="N96">
        <v>17</v>
      </c>
      <c r="P96" s="9" t="s">
        <v>212</v>
      </c>
      <c r="Q96">
        <v>6</v>
      </c>
      <c r="S96">
        <v>1</v>
      </c>
      <c r="W96">
        <f t="shared" si="2"/>
        <v>151.67794738529062</v>
      </c>
      <c r="AD96" t="s">
        <v>331</v>
      </c>
      <c r="AE96" s="16" t="s">
        <v>186</v>
      </c>
      <c r="AF96" s="21">
        <v>7</v>
      </c>
      <c r="AG96" s="22">
        <v>0</v>
      </c>
    </row>
    <row r="97" spans="1:33">
      <c r="A97" s="6">
        <v>40048</v>
      </c>
      <c r="B97" s="6" t="s">
        <v>525</v>
      </c>
      <c r="C97" s="11" t="s">
        <v>525</v>
      </c>
      <c r="D97" s="33" t="s">
        <v>670</v>
      </c>
      <c r="E97" s="12" t="s">
        <v>688</v>
      </c>
      <c r="F97" s="33" t="s">
        <v>269</v>
      </c>
      <c r="G97" s="12">
        <v>1</v>
      </c>
      <c r="M97" s="12">
        <v>3</v>
      </c>
      <c r="N97">
        <v>19</v>
      </c>
      <c r="P97" s="9" t="s">
        <v>212</v>
      </c>
      <c r="Q97">
        <v>5</v>
      </c>
      <c r="S97">
        <v>1</v>
      </c>
      <c r="W97">
        <f t="shared" si="2"/>
        <v>126.3982904143277</v>
      </c>
      <c r="AD97" t="s">
        <v>331</v>
      </c>
      <c r="AE97" s="16" t="s">
        <v>186</v>
      </c>
      <c r="AF97" s="21">
        <v>8</v>
      </c>
      <c r="AG97" s="22">
        <v>0</v>
      </c>
    </row>
    <row r="98" spans="1:33">
      <c r="A98" s="6">
        <v>40048</v>
      </c>
      <c r="B98" s="6" t="s">
        <v>525</v>
      </c>
      <c r="C98" s="11" t="s">
        <v>525</v>
      </c>
      <c r="D98" s="33" t="s">
        <v>670</v>
      </c>
      <c r="E98" s="12" t="s">
        <v>688</v>
      </c>
      <c r="F98" s="33" t="s">
        <v>269</v>
      </c>
      <c r="G98" s="12">
        <v>1</v>
      </c>
      <c r="M98" s="12">
        <v>3</v>
      </c>
      <c r="N98">
        <v>19</v>
      </c>
      <c r="P98" s="9" t="s">
        <v>212</v>
      </c>
      <c r="Q98">
        <v>7</v>
      </c>
      <c r="R98" s="9" t="s">
        <v>327</v>
      </c>
      <c r="S98">
        <v>1</v>
      </c>
      <c r="W98">
        <f t="shared" si="2"/>
        <v>176.95760435625351</v>
      </c>
      <c r="AD98" t="s">
        <v>331</v>
      </c>
      <c r="AE98" s="16" t="s">
        <v>186</v>
      </c>
      <c r="AF98" s="21">
        <v>9</v>
      </c>
      <c r="AG98" s="22">
        <v>0</v>
      </c>
    </row>
    <row r="99" spans="1:33">
      <c r="A99" s="6">
        <v>40048</v>
      </c>
      <c r="B99" s="11" t="s">
        <v>505</v>
      </c>
      <c r="C99" s="11" t="s">
        <v>505</v>
      </c>
      <c r="D99" s="33" t="s">
        <v>670</v>
      </c>
      <c r="E99" s="12" t="s">
        <v>688</v>
      </c>
      <c r="F99" s="33" t="s">
        <v>269</v>
      </c>
      <c r="G99" s="12">
        <v>1</v>
      </c>
      <c r="M99" s="12">
        <v>4</v>
      </c>
      <c r="O99">
        <v>5</v>
      </c>
      <c r="P99" s="9" t="s">
        <v>212</v>
      </c>
      <c r="Q99">
        <v>4</v>
      </c>
      <c r="S99">
        <v>1</v>
      </c>
      <c r="W99">
        <f t="shared" si="2"/>
        <v>101.11863344336481</v>
      </c>
      <c r="AD99" t="s">
        <v>331</v>
      </c>
      <c r="AE99" s="16" t="s">
        <v>186</v>
      </c>
      <c r="AF99" s="21">
        <v>10</v>
      </c>
      <c r="AG99" s="22">
        <v>0</v>
      </c>
    </row>
    <row r="100" spans="1:33">
      <c r="A100" s="6">
        <v>40050</v>
      </c>
      <c r="B100" s="6" t="s">
        <v>127</v>
      </c>
      <c r="C100" s="11" t="s">
        <v>128</v>
      </c>
      <c r="D100" s="33" t="s">
        <v>670</v>
      </c>
      <c r="E100" s="33" t="s">
        <v>41</v>
      </c>
      <c r="F100" s="33" t="s">
        <v>696</v>
      </c>
      <c r="G100" s="12">
        <v>1</v>
      </c>
      <c r="M100" s="12">
        <v>1</v>
      </c>
      <c r="O100">
        <v>5.7</v>
      </c>
      <c r="P100" s="9" t="s">
        <v>212</v>
      </c>
      <c r="Q100">
        <v>7</v>
      </c>
      <c r="S100">
        <v>1</v>
      </c>
      <c r="W100">
        <f t="shared" si="2"/>
        <v>176.95760435625351</v>
      </c>
      <c r="AD100" t="s">
        <v>331</v>
      </c>
      <c r="AE100" s="16" t="s">
        <v>186</v>
      </c>
      <c r="AF100" s="21">
        <v>11</v>
      </c>
      <c r="AG100" s="22">
        <v>0</v>
      </c>
    </row>
    <row r="101" spans="1:33">
      <c r="A101" s="6">
        <v>40050</v>
      </c>
      <c r="B101" s="6" t="s">
        <v>127</v>
      </c>
      <c r="C101" s="11" t="s">
        <v>128</v>
      </c>
      <c r="D101" s="33" t="s">
        <v>670</v>
      </c>
      <c r="E101" s="33" t="s">
        <v>41</v>
      </c>
      <c r="F101" s="33" t="s">
        <v>696</v>
      </c>
      <c r="G101" s="12">
        <v>1</v>
      </c>
      <c r="M101" s="12">
        <v>1</v>
      </c>
      <c r="O101">
        <v>5.7</v>
      </c>
      <c r="P101" s="9" t="s">
        <v>212</v>
      </c>
      <c r="Q101">
        <v>3</v>
      </c>
      <c r="S101">
        <v>1</v>
      </c>
      <c r="W101">
        <f t="shared" si="2"/>
        <v>75.838976472401924</v>
      </c>
      <c r="AD101" t="s">
        <v>331</v>
      </c>
      <c r="AE101" s="16" t="s">
        <v>186</v>
      </c>
      <c r="AF101" s="21">
        <v>12</v>
      </c>
      <c r="AG101" s="22">
        <v>0</v>
      </c>
    </row>
    <row r="102" spans="1:33">
      <c r="A102" s="6">
        <v>40050</v>
      </c>
      <c r="B102" s="6" t="s">
        <v>127</v>
      </c>
      <c r="C102" s="11" t="s">
        <v>128</v>
      </c>
      <c r="D102" s="33" t="s">
        <v>670</v>
      </c>
      <c r="E102" s="33" t="s">
        <v>41</v>
      </c>
      <c r="F102" s="33" t="s">
        <v>696</v>
      </c>
      <c r="G102" s="12">
        <v>1</v>
      </c>
      <c r="M102" s="12">
        <v>2</v>
      </c>
      <c r="O102">
        <v>5.5</v>
      </c>
      <c r="P102" s="9" t="s">
        <v>212</v>
      </c>
      <c r="Q102" s="9">
        <v>3</v>
      </c>
      <c r="S102">
        <v>1</v>
      </c>
      <c r="W102">
        <f t="shared" si="2"/>
        <v>75.838976472401924</v>
      </c>
      <c r="AD102" t="s">
        <v>331</v>
      </c>
      <c r="AE102" s="16" t="s">
        <v>186</v>
      </c>
      <c r="AF102" s="21">
        <v>13</v>
      </c>
      <c r="AG102" s="22">
        <v>0</v>
      </c>
    </row>
    <row r="103" spans="1:33">
      <c r="A103" s="6">
        <v>40050</v>
      </c>
      <c r="B103" s="6" t="s">
        <v>127</v>
      </c>
      <c r="C103" s="11" t="s">
        <v>128</v>
      </c>
      <c r="D103" s="33" t="s">
        <v>670</v>
      </c>
      <c r="E103" s="33" t="s">
        <v>41</v>
      </c>
      <c r="F103" s="33" t="s">
        <v>696</v>
      </c>
      <c r="G103" s="12">
        <v>1</v>
      </c>
      <c r="M103" s="12">
        <v>2</v>
      </c>
      <c r="O103">
        <v>5.5</v>
      </c>
      <c r="P103" s="9" t="s">
        <v>212</v>
      </c>
      <c r="Q103" s="9">
        <v>3</v>
      </c>
      <c r="S103">
        <v>1</v>
      </c>
      <c r="W103">
        <f t="shared" si="2"/>
        <v>75.838976472401924</v>
      </c>
      <c r="AD103" t="s">
        <v>331</v>
      </c>
      <c r="AE103" s="16" t="s">
        <v>186</v>
      </c>
      <c r="AF103" s="21">
        <v>14</v>
      </c>
      <c r="AG103" s="22">
        <v>0</v>
      </c>
    </row>
    <row r="104" spans="1:33">
      <c r="A104" s="6">
        <v>40050</v>
      </c>
      <c r="B104" s="6" t="s">
        <v>127</v>
      </c>
      <c r="C104" s="11" t="s">
        <v>128</v>
      </c>
      <c r="D104" s="33" t="s">
        <v>670</v>
      </c>
      <c r="E104" s="33" t="s">
        <v>41</v>
      </c>
      <c r="F104" s="33" t="s">
        <v>696</v>
      </c>
      <c r="G104" s="12">
        <v>1</v>
      </c>
      <c r="M104" s="12">
        <v>2</v>
      </c>
      <c r="O104">
        <v>5.5</v>
      </c>
      <c r="P104" s="9" t="s">
        <v>212</v>
      </c>
      <c r="Q104" s="9">
        <v>3</v>
      </c>
      <c r="S104">
        <v>1</v>
      </c>
      <c r="W104">
        <f t="shared" si="2"/>
        <v>75.838976472401924</v>
      </c>
      <c r="AD104" t="s">
        <v>331</v>
      </c>
      <c r="AE104" s="16" t="s">
        <v>186</v>
      </c>
      <c r="AF104" s="21">
        <v>15</v>
      </c>
      <c r="AG104" s="22">
        <v>0</v>
      </c>
    </row>
    <row r="105" spans="1:33">
      <c r="A105" s="6">
        <v>40051</v>
      </c>
      <c r="B105" s="11" t="s">
        <v>525</v>
      </c>
      <c r="C105" s="11" t="s">
        <v>525</v>
      </c>
      <c r="D105" s="33" t="s">
        <v>670</v>
      </c>
      <c r="E105" s="33" t="s">
        <v>400</v>
      </c>
      <c r="F105" s="33" t="s">
        <v>511</v>
      </c>
      <c r="G105" s="12">
        <v>1</v>
      </c>
      <c r="M105" s="12">
        <v>2</v>
      </c>
      <c r="O105" s="9">
        <v>6.4</v>
      </c>
      <c r="P105" s="9" t="s">
        <v>212</v>
      </c>
      <c r="Q105">
        <v>4</v>
      </c>
      <c r="S105">
        <v>1</v>
      </c>
      <c r="W105">
        <f t="shared" si="2"/>
        <v>101.11863344336481</v>
      </c>
      <c r="AD105" t="s">
        <v>331</v>
      </c>
      <c r="AE105" s="16" t="s">
        <v>186</v>
      </c>
      <c r="AF105" s="21">
        <v>16</v>
      </c>
      <c r="AG105" s="22">
        <v>0</v>
      </c>
    </row>
    <row r="106" spans="1:33">
      <c r="A106" s="6">
        <v>40051</v>
      </c>
      <c r="B106" s="11" t="s">
        <v>525</v>
      </c>
      <c r="C106" s="11" t="s">
        <v>525</v>
      </c>
      <c r="D106" s="33" t="s">
        <v>670</v>
      </c>
      <c r="E106" s="33" t="s">
        <v>400</v>
      </c>
      <c r="F106" s="33" t="s">
        <v>511</v>
      </c>
      <c r="G106" s="12">
        <v>1</v>
      </c>
      <c r="M106" s="12">
        <v>2</v>
      </c>
      <c r="O106" s="9">
        <v>6.4</v>
      </c>
      <c r="P106" s="9" t="s">
        <v>212</v>
      </c>
      <c r="Q106">
        <v>4</v>
      </c>
      <c r="S106">
        <v>1</v>
      </c>
      <c r="W106">
        <f t="shared" si="2"/>
        <v>101.11863344336481</v>
      </c>
      <c r="AD106" t="s">
        <v>331</v>
      </c>
      <c r="AE106" s="16" t="s">
        <v>186</v>
      </c>
      <c r="AF106" s="21">
        <v>17</v>
      </c>
      <c r="AG106" s="22">
        <v>0</v>
      </c>
    </row>
    <row r="107" spans="1:33">
      <c r="A107" s="6">
        <v>40051</v>
      </c>
      <c r="B107" s="11" t="s">
        <v>525</v>
      </c>
      <c r="C107" s="11" t="s">
        <v>525</v>
      </c>
      <c r="D107" s="33" t="s">
        <v>670</v>
      </c>
      <c r="E107" s="33" t="s">
        <v>400</v>
      </c>
      <c r="F107" s="33" t="s">
        <v>511</v>
      </c>
      <c r="G107" s="12">
        <v>1</v>
      </c>
      <c r="M107" s="12">
        <v>2</v>
      </c>
      <c r="O107" s="9">
        <v>6.4</v>
      </c>
      <c r="P107" s="9" t="s">
        <v>212</v>
      </c>
      <c r="Q107">
        <v>6</v>
      </c>
      <c r="S107">
        <v>1</v>
      </c>
      <c r="W107">
        <f t="shared" si="2"/>
        <v>151.67794738529062</v>
      </c>
      <c r="AD107" t="s">
        <v>331</v>
      </c>
      <c r="AE107" s="16" t="s">
        <v>186</v>
      </c>
      <c r="AF107" s="21">
        <v>18</v>
      </c>
      <c r="AG107" s="22">
        <v>0</v>
      </c>
    </row>
    <row r="108" spans="1:33">
      <c r="A108" s="6">
        <v>40051</v>
      </c>
      <c r="B108" s="11" t="s">
        <v>525</v>
      </c>
      <c r="C108" s="11" t="s">
        <v>525</v>
      </c>
      <c r="D108" s="33" t="s">
        <v>670</v>
      </c>
      <c r="E108" s="33" t="s">
        <v>400</v>
      </c>
      <c r="F108" s="33" t="s">
        <v>511</v>
      </c>
      <c r="G108" s="12">
        <v>1</v>
      </c>
      <c r="M108" s="12">
        <v>2</v>
      </c>
      <c r="O108" s="9">
        <v>6.4</v>
      </c>
      <c r="P108" s="9" t="s">
        <v>212</v>
      </c>
      <c r="Q108">
        <v>4</v>
      </c>
      <c r="S108">
        <v>1</v>
      </c>
      <c r="W108">
        <f t="shared" si="2"/>
        <v>101.11863344336481</v>
      </c>
      <c r="AD108" t="s">
        <v>331</v>
      </c>
      <c r="AE108" s="16" t="s">
        <v>186</v>
      </c>
      <c r="AF108" s="21">
        <v>19</v>
      </c>
      <c r="AG108" s="22">
        <v>0</v>
      </c>
    </row>
    <row r="109" spans="1:33">
      <c r="A109" s="6">
        <v>40051</v>
      </c>
      <c r="B109" s="11" t="s">
        <v>402</v>
      </c>
      <c r="C109" s="11" t="s">
        <v>402</v>
      </c>
      <c r="D109" s="33" t="s">
        <v>670</v>
      </c>
      <c r="E109" s="33" t="s">
        <v>400</v>
      </c>
      <c r="F109" s="33" t="s">
        <v>511</v>
      </c>
      <c r="G109" s="12">
        <v>1</v>
      </c>
      <c r="M109" s="12">
        <v>1</v>
      </c>
      <c r="O109" s="9">
        <v>7</v>
      </c>
      <c r="P109" s="9" t="s">
        <v>212</v>
      </c>
      <c r="Q109">
        <v>6</v>
      </c>
      <c r="S109">
        <v>1</v>
      </c>
      <c r="W109">
        <f t="shared" si="2"/>
        <v>151.67794738529062</v>
      </c>
      <c r="AD109" t="s">
        <v>331</v>
      </c>
      <c r="AE109" s="16" t="s">
        <v>186</v>
      </c>
      <c r="AF109" s="21">
        <v>20</v>
      </c>
      <c r="AG109" s="22">
        <v>0</v>
      </c>
    </row>
    <row r="110" spans="1:33">
      <c r="A110" s="6">
        <v>40051</v>
      </c>
      <c r="B110" s="11" t="s">
        <v>525</v>
      </c>
      <c r="C110" s="11" t="s">
        <v>525</v>
      </c>
      <c r="D110" s="33" t="s">
        <v>670</v>
      </c>
      <c r="E110" s="33" t="s">
        <v>400</v>
      </c>
      <c r="F110" s="33" t="s">
        <v>511</v>
      </c>
      <c r="G110" s="12">
        <v>2</v>
      </c>
      <c r="M110" s="12">
        <v>5</v>
      </c>
      <c r="O110" s="9">
        <v>6.5</v>
      </c>
      <c r="P110" s="9" t="s">
        <v>212</v>
      </c>
      <c r="Q110">
        <v>6</v>
      </c>
      <c r="S110">
        <v>1</v>
      </c>
      <c r="W110">
        <f t="shared" si="2"/>
        <v>151.67794738529062</v>
      </c>
      <c r="AD110" t="s">
        <v>331</v>
      </c>
      <c r="AE110" s="16" t="s">
        <v>186</v>
      </c>
      <c r="AF110" s="21">
        <v>21</v>
      </c>
      <c r="AG110" s="22">
        <v>0</v>
      </c>
    </row>
    <row r="111" spans="1:33">
      <c r="AD111" t="s">
        <v>331</v>
      </c>
      <c r="AE111" s="16" t="s">
        <v>302</v>
      </c>
      <c r="AF111" s="16">
        <v>1</v>
      </c>
      <c r="AG111" s="19">
        <v>353.91520871250702</v>
      </c>
    </row>
    <row r="112" spans="1:33">
      <c r="AD112" t="s">
        <v>331</v>
      </c>
      <c r="AE112" s="16" t="s">
        <v>302</v>
      </c>
      <c r="AF112" s="21">
        <v>2</v>
      </c>
      <c r="AG112" s="22">
        <v>1238.7032082557216</v>
      </c>
    </row>
    <row r="113" spans="30:33">
      <c r="AD113" t="s">
        <v>331</v>
      </c>
      <c r="AE113" s="16" t="s">
        <v>302</v>
      </c>
      <c r="AF113" s="21">
        <v>3</v>
      </c>
      <c r="AG113" s="22">
        <v>227.51692385769252</v>
      </c>
    </row>
    <row r="114" spans="30:33">
      <c r="AD114" t="s">
        <v>331</v>
      </c>
      <c r="AE114" s="16" t="s">
        <v>302</v>
      </c>
      <c r="AF114" s="21">
        <v>4</v>
      </c>
      <c r="AG114" s="22">
        <v>227.51692385769252</v>
      </c>
    </row>
    <row r="115" spans="30:33">
      <c r="AD115" t="s">
        <v>331</v>
      </c>
      <c r="AE115" s="16" t="s">
        <v>302</v>
      </c>
      <c r="AF115" s="21">
        <v>5</v>
      </c>
      <c r="AG115" s="22">
        <v>303.35589477058124</v>
      </c>
    </row>
    <row r="116" spans="30:33">
      <c r="AD116" t="s">
        <v>331</v>
      </c>
      <c r="AE116" s="16" t="s">
        <v>302</v>
      </c>
      <c r="AF116" s="21">
        <v>6</v>
      </c>
      <c r="AG116" s="22">
        <v>0</v>
      </c>
    </row>
    <row r="117" spans="30:33">
      <c r="AD117" t="s">
        <v>331</v>
      </c>
      <c r="AE117" s="16" t="s">
        <v>302</v>
      </c>
      <c r="AF117" s="21">
        <v>7</v>
      </c>
      <c r="AG117" s="22">
        <v>0</v>
      </c>
    </row>
    <row r="118" spans="30:33">
      <c r="AD118" t="s">
        <v>331</v>
      </c>
      <c r="AE118" s="16" t="s">
        <v>302</v>
      </c>
      <c r="AF118" s="21">
        <v>8</v>
      </c>
      <c r="AG118" s="22">
        <v>0</v>
      </c>
    </row>
    <row r="119" spans="30:33">
      <c r="AD119" t="s">
        <v>331</v>
      </c>
      <c r="AE119" s="16" t="s">
        <v>302</v>
      </c>
      <c r="AF119" s="21">
        <v>9</v>
      </c>
      <c r="AG119" s="22">
        <v>0</v>
      </c>
    </row>
    <row r="120" spans="30:33">
      <c r="AD120" t="s">
        <v>331</v>
      </c>
      <c r="AE120" s="16" t="s">
        <v>302</v>
      </c>
      <c r="AF120" s="21">
        <v>10</v>
      </c>
      <c r="AG120" s="22">
        <v>0</v>
      </c>
    </row>
    <row r="121" spans="30:33">
      <c r="AD121" t="s">
        <v>331</v>
      </c>
      <c r="AE121" s="16" t="s">
        <v>302</v>
      </c>
      <c r="AF121" s="21">
        <v>11</v>
      </c>
      <c r="AG121" s="22">
        <v>0</v>
      </c>
    </row>
    <row r="122" spans="30:33">
      <c r="AD122" t="s">
        <v>331</v>
      </c>
      <c r="AE122" s="16" t="s">
        <v>302</v>
      </c>
      <c r="AF122" s="21">
        <v>12</v>
      </c>
      <c r="AG122" s="22">
        <v>0</v>
      </c>
    </row>
    <row r="123" spans="30:33">
      <c r="AD123" t="s">
        <v>331</v>
      </c>
      <c r="AE123" s="16" t="s">
        <v>302</v>
      </c>
      <c r="AF123" s="21">
        <v>13</v>
      </c>
      <c r="AG123" s="22">
        <v>0</v>
      </c>
    </row>
    <row r="124" spans="30:33">
      <c r="AD124" t="s">
        <v>331</v>
      </c>
      <c r="AE124" s="16" t="s">
        <v>302</v>
      </c>
      <c r="AF124" s="21">
        <v>14</v>
      </c>
      <c r="AG124" s="22">
        <v>0</v>
      </c>
    </row>
    <row r="125" spans="30:33">
      <c r="AD125" t="s">
        <v>331</v>
      </c>
      <c r="AE125" s="16" t="s">
        <v>302</v>
      </c>
      <c r="AF125" s="21">
        <v>15</v>
      </c>
      <c r="AG125" s="22">
        <v>0</v>
      </c>
    </row>
    <row r="126" spans="30:33">
      <c r="AD126" t="s">
        <v>331</v>
      </c>
      <c r="AE126" s="16" t="s">
        <v>302</v>
      </c>
      <c r="AF126" s="21">
        <v>16</v>
      </c>
      <c r="AG126" s="22">
        <v>0</v>
      </c>
    </row>
    <row r="127" spans="30:33">
      <c r="AD127" t="s">
        <v>331</v>
      </c>
      <c r="AE127" s="16" t="s">
        <v>302</v>
      </c>
      <c r="AF127" s="21">
        <v>17</v>
      </c>
      <c r="AG127" s="22">
        <v>0</v>
      </c>
    </row>
    <row r="128" spans="30:33">
      <c r="AD128" t="s">
        <v>331</v>
      </c>
      <c r="AE128" s="16" t="s">
        <v>302</v>
      </c>
      <c r="AF128" s="21">
        <v>18</v>
      </c>
      <c r="AG128" s="22">
        <v>0</v>
      </c>
    </row>
    <row r="129" spans="30:33">
      <c r="AD129" t="s">
        <v>331</v>
      </c>
      <c r="AE129" s="16" t="s">
        <v>302</v>
      </c>
      <c r="AF129" s="21">
        <v>19</v>
      </c>
      <c r="AG129" s="22">
        <v>0</v>
      </c>
    </row>
    <row r="130" spans="30:33">
      <c r="AD130" t="s">
        <v>331</v>
      </c>
      <c r="AE130" s="16" t="s">
        <v>302</v>
      </c>
      <c r="AF130" s="21">
        <v>20</v>
      </c>
      <c r="AG130" s="22">
        <v>0</v>
      </c>
    </row>
    <row r="131" spans="30:33">
      <c r="AD131" t="s">
        <v>331</v>
      </c>
      <c r="AE131" s="16" t="s">
        <v>302</v>
      </c>
      <c r="AF131" s="21">
        <v>21</v>
      </c>
      <c r="AG131" s="22">
        <v>0</v>
      </c>
    </row>
    <row r="132" spans="30:33">
      <c r="AD132" t="s">
        <v>807</v>
      </c>
      <c r="AE132" s="16" t="s">
        <v>400</v>
      </c>
      <c r="AF132" s="16">
        <v>1</v>
      </c>
      <c r="AG132" s="19">
        <v>151.67794738529062</v>
      </c>
    </row>
    <row r="133" spans="30:33">
      <c r="AD133" t="s">
        <v>807</v>
      </c>
      <c r="AE133" s="16" t="s">
        <v>400</v>
      </c>
      <c r="AF133" s="21">
        <v>2</v>
      </c>
      <c r="AG133" s="22">
        <v>631.99145207163861</v>
      </c>
    </row>
    <row r="134" spans="30:33">
      <c r="AD134" t="s">
        <v>807</v>
      </c>
      <c r="AE134" s="16" t="s">
        <v>400</v>
      </c>
      <c r="AF134" s="21">
        <v>3</v>
      </c>
      <c r="AG134" s="22">
        <v>227.51691829817929</v>
      </c>
    </row>
    <row r="135" spans="30:33">
      <c r="AD135" t="s">
        <v>807</v>
      </c>
      <c r="AE135" s="16" t="s">
        <v>400</v>
      </c>
      <c r="AF135" s="21">
        <v>4</v>
      </c>
      <c r="AG135" s="22">
        <v>75.838976472401924</v>
      </c>
    </row>
    <row r="136" spans="30:33">
      <c r="AD136" t="s">
        <v>807</v>
      </c>
      <c r="AE136" s="16" t="s">
        <v>400</v>
      </c>
      <c r="AF136" s="21">
        <v>5</v>
      </c>
      <c r="AG136" s="22">
        <v>834.22869672031527</v>
      </c>
    </row>
    <row r="137" spans="30:33">
      <c r="AD137" t="s">
        <v>807</v>
      </c>
      <c r="AE137" s="16" t="s">
        <v>400</v>
      </c>
      <c r="AF137" s="21">
        <v>6</v>
      </c>
      <c r="AG137" s="22">
        <v>0</v>
      </c>
    </row>
    <row r="138" spans="30:33">
      <c r="AD138" t="s">
        <v>807</v>
      </c>
      <c r="AE138" s="16" t="s">
        <v>400</v>
      </c>
      <c r="AF138" s="21">
        <v>7</v>
      </c>
      <c r="AG138" s="22">
        <v>0</v>
      </c>
    </row>
    <row r="139" spans="30:33">
      <c r="AD139" t="s">
        <v>807</v>
      </c>
      <c r="AE139" s="16" t="s">
        <v>400</v>
      </c>
      <c r="AF139" s="21">
        <v>8</v>
      </c>
      <c r="AG139" s="22">
        <v>0</v>
      </c>
    </row>
    <row r="140" spans="30:33">
      <c r="AD140" t="s">
        <v>807</v>
      </c>
      <c r="AE140" s="16" t="s">
        <v>400</v>
      </c>
      <c r="AF140" s="21">
        <v>9</v>
      </c>
      <c r="AG140" s="22">
        <v>0</v>
      </c>
    </row>
    <row r="141" spans="30:33">
      <c r="AD141" t="s">
        <v>807</v>
      </c>
      <c r="AE141" s="16" t="s">
        <v>400</v>
      </c>
      <c r="AF141" s="21">
        <v>10</v>
      </c>
      <c r="AG141" s="22">
        <v>0</v>
      </c>
    </row>
    <row r="142" spans="30:33">
      <c r="AD142" t="s">
        <v>807</v>
      </c>
      <c r="AE142" s="16" t="s">
        <v>400</v>
      </c>
      <c r="AF142" s="21">
        <v>11</v>
      </c>
      <c r="AG142" s="22">
        <v>0</v>
      </c>
    </row>
    <row r="143" spans="30:33">
      <c r="AD143" t="s">
        <v>807</v>
      </c>
      <c r="AE143" s="16" t="s">
        <v>400</v>
      </c>
      <c r="AF143" s="21">
        <v>12</v>
      </c>
      <c r="AG143" s="22">
        <v>0</v>
      </c>
    </row>
    <row r="144" spans="30:33">
      <c r="AD144" t="s">
        <v>807</v>
      </c>
      <c r="AE144" s="16" t="s">
        <v>400</v>
      </c>
      <c r="AF144" s="21">
        <v>13</v>
      </c>
      <c r="AG144" s="22">
        <v>0</v>
      </c>
    </row>
    <row r="145" spans="30:33">
      <c r="AD145" t="s">
        <v>807</v>
      </c>
      <c r="AE145" s="16" t="s">
        <v>400</v>
      </c>
      <c r="AF145" s="21">
        <v>14</v>
      </c>
      <c r="AG145" s="22">
        <v>0</v>
      </c>
    </row>
    <row r="146" spans="30:33">
      <c r="AD146" t="s">
        <v>807</v>
      </c>
      <c r="AE146" s="16" t="s">
        <v>400</v>
      </c>
      <c r="AF146" s="21">
        <v>15</v>
      </c>
      <c r="AG146" s="22">
        <v>0</v>
      </c>
    </row>
    <row r="147" spans="30:33">
      <c r="AD147" t="s">
        <v>807</v>
      </c>
      <c r="AE147" s="16" t="s">
        <v>400</v>
      </c>
      <c r="AF147" s="21">
        <v>16</v>
      </c>
      <c r="AG147" s="22">
        <v>0</v>
      </c>
    </row>
    <row r="148" spans="30:33">
      <c r="AD148" t="s">
        <v>807</v>
      </c>
      <c r="AE148" s="16" t="s">
        <v>400</v>
      </c>
      <c r="AF148" s="21">
        <v>17</v>
      </c>
      <c r="AG148" s="22">
        <v>0</v>
      </c>
    </row>
    <row r="149" spans="30:33">
      <c r="AD149" t="s">
        <v>807</v>
      </c>
      <c r="AE149" s="16" t="s">
        <v>400</v>
      </c>
      <c r="AF149" s="21">
        <v>18</v>
      </c>
      <c r="AG149" s="22">
        <v>0</v>
      </c>
    </row>
    <row r="150" spans="30:33">
      <c r="AD150" t="s">
        <v>807</v>
      </c>
      <c r="AE150" s="16" t="s">
        <v>400</v>
      </c>
      <c r="AF150" s="21">
        <v>19</v>
      </c>
      <c r="AG150" s="22">
        <v>0</v>
      </c>
    </row>
    <row r="151" spans="30:33">
      <c r="AD151" t="s">
        <v>807</v>
      </c>
      <c r="AE151" s="16" t="s">
        <v>400</v>
      </c>
      <c r="AF151" s="21">
        <v>20</v>
      </c>
      <c r="AG151" s="22">
        <v>0</v>
      </c>
    </row>
    <row r="152" spans="30:33">
      <c r="AD152" t="s">
        <v>807</v>
      </c>
      <c r="AE152" s="16" t="s">
        <v>41</v>
      </c>
      <c r="AF152" s="16">
        <v>1</v>
      </c>
      <c r="AG152" s="19">
        <v>252.79658082865544</v>
      </c>
    </row>
    <row r="153" spans="30:33">
      <c r="AD153" t="s">
        <v>807</v>
      </c>
      <c r="AE153" s="16" t="s">
        <v>41</v>
      </c>
      <c r="AF153" s="21">
        <v>2</v>
      </c>
      <c r="AG153" s="22">
        <v>379.19487680249642</v>
      </c>
    </row>
    <row r="154" spans="30:33">
      <c r="AD154" t="s">
        <v>807</v>
      </c>
      <c r="AE154" s="16" t="s">
        <v>41</v>
      </c>
      <c r="AF154" s="21">
        <v>3</v>
      </c>
      <c r="AG154" s="22">
        <v>429.75419074442209</v>
      </c>
    </row>
    <row r="155" spans="30:33">
      <c r="AD155" t="s">
        <v>807</v>
      </c>
      <c r="AE155" s="16" t="s">
        <v>41</v>
      </c>
      <c r="AF155" s="21">
        <v>5</v>
      </c>
      <c r="AG155" s="22">
        <v>151.67794738529062</v>
      </c>
    </row>
    <row r="156" spans="30:33">
      <c r="AD156" t="s">
        <v>807</v>
      </c>
      <c r="AE156" s="16" t="s">
        <v>41</v>
      </c>
      <c r="AF156" s="21">
        <v>4</v>
      </c>
      <c r="AG156" s="22">
        <v>0</v>
      </c>
    </row>
    <row r="157" spans="30:33">
      <c r="AD157" t="s">
        <v>807</v>
      </c>
      <c r="AE157" s="16" t="s">
        <v>41</v>
      </c>
      <c r="AF157" s="21">
        <v>6</v>
      </c>
      <c r="AG157" s="22">
        <v>0</v>
      </c>
    </row>
    <row r="158" spans="30:33">
      <c r="AD158" t="s">
        <v>807</v>
      </c>
      <c r="AE158" s="16" t="s">
        <v>41</v>
      </c>
      <c r="AF158" s="21">
        <v>7</v>
      </c>
      <c r="AG158" s="22">
        <v>0</v>
      </c>
    </row>
    <row r="159" spans="30:33">
      <c r="AD159" t="s">
        <v>807</v>
      </c>
      <c r="AE159" s="16" t="s">
        <v>41</v>
      </c>
      <c r="AF159" s="21">
        <v>8</v>
      </c>
      <c r="AG159" s="22">
        <v>0</v>
      </c>
    </row>
    <row r="160" spans="30:33">
      <c r="AD160" t="s">
        <v>807</v>
      </c>
      <c r="AE160" s="16" t="s">
        <v>41</v>
      </c>
      <c r="AF160" s="21">
        <v>9</v>
      </c>
      <c r="AG160" s="22">
        <v>0</v>
      </c>
    </row>
    <row r="161" spans="30:33">
      <c r="AD161" t="s">
        <v>807</v>
      </c>
      <c r="AE161" s="16" t="s">
        <v>41</v>
      </c>
      <c r="AF161" s="21">
        <v>10</v>
      </c>
      <c r="AG161" s="22">
        <v>0</v>
      </c>
    </row>
    <row r="162" spans="30:33">
      <c r="AD162" t="s">
        <v>807</v>
      </c>
      <c r="AE162" s="16" t="s">
        <v>41</v>
      </c>
      <c r="AF162" s="21">
        <v>11</v>
      </c>
      <c r="AG162" s="22">
        <v>0</v>
      </c>
    </row>
    <row r="163" spans="30:33">
      <c r="AD163" t="s">
        <v>807</v>
      </c>
      <c r="AE163" s="16" t="s">
        <v>41</v>
      </c>
      <c r="AF163" s="21">
        <v>12</v>
      </c>
      <c r="AG163" s="22">
        <v>0</v>
      </c>
    </row>
    <row r="164" spans="30:33">
      <c r="AD164" t="s">
        <v>807</v>
      </c>
      <c r="AE164" s="16" t="s">
        <v>41</v>
      </c>
      <c r="AF164" s="21">
        <v>13</v>
      </c>
      <c r="AG164" s="22">
        <v>0</v>
      </c>
    </row>
    <row r="165" spans="30:33">
      <c r="AD165" t="s">
        <v>807</v>
      </c>
      <c r="AE165" s="16" t="s">
        <v>41</v>
      </c>
      <c r="AF165" s="21">
        <v>14</v>
      </c>
      <c r="AG165" s="22">
        <v>0</v>
      </c>
    </row>
    <row r="166" spans="30:33">
      <c r="AD166" t="s">
        <v>807</v>
      </c>
      <c r="AE166" s="16" t="s">
        <v>41</v>
      </c>
      <c r="AF166" s="21">
        <v>15</v>
      </c>
      <c r="AG166" s="22">
        <v>0</v>
      </c>
    </row>
    <row r="167" spans="30:33">
      <c r="AD167" t="s">
        <v>807</v>
      </c>
      <c r="AE167" s="16" t="s">
        <v>41</v>
      </c>
      <c r="AF167" s="21">
        <v>16</v>
      </c>
      <c r="AG167" s="22">
        <v>0</v>
      </c>
    </row>
    <row r="168" spans="30:33">
      <c r="AD168" t="s">
        <v>807</v>
      </c>
      <c r="AE168" s="16" t="s">
        <v>41</v>
      </c>
      <c r="AF168" s="21">
        <v>17</v>
      </c>
      <c r="AG168" s="22">
        <v>0</v>
      </c>
    </row>
    <row r="169" spans="30:33">
      <c r="AD169" t="s">
        <v>807</v>
      </c>
      <c r="AE169" s="16" t="s">
        <v>41</v>
      </c>
      <c r="AF169" s="21">
        <v>18</v>
      </c>
      <c r="AG169" s="22">
        <v>0</v>
      </c>
    </row>
    <row r="170" spans="30:33">
      <c r="AD170" t="s">
        <v>807</v>
      </c>
      <c r="AE170" s="16" t="s">
        <v>41</v>
      </c>
      <c r="AF170" s="21">
        <v>19</v>
      </c>
      <c r="AG170" s="22">
        <v>0</v>
      </c>
    </row>
    <row r="171" spans="30:33">
      <c r="AD171" t="s">
        <v>807</v>
      </c>
      <c r="AE171" s="16" t="s">
        <v>41</v>
      </c>
      <c r="AF171" s="21">
        <v>20</v>
      </c>
      <c r="AG171" s="22">
        <v>0</v>
      </c>
    </row>
    <row r="172" spans="30:33">
      <c r="AD172" t="s">
        <v>807</v>
      </c>
      <c r="AE172" s="16" t="s">
        <v>688</v>
      </c>
      <c r="AF172" s="16">
        <v>1</v>
      </c>
      <c r="AG172" s="19">
        <v>1643.1777531482076</v>
      </c>
    </row>
    <row r="173" spans="30:33">
      <c r="AD173" t="s">
        <v>807</v>
      </c>
      <c r="AE173" s="16" t="s">
        <v>688</v>
      </c>
      <c r="AF173" s="21">
        <v>2</v>
      </c>
      <c r="AG173" s="22">
        <v>1946.5336701568417</v>
      </c>
    </row>
    <row r="174" spans="30:33">
      <c r="AD174" t="s">
        <v>807</v>
      </c>
      <c r="AE174" s="16" t="s">
        <v>688</v>
      </c>
      <c r="AF174" s="21">
        <v>3</v>
      </c>
      <c r="AG174" s="22">
        <v>1617.8981072962713</v>
      </c>
    </row>
    <row r="175" spans="30:33">
      <c r="AD175" t="s">
        <v>807</v>
      </c>
      <c r="AE175" s="16" t="s">
        <v>688</v>
      </c>
      <c r="AF175" s="21">
        <v>4</v>
      </c>
      <c r="AG175" s="22">
        <v>101.11863344336481</v>
      </c>
    </row>
    <row r="176" spans="30:33">
      <c r="AD176" t="s">
        <v>807</v>
      </c>
      <c r="AE176" s="16" t="s">
        <v>688</v>
      </c>
      <c r="AF176" s="21">
        <v>5</v>
      </c>
      <c r="AG176" s="25">
        <v>0</v>
      </c>
    </row>
    <row r="177" spans="30:33">
      <c r="AD177" t="s">
        <v>807</v>
      </c>
      <c r="AE177" s="16" t="s">
        <v>688</v>
      </c>
      <c r="AF177" s="21">
        <v>6</v>
      </c>
      <c r="AG177" s="25">
        <v>0</v>
      </c>
    </row>
    <row r="178" spans="30:33">
      <c r="AD178" t="s">
        <v>807</v>
      </c>
      <c r="AE178" s="16" t="s">
        <v>688</v>
      </c>
      <c r="AF178" s="21">
        <v>7</v>
      </c>
      <c r="AG178" s="25">
        <v>0</v>
      </c>
    </row>
    <row r="179" spans="30:33">
      <c r="AD179" t="s">
        <v>807</v>
      </c>
      <c r="AE179" s="16" t="s">
        <v>688</v>
      </c>
      <c r="AF179" s="21">
        <v>8</v>
      </c>
      <c r="AG179" s="25">
        <v>0</v>
      </c>
    </row>
    <row r="180" spans="30:33">
      <c r="AD180" t="s">
        <v>807</v>
      </c>
      <c r="AE180" s="16" t="s">
        <v>688</v>
      </c>
      <c r="AF180" s="21">
        <v>9</v>
      </c>
      <c r="AG180" s="25">
        <v>0</v>
      </c>
    </row>
    <row r="181" spans="30:33">
      <c r="AD181" t="s">
        <v>807</v>
      </c>
      <c r="AE181" s="16" t="s">
        <v>688</v>
      </c>
      <c r="AF181" s="21">
        <v>10</v>
      </c>
      <c r="AG181" s="25">
        <v>0</v>
      </c>
    </row>
    <row r="182" spans="30:33">
      <c r="AD182" t="s">
        <v>807</v>
      </c>
      <c r="AE182" s="16" t="s">
        <v>688</v>
      </c>
      <c r="AF182" s="21">
        <v>11</v>
      </c>
      <c r="AG182" s="25">
        <v>0</v>
      </c>
    </row>
    <row r="183" spans="30:33">
      <c r="AD183" t="s">
        <v>807</v>
      </c>
      <c r="AE183" s="16" t="s">
        <v>688</v>
      </c>
      <c r="AF183" s="21">
        <v>12</v>
      </c>
      <c r="AG183" s="25">
        <v>0</v>
      </c>
    </row>
    <row r="184" spans="30:33">
      <c r="AD184" t="s">
        <v>807</v>
      </c>
      <c r="AE184" s="16" t="s">
        <v>688</v>
      </c>
      <c r="AF184" s="21">
        <v>13</v>
      </c>
      <c r="AG184" s="25">
        <v>0</v>
      </c>
    </row>
    <row r="185" spans="30:33">
      <c r="AD185" t="s">
        <v>807</v>
      </c>
      <c r="AE185" s="16" t="s">
        <v>688</v>
      </c>
      <c r="AF185" s="21">
        <v>14</v>
      </c>
      <c r="AG185" s="25">
        <v>0</v>
      </c>
    </row>
    <row r="186" spans="30:33">
      <c r="AD186" t="s">
        <v>807</v>
      </c>
      <c r="AE186" s="16" t="s">
        <v>688</v>
      </c>
      <c r="AF186" s="21">
        <v>15</v>
      </c>
      <c r="AG186" s="25">
        <v>0</v>
      </c>
    </row>
    <row r="187" spans="30:33">
      <c r="AD187" t="s">
        <v>807</v>
      </c>
      <c r="AE187" s="16" t="s">
        <v>688</v>
      </c>
      <c r="AF187" s="21">
        <v>16</v>
      </c>
      <c r="AG187" s="25">
        <v>0</v>
      </c>
    </row>
    <row r="188" spans="30:33">
      <c r="AD188" t="s">
        <v>807</v>
      </c>
      <c r="AE188" s="16" t="s">
        <v>688</v>
      </c>
      <c r="AF188" s="21">
        <v>17</v>
      </c>
      <c r="AG188" s="25">
        <v>0</v>
      </c>
    </row>
    <row r="189" spans="30:33">
      <c r="AD189" t="s">
        <v>807</v>
      </c>
      <c r="AE189" s="16" t="s">
        <v>688</v>
      </c>
      <c r="AF189" s="21">
        <v>18</v>
      </c>
      <c r="AG189" s="25">
        <v>0</v>
      </c>
    </row>
    <row r="190" spans="30:33">
      <c r="AD190" t="s">
        <v>807</v>
      </c>
      <c r="AE190" s="16" t="s">
        <v>688</v>
      </c>
      <c r="AF190" s="21">
        <v>19</v>
      </c>
      <c r="AG190" s="25">
        <v>0</v>
      </c>
    </row>
    <row r="191" spans="30:33">
      <c r="AD191" t="s">
        <v>807</v>
      </c>
      <c r="AE191" s="16" t="s">
        <v>688</v>
      </c>
      <c r="AF191" s="21">
        <v>20</v>
      </c>
      <c r="AG191" s="25">
        <v>0</v>
      </c>
    </row>
    <row r="200" spans="31:33">
      <c r="AE200" s="12"/>
      <c r="AF200" s="12"/>
      <c r="AG200" s="12"/>
    </row>
    <row r="213" spans="31:33">
      <c r="AE213" s="12"/>
      <c r="AF213" s="12"/>
      <c r="AG213" s="12"/>
    </row>
  </sheetData>
  <phoneticPr fontId="3" type="noConversion"/>
  <pageMargins left="0.75" right="0.75" top="1" bottom="1" header="0.5" footer="0.5"/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3"/>
  <sheetViews>
    <sheetView workbookViewId="0">
      <selection activeCell="G6" sqref="G6"/>
    </sheetView>
  </sheetViews>
  <sheetFormatPr baseColWidth="10" defaultColWidth="8.83203125" defaultRowHeight="12"/>
  <cols>
    <col min="1" max="1" width="33.83203125" customWidth="1"/>
    <col min="2" max="2" width="21.83203125" customWidth="1"/>
    <col min="3" max="3" width="25" customWidth="1"/>
    <col min="5" max="5" width="12.1640625" bestFit="1" customWidth="1"/>
  </cols>
  <sheetData>
    <row r="1" spans="1:9">
      <c r="A1" s="13" t="s">
        <v>313</v>
      </c>
    </row>
    <row r="2" spans="1:9">
      <c r="A2" s="14" t="s">
        <v>314</v>
      </c>
      <c r="B2" s="14" t="s">
        <v>315</v>
      </c>
      <c r="C2" s="14" t="s">
        <v>316</v>
      </c>
      <c r="D2" s="15"/>
      <c r="E2" s="14" t="s">
        <v>317</v>
      </c>
      <c r="F2" s="14" t="s">
        <v>318</v>
      </c>
      <c r="G2" s="14" t="s">
        <v>319</v>
      </c>
      <c r="H2" s="14" t="s">
        <v>320</v>
      </c>
      <c r="I2" s="36" t="s">
        <v>288</v>
      </c>
    </row>
    <row r="3" spans="1:9">
      <c r="A3" t="s">
        <v>45</v>
      </c>
      <c r="B3" t="s">
        <v>321</v>
      </c>
      <c r="C3" t="s">
        <v>45</v>
      </c>
      <c r="E3">
        <v>8.9999999999999993E-3</v>
      </c>
      <c r="F3">
        <v>3.06</v>
      </c>
      <c r="G3" t="s">
        <v>286</v>
      </c>
      <c r="H3" t="s">
        <v>180</v>
      </c>
      <c r="I3" t="s">
        <v>181</v>
      </c>
    </row>
    <row r="4" spans="1:9">
      <c r="A4" s="9" t="s">
        <v>485</v>
      </c>
      <c r="B4" t="s">
        <v>125</v>
      </c>
      <c r="C4" t="s">
        <v>126</v>
      </c>
      <c r="E4">
        <v>8.6999999999999994E-3</v>
      </c>
      <c r="F4">
        <v>2.98</v>
      </c>
      <c r="G4" t="s">
        <v>182</v>
      </c>
      <c r="H4" t="s">
        <v>183</v>
      </c>
      <c r="I4" t="s">
        <v>184</v>
      </c>
    </row>
    <row r="5" spans="1:9">
      <c r="A5" t="s">
        <v>9</v>
      </c>
      <c r="B5" t="s">
        <v>10</v>
      </c>
      <c r="C5" t="s">
        <v>11</v>
      </c>
      <c r="E5">
        <v>9.7739999999999999E-6</v>
      </c>
      <c r="F5">
        <v>3.09</v>
      </c>
      <c r="G5" t="s">
        <v>286</v>
      </c>
      <c r="H5" t="s">
        <v>25</v>
      </c>
      <c r="I5" t="s">
        <v>24</v>
      </c>
    </row>
    <row r="6" spans="1:9">
      <c r="A6" t="s">
        <v>211</v>
      </c>
      <c r="B6" t="s">
        <v>131</v>
      </c>
      <c r="C6" t="s">
        <v>132</v>
      </c>
      <c r="E6">
        <v>2.1100000000000001E-2</v>
      </c>
      <c r="F6">
        <v>3</v>
      </c>
      <c r="G6" t="s">
        <v>133</v>
      </c>
      <c r="H6" t="s">
        <v>134</v>
      </c>
      <c r="I6" t="s">
        <v>289</v>
      </c>
    </row>
    <row r="7" spans="1:9">
      <c r="A7" t="s">
        <v>135</v>
      </c>
      <c r="B7" t="s">
        <v>135</v>
      </c>
      <c r="C7" t="s">
        <v>543</v>
      </c>
      <c r="E7" s="35">
        <v>5.4979999999999997E-6</v>
      </c>
      <c r="F7">
        <v>3.1850000000000001</v>
      </c>
      <c r="G7" t="s">
        <v>26</v>
      </c>
      <c r="H7" t="s">
        <v>25</v>
      </c>
      <c r="I7" t="s">
        <v>0</v>
      </c>
    </row>
    <row r="8" spans="1:9">
      <c r="A8" t="s">
        <v>448</v>
      </c>
      <c r="B8" t="s">
        <v>448</v>
      </c>
      <c r="C8" t="s">
        <v>544</v>
      </c>
      <c r="E8" s="35">
        <v>5.4979999999999997E-6</v>
      </c>
      <c r="F8">
        <v>3.1850000000000001</v>
      </c>
      <c r="G8" t="s">
        <v>26</v>
      </c>
      <c r="H8" t="s">
        <v>25</v>
      </c>
      <c r="I8" t="s">
        <v>24</v>
      </c>
    </row>
    <row r="9" spans="1:9">
      <c r="A9" t="s">
        <v>457</v>
      </c>
      <c r="B9" t="s">
        <v>428</v>
      </c>
      <c r="C9" t="s">
        <v>221</v>
      </c>
      <c r="E9">
        <v>7.79E-6</v>
      </c>
      <c r="F9">
        <v>3.18</v>
      </c>
      <c r="G9" t="s">
        <v>286</v>
      </c>
      <c r="H9" t="s">
        <v>287</v>
      </c>
      <c r="I9" t="s">
        <v>24</v>
      </c>
    </row>
    <row r="10" spans="1:9">
      <c r="A10" s="9" t="s">
        <v>119</v>
      </c>
      <c r="B10" s="9" t="s">
        <v>119</v>
      </c>
      <c r="C10" t="s">
        <v>222</v>
      </c>
      <c r="E10">
        <v>4.3E-3</v>
      </c>
      <c r="F10">
        <v>3.0179999999999998</v>
      </c>
      <c r="G10" t="s">
        <v>1</v>
      </c>
      <c r="H10" t="s">
        <v>776</v>
      </c>
      <c r="I10" t="s">
        <v>53</v>
      </c>
    </row>
    <row r="11" spans="1:9">
      <c r="A11" t="s">
        <v>38</v>
      </c>
      <c r="B11" t="s">
        <v>223</v>
      </c>
      <c r="C11" t="s">
        <v>224</v>
      </c>
      <c r="E11">
        <v>1.7500000000000002E-2</v>
      </c>
      <c r="F11">
        <v>3</v>
      </c>
      <c r="G11" t="s">
        <v>775</v>
      </c>
      <c r="H11" t="s">
        <v>776</v>
      </c>
    </row>
    <row r="12" spans="1:9">
      <c r="A12" s="12" t="s">
        <v>433</v>
      </c>
      <c r="B12" t="s">
        <v>434</v>
      </c>
      <c r="C12" s="12" t="s">
        <v>433</v>
      </c>
      <c r="E12">
        <v>4.3E-3</v>
      </c>
      <c r="F12">
        <v>3.0179999999999998</v>
      </c>
      <c r="G12" t="s">
        <v>1</v>
      </c>
      <c r="H12" t="s">
        <v>776</v>
      </c>
      <c r="I12" t="s">
        <v>53</v>
      </c>
    </row>
    <row r="13" spans="1:9">
      <c r="A13" t="s">
        <v>435</v>
      </c>
      <c r="B13" t="s">
        <v>436</v>
      </c>
      <c r="E13">
        <v>8.6999999999999994E-3</v>
      </c>
      <c r="F13">
        <v>2.98</v>
      </c>
      <c r="G13" t="s">
        <v>182</v>
      </c>
      <c r="H13" t="s">
        <v>183</v>
      </c>
      <c r="I13" t="s">
        <v>184</v>
      </c>
    </row>
    <row r="14" spans="1:9">
      <c r="A14" t="s">
        <v>281</v>
      </c>
      <c r="B14" t="s">
        <v>281</v>
      </c>
      <c r="C14" t="s">
        <v>645</v>
      </c>
      <c r="E14">
        <v>1.5599999999999999E-2</v>
      </c>
      <c r="F14">
        <v>3</v>
      </c>
      <c r="G14" t="s">
        <v>133</v>
      </c>
      <c r="H14" t="s">
        <v>134</v>
      </c>
    </row>
    <row r="15" spans="1:9">
      <c r="A15" t="s">
        <v>284</v>
      </c>
      <c r="B15" t="s">
        <v>284</v>
      </c>
      <c r="C15" t="s">
        <v>646</v>
      </c>
      <c r="E15">
        <v>8.9999999999999993E-3</v>
      </c>
      <c r="F15">
        <v>3.06</v>
      </c>
      <c r="G15" t="s">
        <v>182</v>
      </c>
      <c r="H15" t="s">
        <v>183</v>
      </c>
      <c r="I15" t="s">
        <v>2</v>
      </c>
    </row>
    <row r="16" spans="1:9">
      <c r="A16" t="s">
        <v>647</v>
      </c>
      <c r="B16" t="s">
        <v>212</v>
      </c>
      <c r="E16">
        <v>8.9999999999999993E-3</v>
      </c>
      <c r="F16">
        <v>3.06</v>
      </c>
      <c r="G16" t="s">
        <v>182</v>
      </c>
      <c r="H16" t="s">
        <v>183</v>
      </c>
      <c r="I16" t="s">
        <v>2</v>
      </c>
    </row>
    <row r="17" spans="1:9">
      <c r="A17" t="s">
        <v>648</v>
      </c>
      <c r="B17" t="s">
        <v>649</v>
      </c>
      <c r="E17">
        <v>4.3E-3</v>
      </c>
      <c r="F17">
        <v>3.0179999999999998</v>
      </c>
      <c r="G17" t="s">
        <v>1</v>
      </c>
      <c r="H17" t="s">
        <v>776</v>
      </c>
      <c r="I17" t="s">
        <v>53</v>
      </c>
    </row>
    <row r="18" spans="1:9">
      <c r="A18" t="s">
        <v>39</v>
      </c>
      <c r="B18" t="s">
        <v>39</v>
      </c>
      <c r="C18" t="s">
        <v>777</v>
      </c>
    </row>
    <row r="19" spans="1:9">
      <c r="A19" t="s">
        <v>588</v>
      </c>
      <c r="B19" t="s">
        <v>588</v>
      </c>
      <c r="C19" t="s">
        <v>589</v>
      </c>
      <c r="E19">
        <v>4.9100000000000001E-4</v>
      </c>
      <c r="F19">
        <v>3.05</v>
      </c>
      <c r="G19" t="s">
        <v>3</v>
      </c>
      <c r="H19" t="s">
        <v>25</v>
      </c>
      <c r="I19" t="s">
        <v>4</v>
      </c>
    </row>
    <row r="20" spans="1:9">
      <c r="A20" t="s">
        <v>590</v>
      </c>
      <c r="B20" t="s">
        <v>591</v>
      </c>
      <c r="C20" t="s">
        <v>592</v>
      </c>
      <c r="E20">
        <v>1.5599999999999999E-2</v>
      </c>
      <c r="F20">
        <v>3</v>
      </c>
      <c r="G20" t="s">
        <v>133</v>
      </c>
      <c r="H20" t="s">
        <v>134</v>
      </c>
    </row>
    <row r="21" spans="1:9">
      <c r="A21" t="s">
        <v>406</v>
      </c>
      <c r="B21" t="s">
        <v>785</v>
      </c>
      <c r="C21" t="s">
        <v>592</v>
      </c>
      <c r="E21">
        <v>1.5599999999999999E-2</v>
      </c>
      <c r="F21">
        <v>3</v>
      </c>
      <c r="G21" t="s">
        <v>133</v>
      </c>
      <c r="H21" t="s">
        <v>134</v>
      </c>
    </row>
    <row r="22" spans="1:9">
      <c r="A22" s="9" t="s">
        <v>238</v>
      </c>
      <c r="B22" t="s">
        <v>786</v>
      </c>
      <c r="C22" t="s">
        <v>592</v>
      </c>
      <c r="E22">
        <v>1.5599999999999999E-2</v>
      </c>
      <c r="F22">
        <v>3</v>
      </c>
      <c r="G22" t="s">
        <v>133</v>
      </c>
      <c r="H22" t="s">
        <v>134</v>
      </c>
    </row>
    <row r="23" spans="1:9">
      <c r="A23" t="s">
        <v>409</v>
      </c>
      <c r="B23" t="s">
        <v>787</v>
      </c>
      <c r="C23" t="s">
        <v>592</v>
      </c>
      <c r="E23">
        <v>1.5599999999999999E-2</v>
      </c>
      <c r="F23">
        <v>3</v>
      </c>
      <c r="G23" t="s">
        <v>133</v>
      </c>
      <c r="H23" t="s">
        <v>134</v>
      </c>
    </row>
    <row r="24" spans="1:9">
      <c r="A24" t="s">
        <v>210</v>
      </c>
      <c r="B24" t="s">
        <v>788</v>
      </c>
      <c r="C24" t="s">
        <v>601</v>
      </c>
      <c r="E24">
        <v>1.3299999999999999E-2</v>
      </c>
      <c r="F24">
        <v>3</v>
      </c>
      <c r="G24" t="s">
        <v>133</v>
      </c>
      <c r="H24" t="s">
        <v>134</v>
      </c>
    </row>
    <row r="25" spans="1:9">
      <c r="A25" s="12" t="s">
        <v>602</v>
      </c>
      <c r="B25" s="12" t="s">
        <v>602</v>
      </c>
      <c r="C25" t="s">
        <v>603</v>
      </c>
      <c r="E25">
        <v>4.3E-3</v>
      </c>
      <c r="F25">
        <v>3.0179999999999998</v>
      </c>
      <c r="G25" t="s">
        <v>1</v>
      </c>
      <c r="H25" t="s">
        <v>776</v>
      </c>
      <c r="I25" t="s">
        <v>53</v>
      </c>
    </row>
    <row r="26" spans="1:9">
      <c r="A26" t="s">
        <v>604</v>
      </c>
      <c r="B26" t="s">
        <v>604</v>
      </c>
      <c r="C26" t="s">
        <v>605</v>
      </c>
      <c r="E26">
        <v>8.9999999999999993E-3</v>
      </c>
      <c r="F26">
        <v>3.06</v>
      </c>
      <c r="G26" t="s">
        <v>286</v>
      </c>
      <c r="H26" t="s">
        <v>180</v>
      </c>
      <c r="I26" t="s">
        <v>181</v>
      </c>
    </row>
    <row r="27" spans="1:9">
      <c r="A27" t="s">
        <v>446</v>
      </c>
      <c r="B27" t="s">
        <v>446</v>
      </c>
      <c r="C27" t="s">
        <v>606</v>
      </c>
      <c r="E27">
        <v>4.3E-3</v>
      </c>
      <c r="F27">
        <v>3.0179999999999998</v>
      </c>
      <c r="G27" t="s">
        <v>1</v>
      </c>
      <c r="H27" t="s">
        <v>776</v>
      </c>
      <c r="I27" t="s">
        <v>53</v>
      </c>
    </row>
    <row r="28" spans="1:9">
      <c r="A28" t="s">
        <v>607</v>
      </c>
      <c r="B28" t="s">
        <v>608</v>
      </c>
      <c r="C28" t="s">
        <v>418</v>
      </c>
      <c r="E28">
        <v>8.9999999999999993E-3</v>
      </c>
      <c r="F28">
        <v>3.06</v>
      </c>
      <c r="G28" t="s">
        <v>286</v>
      </c>
      <c r="H28" t="s">
        <v>180</v>
      </c>
      <c r="I28" t="s">
        <v>181</v>
      </c>
    </row>
    <row r="29" spans="1:9">
      <c r="A29" t="s">
        <v>419</v>
      </c>
      <c r="B29" t="s">
        <v>419</v>
      </c>
      <c r="C29" t="s">
        <v>420</v>
      </c>
      <c r="E29">
        <v>8.9999999999999993E-3</v>
      </c>
      <c r="F29">
        <v>3.06</v>
      </c>
      <c r="G29" t="s">
        <v>286</v>
      </c>
      <c r="H29" t="s">
        <v>180</v>
      </c>
      <c r="I29" t="s">
        <v>181</v>
      </c>
    </row>
    <row r="30" spans="1:9">
      <c r="A30" s="9" t="s">
        <v>243</v>
      </c>
      <c r="B30" s="9" t="s">
        <v>243</v>
      </c>
      <c r="C30" t="s">
        <v>421</v>
      </c>
      <c r="E30" t="s">
        <v>27</v>
      </c>
      <c r="G30" t="s">
        <v>165</v>
      </c>
      <c r="H30" t="s">
        <v>25</v>
      </c>
      <c r="I30" t="s">
        <v>28</v>
      </c>
    </row>
    <row r="31" spans="1:9">
      <c r="A31" s="9" t="s">
        <v>491</v>
      </c>
      <c r="B31" s="9" t="s">
        <v>491</v>
      </c>
      <c r="C31" t="s">
        <v>422</v>
      </c>
      <c r="E31">
        <v>4.3E-3</v>
      </c>
      <c r="F31">
        <v>3.0179999999999998</v>
      </c>
      <c r="G31" t="s">
        <v>1</v>
      </c>
      <c r="H31" t="s">
        <v>776</v>
      </c>
      <c r="I31" t="s">
        <v>53</v>
      </c>
    </row>
    <row r="32" spans="1:9">
      <c r="A32" t="s">
        <v>267</v>
      </c>
      <c r="B32" t="s">
        <v>267</v>
      </c>
      <c r="C32" t="s">
        <v>423</v>
      </c>
      <c r="E32" t="s">
        <v>166</v>
      </c>
      <c r="G32" t="s">
        <v>167</v>
      </c>
      <c r="H32" t="s">
        <v>25</v>
      </c>
      <c r="I32" t="s">
        <v>168</v>
      </c>
    </row>
    <row r="33" spans="1:9">
      <c r="A33" s="9" t="s">
        <v>424</v>
      </c>
      <c r="B33" t="s">
        <v>424</v>
      </c>
      <c r="C33" t="s">
        <v>425</v>
      </c>
      <c r="E33">
        <v>4.0000000000000002E-4</v>
      </c>
      <c r="F33">
        <v>3.43</v>
      </c>
      <c r="G33" t="s">
        <v>133</v>
      </c>
      <c r="H33" t="s">
        <v>134</v>
      </c>
      <c r="I33" t="s">
        <v>5</v>
      </c>
    </row>
    <row r="34" spans="1:9">
      <c r="A34" s="9" t="s">
        <v>304</v>
      </c>
      <c r="B34" s="9" t="s">
        <v>304</v>
      </c>
      <c r="C34" t="s">
        <v>220</v>
      </c>
      <c r="E34" s="35">
        <v>5.4979999999999997E-6</v>
      </c>
      <c r="F34">
        <v>3.1850000000000001</v>
      </c>
      <c r="G34" t="s">
        <v>26</v>
      </c>
      <c r="H34" t="s">
        <v>25</v>
      </c>
      <c r="I34" t="s">
        <v>0</v>
      </c>
    </row>
    <row r="35" spans="1:9">
      <c r="A35" t="s">
        <v>271</v>
      </c>
      <c r="B35" t="s">
        <v>271</v>
      </c>
      <c r="C35" t="s">
        <v>47</v>
      </c>
      <c r="E35">
        <v>1.7500000000000002E-2</v>
      </c>
      <c r="F35">
        <v>3</v>
      </c>
      <c r="G35" t="s">
        <v>775</v>
      </c>
      <c r="H35" t="s">
        <v>776</v>
      </c>
      <c r="I35" t="s">
        <v>249</v>
      </c>
    </row>
    <row r="36" spans="1:9">
      <c r="A36" t="s">
        <v>212</v>
      </c>
      <c r="B36" t="s">
        <v>212</v>
      </c>
      <c r="E36">
        <v>8.9999999999999993E-3</v>
      </c>
      <c r="F36">
        <v>3.06</v>
      </c>
      <c r="G36" t="s">
        <v>182</v>
      </c>
      <c r="H36" t="s">
        <v>183</v>
      </c>
      <c r="I36" t="s">
        <v>2</v>
      </c>
    </row>
    <row r="37" spans="1:9">
      <c r="A37" t="s">
        <v>48</v>
      </c>
      <c r="B37" t="s">
        <v>48</v>
      </c>
      <c r="C37" t="s">
        <v>49</v>
      </c>
      <c r="E37">
        <v>4.9100000000000001E-4</v>
      </c>
      <c r="F37">
        <v>3.05</v>
      </c>
      <c r="G37" t="s">
        <v>3</v>
      </c>
      <c r="H37" t="s">
        <v>25</v>
      </c>
      <c r="I37" t="s">
        <v>247</v>
      </c>
    </row>
    <row r="38" spans="1:9">
      <c r="A38" s="9" t="s">
        <v>230</v>
      </c>
      <c r="B38" t="s">
        <v>231</v>
      </c>
      <c r="C38" t="s">
        <v>232</v>
      </c>
      <c r="E38">
        <v>4.9100000000000001E-4</v>
      </c>
      <c r="F38">
        <v>3.05</v>
      </c>
      <c r="G38" t="s">
        <v>3</v>
      </c>
      <c r="H38" t="s">
        <v>25</v>
      </c>
      <c r="I38" t="s">
        <v>4</v>
      </c>
    </row>
    <row r="39" spans="1:9">
      <c r="A39" t="s">
        <v>35</v>
      </c>
      <c r="B39" t="s">
        <v>35</v>
      </c>
      <c r="C39" t="s">
        <v>225</v>
      </c>
      <c r="E39" t="s">
        <v>166</v>
      </c>
      <c r="G39" t="s">
        <v>167</v>
      </c>
      <c r="H39" t="s">
        <v>25</v>
      </c>
      <c r="I39" t="s">
        <v>248</v>
      </c>
    </row>
    <row r="40" spans="1:9">
      <c r="A40" s="11" t="s">
        <v>226</v>
      </c>
      <c r="B40" t="s">
        <v>227</v>
      </c>
      <c r="E40">
        <v>4.9100000000000001E-4</v>
      </c>
      <c r="F40">
        <v>3.05</v>
      </c>
      <c r="G40" t="s">
        <v>3</v>
      </c>
      <c r="H40" t="s">
        <v>25</v>
      </c>
      <c r="I40" t="s">
        <v>4</v>
      </c>
    </row>
    <row r="41" spans="1:9">
      <c r="A41" t="s">
        <v>407</v>
      </c>
      <c r="B41" t="s">
        <v>228</v>
      </c>
      <c r="C41" t="s">
        <v>437</v>
      </c>
      <c r="E41">
        <v>4.0000000000000002E-4</v>
      </c>
      <c r="F41">
        <v>3.43</v>
      </c>
      <c r="G41" t="s">
        <v>133</v>
      </c>
      <c r="H41" t="s">
        <v>134</v>
      </c>
    </row>
    <row r="42" spans="1:9">
      <c r="A42" s="11" t="s">
        <v>299</v>
      </c>
      <c r="B42" s="11" t="s">
        <v>299</v>
      </c>
      <c r="C42" t="s">
        <v>433</v>
      </c>
      <c r="E42">
        <v>4.3E-3</v>
      </c>
      <c r="F42">
        <v>3.0179999999999998</v>
      </c>
      <c r="G42" t="s">
        <v>1</v>
      </c>
      <c r="H42" t="s">
        <v>776</v>
      </c>
      <c r="I42" t="s">
        <v>53</v>
      </c>
    </row>
    <row r="43" spans="1:9">
      <c r="A43" t="s">
        <v>636</v>
      </c>
      <c r="B43" t="s">
        <v>636</v>
      </c>
      <c r="C43" t="s">
        <v>47</v>
      </c>
    </row>
    <row r="44" spans="1:9">
      <c r="A44" t="s">
        <v>538</v>
      </c>
      <c r="B44" t="s">
        <v>538</v>
      </c>
      <c r="C44" t="s">
        <v>637</v>
      </c>
      <c r="E44">
        <v>1.4579999999999999E-5</v>
      </c>
      <c r="F44">
        <v>3.0409999999999999</v>
      </c>
      <c r="G44" t="s">
        <v>26</v>
      </c>
      <c r="H44" t="s">
        <v>25</v>
      </c>
      <c r="I44" t="s">
        <v>24</v>
      </c>
    </row>
    <row r="45" spans="1:9">
      <c r="A45" s="11" t="s">
        <v>335</v>
      </c>
      <c r="B45" s="11" t="s">
        <v>335</v>
      </c>
      <c r="C45" t="s">
        <v>541</v>
      </c>
      <c r="E45">
        <v>4.3E-3</v>
      </c>
      <c r="F45">
        <v>3.0179999999999998</v>
      </c>
      <c r="G45" t="s">
        <v>1</v>
      </c>
      <c r="H45" t="s">
        <v>776</v>
      </c>
      <c r="I45" t="s">
        <v>53</v>
      </c>
    </row>
    <row r="46" spans="1:9">
      <c r="A46" t="s">
        <v>542</v>
      </c>
      <c r="B46" t="s">
        <v>727</v>
      </c>
      <c r="C46" t="s">
        <v>728</v>
      </c>
      <c r="E46">
        <v>6.6900000000000003E-6</v>
      </c>
      <c r="F46">
        <v>3.1440000000000001</v>
      </c>
      <c r="G46" t="s">
        <v>26</v>
      </c>
      <c r="H46" t="s">
        <v>25</v>
      </c>
      <c r="I46" t="s">
        <v>24</v>
      </c>
    </row>
    <row r="47" spans="1:9">
      <c r="A47" s="11" t="s">
        <v>874</v>
      </c>
      <c r="B47" t="s">
        <v>873</v>
      </c>
      <c r="C47" t="s">
        <v>635</v>
      </c>
      <c r="E47">
        <v>1.379E-2</v>
      </c>
      <c r="F47">
        <v>3</v>
      </c>
      <c r="G47" t="s">
        <v>632</v>
      </c>
      <c r="H47" t="s">
        <v>633</v>
      </c>
      <c r="I47" t="s">
        <v>634</v>
      </c>
    </row>
    <row r="48" spans="1:9">
      <c r="A48" s="11" t="s">
        <v>875</v>
      </c>
      <c r="B48" t="s">
        <v>876</v>
      </c>
      <c r="C48" t="s">
        <v>877</v>
      </c>
      <c r="E48">
        <v>2.9659999999999999E-2</v>
      </c>
      <c r="F48">
        <v>3</v>
      </c>
      <c r="G48" t="s">
        <v>632</v>
      </c>
      <c r="H48" t="s">
        <v>633</v>
      </c>
      <c r="I48" t="s">
        <v>708</v>
      </c>
    </row>
    <row r="49" spans="1:9">
      <c r="A49" s="11" t="s">
        <v>712</v>
      </c>
      <c r="B49" t="s">
        <v>711</v>
      </c>
      <c r="C49" t="s">
        <v>710</v>
      </c>
      <c r="E49">
        <v>1.7270000000000001E-2</v>
      </c>
      <c r="F49">
        <v>3</v>
      </c>
      <c r="G49" t="s">
        <v>632</v>
      </c>
      <c r="H49" t="s">
        <v>633</v>
      </c>
      <c r="I49" t="s">
        <v>709</v>
      </c>
    </row>
    <row r="50" spans="1:9">
      <c r="A50" s="11" t="s">
        <v>714</v>
      </c>
      <c r="B50" t="s">
        <v>713</v>
      </c>
      <c r="C50" t="s">
        <v>715</v>
      </c>
      <c r="E50" s="54">
        <v>1.222E-2</v>
      </c>
      <c r="F50" s="53">
        <v>2.9390000000000001</v>
      </c>
      <c r="G50" s="55" t="s">
        <v>632</v>
      </c>
      <c r="H50" t="s">
        <v>633</v>
      </c>
      <c r="I50" t="s">
        <v>716</v>
      </c>
    </row>
    <row r="51" spans="1:9">
      <c r="A51" s="11" t="s">
        <v>719</v>
      </c>
      <c r="B51" t="s">
        <v>718</v>
      </c>
      <c r="C51" t="s">
        <v>717</v>
      </c>
      <c r="E51">
        <v>7.1000000000000004E-3</v>
      </c>
      <c r="F51">
        <v>3.1</v>
      </c>
      <c r="G51" t="s">
        <v>632</v>
      </c>
      <c r="H51" t="s">
        <v>720</v>
      </c>
      <c r="I51" t="s">
        <v>716</v>
      </c>
    </row>
    <row r="52" spans="1:9">
      <c r="A52" s="11" t="s">
        <v>722</v>
      </c>
      <c r="B52" t="s">
        <v>721</v>
      </c>
      <c r="C52" t="s">
        <v>723</v>
      </c>
      <c r="E52">
        <v>2.8799999999999999E-2</v>
      </c>
      <c r="F52">
        <v>3</v>
      </c>
      <c r="G52" t="s">
        <v>632</v>
      </c>
      <c r="H52" t="s">
        <v>633</v>
      </c>
      <c r="I52" t="s">
        <v>716</v>
      </c>
    </row>
    <row r="53" spans="1:9">
      <c r="A53" s="11" t="s">
        <v>724</v>
      </c>
      <c r="B53" t="s">
        <v>725</v>
      </c>
      <c r="C53" t="s">
        <v>726</v>
      </c>
      <c r="E53">
        <v>1.384E-2</v>
      </c>
      <c r="F53">
        <v>3</v>
      </c>
      <c r="G53" t="s">
        <v>632</v>
      </c>
      <c r="H53" t="s">
        <v>633</v>
      </c>
      <c r="I53" t="s">
        <v>716</v>
      </c>
    </row>
  </sheetData>
  <sheetCalcPr fullCalcOnLoad="1"/>
  <phoneticPr fontId="3" type="noConversion"/>
  <hyperlinks>
    <hyperlink ref="E50" r:id="rId1" display="http://www.fishbase.org/PopDyn/FishLWSummary.php?ID=4247&amp;id2=5901&amp;genusname=Microstomus&amp;speciesname=pacificus&amp;fc=440&amp;variable_Length=10&amp;gm_a=0.01222&amp;gm_b=2.9387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5"/>
  <sheetViews>
    <sheetView workbookViewId="0">
      <selection activeCell="E25" sqref="E25:F25"/>
    </sheetView>
  </sheetViews>
  <sheetFormatPr baseColWidth="10" defaultRowHeight="12"/>
  <sheetData>
    <row r="1" spans="1:7">
      <c r="A1" t="s">
        <v>147</v>
      </c>
      <c r="B1" t="s">
        <v>148</v>
      </c>
      <c r="C1" t="s">
        <v>149</v>
      </c>
      <c r="D1" t="s">
        <v>150</v>
      </c>
      <c r="E1" t="s">
        <v>355</v>
      </c>
      <c r="F1" t="s">
        <v>354</v>
      </c>
      <c r="G1" t="s">
        <v>356</v>
      </c>
    </row>
    <row r="2" spans="1:7">
      <c r="A2" t="s">
        <v>151</v>
      </c>
      <c r="B2" t="s">
        <v>146</v>
      </c>
      <c r="C2" t="s">
        <v>144</v>
      </c>
      <c r="D2" t="s">
        <v>152</v>
      </c>
      <c r="E2">
        <v>56.9</v>
      </c>
      <c r="F2">
        <v>1.7</v>
      </c>
      <c r="G2">
        <f>F2*1000</f>
        <v>1700</v>
      </c>
    </row>
    <row r="3" spans="1:7">
      <c r="A3" t="s">
        <v>151</v>
      </c>
      <c r="B3" t="s">
        <v>146</v>
      </c>
      <c r="C3" t="s">
        <v>145</v>
      </c>
      <c r="D3" t="s">
        <v>353</v>
      </c>
      <c r="E3">
        <v>65.599999999999994</v>
      </c>
      <c r="F3">
        <v>2.78</v>
      </c>
      <c r="G3">
        <f t="shared" ref="G3:G11" si="0">F3*1000</f>
        <v>2780</v>
      </c>
    </row>
    <row r="4" spans="1:7">
      <c r="A4" t="s">
        <v>151</v>
      </c>
      <c r="B4" t="s">
        <v>146</v>
      </c>
      <c r="C4" t="s">
        <v>145</v>
      </c>
      <c r="D4" t="s">
        <v>353</v>
      </c>
      <c r="E4">
        <v>53.3</v>
      </c>
      <c r="F4">
        <v>1.51</v>
      </c>
      <c r="G4">
        <f t="shared" si="0"/>
        <v>1510</v>
      </c>
    </row>
    <row r="5" spans="1:7">
      <c r="A5" t="s">
        <v>151</v>
      </c>
      <c r="B5" t="s">
        <v>146</v>
      </c>
      <c r="C5" t="s">
        <v>145</v>
      </c>
      <c r="D5" t="s">
        <v>353</v>
      </c>
      <c r="E5">
        <v>65</v>
      </c>
      <c r="F5">
        <v>3.65</v>
      </c>
      <c r="G5">
        <f t="shared" si="0"/>
        <v>3650</v>
      </c>
    </row>
    <row r="6" spans="1:7">
      <c r="A6" t="s">
        <v>151</v>
      </c>
      <c r="B6" t="s">
        <v>146</v>
      </c>
      <c r="C6" t="s">
        <v>145</v>
      </c>
      <c r="D6" t="s">
        <v>353</v>
      </c>
      <c r="E6">
        <v>45.6</v>
      </c>
      <c r="F6">
        <v>0.84</v>
      </c>
      <c r="G6">
        <f t="shared" si="0"/>
        <v>840</v>
      </c>
    </row>
    <row r="7" spans="1:7">
      <c r="A7" t="s">
        <v>151</v>
      </c>
      <c r="B7" t="s">
        <v>146</v>
      </c>
      <c r="C7" t="s">
        <v>145</v>
      </c>
      <c r="D7" t="s">
        <v>353</v>
      </c>
      <c r="E7">
        <v>43.2</v>
      </c>
      <c r="F7">
        <v>0.66</v>
      </c>
      <c r="G7">
        <f t="shared" si="0"/>
        <v>660</v>
      </c>
    </row>
    <row r="8" spans="1:7">
      <c r="A8" t="s">
        <v>151</v>
      </c>
      <c r="B8" t="s">
        <v>146</v>
      </c>
      <c r="C8" t="s">
        <v>145</v>
      </c>
      <c r="D8" t="s">
        <v>353</v>
      </c>
      <c r="E8">
        <v>48.5</v>
      </c>
      <c r="F8">
        <v>1.05</v>
      </c>
      <c r="G8">
        <f t="shared" si="0"/>
        <v>1050</v>
      </c>
    </row>
    <row r="9" spans="1:7">
      <c r="A9" t="s">
        <v>151</v>
      </c>
      <c r="B9" t="s">
        <v>146</v>
      </c>
      <c r="C9" t="s">
        <v>145</v>
      </c>
      <c r="D9" t="s">
        <v>353</v>
      </c>
      <c r="E9">
        <v>56.5</v>
      </c>
      <c r="F9">
        <v>1.76</v>
      </c>
      <c r="G9">
        <f t="shared" si="0"/>
        <v>1760</v>
      </c>
    </row>
    <row r="10" spans="1:7">
      <c r="A10" t="s">
        <v>151</v>
      </c>
      <c r="B10" t="s">
        <v>146</v>
      </c>
      <c r="C10" t="s">
        <v>145</v>
      </c>
      <c r="D10" t="s">
        <v>353</v>
      </c>
      <c r="E10">
        <v>46.7</v>
      </c>
      <c r="F10">
        <v>0.85</v>
      </c>
      <c r="G10">
        <f t="shared" si="0"/>
        <v>850</v>
      </c>
    </row>
    <row r="11" spans="1:7">
      <c r="A11" t="s">
        <v>151</v>
      </c>
      <c r="B11" t="s">
        <v>146</v>
      </c>
      <c r="C11" t="s">
        <v>145</v>
      </c>
      <c r="D11" t="s">
        <v>353</v>
      </c>
      <c r="E11">
        <v>33.6</v>
      </c>
      <c r="F11">
        <v>0.59</v>
      </c>
      <c r="G11">
        <f t="shared" si="0"/>
        <v>590</v>
      </c>
    </row>
    <row r="24" spans="5:6">
      <c r="E24" t="s">
        <v>357</v>
      </c>
      <c r="F24" t="s">
        <v>358</v>
      </c>
    </row>
    <row r="25" spans="5:6">
      <c r="E25">
        <v>1.9599999999999999E-2</v>
      </c>
      <c r="F25">
        <v>2.83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355"/>
  <sheetViews>
    <sheetView workbookViewId="0">
      <selection activeCell="H3" sqref="H3"/>
    </sheetView>
  </sheetViews>
  <sheetFormatPr baseColWidth="10" defaultColWidth="7.6640625" defaultRowHeight="12"/>
  <cols>
    <col min="3" max="3" width="8.1640625" customWidth="1"/>
    <col min="4" max="4" width="31.6640625" bestFit="1" customWidth="1"/>
    <col min="5" max="5" width="12.1640625" customWidth="1"/>
    <col min="19" max="19" width="23.1640625" customWidth="1"/>
    <col min="20" max="20" width="12.1640625" customWidth="1"/>
  </cols>
  <sheetData>
    <row r="1" spans="1:19">
      <c r="A1" s="16" t="s">
        <v>250</v>
      </c>
      <c r="B1" s="17"/>
      <c r="C1" s="17"/>
      <c r="D1" s="17"/>
      <c r="E1" s="18"/>
      <c r="H1" s="38"/>
      <c r="I1" s="38"/>
      <c r="J1" s="38"/>
      <c r="K1" s="38"/>
      <c r="L1" s="38"/>
    </row>
    <row r="2" spans="1:19">
      <c r="A2" s="29" t="s">
        <v>380</v>
      </c>
      <c r="B2" s="29" t="s">
        <v>381</v>
      </c>
      <c r="C2" s="29" t="s">
        <v>386</v>
      </c>
      <c r="D2" s="29" t="s">
        <v>729</v>
      </c>
      <c r="E2" s="18" t="s">
        <v>730</v>
      </c>
      <c r="H2" s="38"/>
      <c r="I2" s="38"/>
      <c r="J2" s="38"/>
      <c r="K2" s="38"/>
      <c r="L2" s="38"/>
    </row>
    <row r="3" spans="1:19">
      <c r="A3" s="16" t="s">
        <v>399</v>
      </c>
      <c r="B3" s="16" t="s">
        <v>400</v>
      </c>
      <c r="C3" s="16">
        <v>1</v>
      </c>
      <c r="D3" s="16" t="s">
        <v>211</v>
      </c>
      <c r="E3" s="19">
        <v>41.2109375</v>
      </c>
      <c r="H3" s="38"/>
      <c r="I3" s="38"/>
      <c r="J3" s="38"/>
      <c r="K3" s="38"/>
      <c r="L3" s="38"/>
    </row>
    <row r="4" spans="1:19">
      <c r="A4" s="20"/>
      <c r="B4" s="20"/>
      <c r="C4" s="20"/>
      <c r="D4" s="21" t="s">
        <v>406</v>
      </c>
      <c r="E4" s="22">
        <v>1178.04375</v>
      </c>
      <c r="H4" s="38"/>
      <c r="I4" s="38"/>
      <c r="J4" s="38"/>
      <c r="K4" s="38"/>
      <c r="L4" s="38"/>
    </row>
    <row r="5" spans="1:19">
      <c r="A5" s="20"/>
      <c r="B5" s="20"/>
      <c r="C5" s="20"/>
      <c r="D5" s="21" t="s">
        <v>409</v>
      </c>
      <c r="E5" s="22">
        <v>974.51249999999993</v>
      </c>
      <c r="H5" s="38"/>
      <c r="I5" s="38"/>
      <c r="J5" s="38"/>
      <c r="K5" s="38"/>
      <c r="L5" s="38"/>
    </row>
    <row r="6" spans="1:19">
      <c r="A6" s="20"/>
      <c r="B6" s="20"/>
      <c r="C6" s="20"/>
      <c r="D6" s="21" t="s">
        <v>210</v>
      </c>
      <c r="E6" s="22">
        <v>270.359375</v>
      </c>
      <c r="H6" s="38"/>
      <c r="I6" s="38"/>
      <c r="J6" s="38"/>
      <c r="K6" s="38"/>
      <c r="L6" s="38"/>
    </row>
    <row r="7" spans="1:19">
      <c r="A7" s="20"/>
      <c r="B7" s="20"/>
      <c r="C7" s="20"/>
      <c r="D7" s="21" t="s">
        <v>407</v>
      </c>
      <c r="E7" s="22">
        <v>2.155573722985105E-2</v>
      </c>
      <c r="H7" s="38"/>
      <c r="I7" s="38"/>
      <c r="J7" s="38"/>
      <c r="K7" s="38"/>
      <c r="L7" s="38"/>
    </row>
    <row r="8" spans="1:19">
      <c r="A8" s="20"/>
      <c r="B8" s="20"/>
      <c r="C8" s="16" t="s">
        <v>758</v>
      </c>
      <c r="D8" s="23"/>
      <c r="E8" s="19">
        <v>2464.1481182372299</v>
      </c>
      <c r="H8" s="38"/>
      <c r="I8" s="38"/>
      <c r="J8" s="38"/>
      <c r="K8" s="38"/>
      <c r="L8" s="38"/>
    </row>
    <row r="9" spans="1:19">
      <c r="A9" s="20"/>
      <c r="B9" s="20"/>
      <c r="C9" s="16">
        <v>2</v>
      </c>
      <c r="D9" s="16" t="s">
        <v>406</v>
      </c>
      <c r="E9" s="19">
        <v>906.26250000000005</v>
      </c>
      <c r="H9" s="38"/>
      <c r="I9" s="38"/>
      <c r="J9" s="38"/>
      <c r="K9" s="38"/>
      <c r="L9" s="38"/>
    </row>
    <row r="10" spans="1:19">
      <c r="A10" s="20"/>
      <c r="B10" s="20"/>
      <c r="C10" s="20"/>
      <c r="D10" s="21" t="s">
        <v>409</v>
      </c>
      <c r="E10" s="22">
        <v>2118.9187499999998</v>
      </c>
      <c r="H10" s="38"/>
      <c r="I10" s="38"/>
      <c r="J10" s="38"/>
      <c r="K10" s="38"/>
      <c r="L10" s="38"/>
    </row>
    <row r="11" spans="1:19">
      <c r="A11" s="20"/>
      <c r="B11" s="20"/>
      <c r="C11" s="20"/>
      <c r="D11" s="21" t="s">
        <v>35</v>
      </c>
      <c r="E11" s="22">
        <v>1275.5755960928645</v>
      </c>
      <c r="H11" s="38"/>
      <c r="I11" s="38"/>
      <c r="J11" s="38"/>
      <c r="K11" s="38"/>
      <c r="L11" s="38"/>
      <c r="M11" t="s">
        <v>766</v>
      </c>
      <c r="N11" t="s">
        <v>768</v>
      </c>
      <c r="O11" t="s">
        <v>769</v>
      </c>
      <c r="P11" t="s">
        <v>821</v>
      </c>
      <c r="Q11" t="s">
        <v>822</v>
      </c>
      <c r="R11" t="s">
        <v>732</v>
      </c>
      <c r="S11" t="s">
        <v>67</v>
      </c>
    </row>
    <row r="12" spans="1:19">
      <c r="A12" s="20"/>
      <c r="B12" s="20"/>
      <c r="C12" s="20"/>
      <c r="D12" s="21" t="s">
        <v>407</v>
      </c>
      <c r="E12" s="22">
        <v>0.21555737229851049</v>
      </c>
      <c r="H12" s="38"/>
      <c r="I12" s="38"/>
      <c r="J12" s="38"/>
      <c r="K12" s="38"/>
      <c r="L12" s="38"/>
      <c r="M12" s="16" t="s">
        <v>276</v>
      </c>
      <c r="N12" s="16" t="s">
        <v>290</v>
      </c>
      <c r="O12">
        <v>1</v>
      </c>
      <c r="P12" s="19">
        <v>5701.6156250000004</v>
      </c>
      <c r="Q12">
        <v>0</v>
      </c>
      <c r="R12" s="24">
        <v>0</v>
      </c>
      <c r="S12">
        <f>SUM(P12:Q12)</f>
        <v>5701.6156250000004</v>
      </c>
    </row>
    <row r="13" spans="1:19">
      <c r="A13" s="20"/>
      <c r="B13" s="20"/>
      <c r="C13" s="20"/>
      <c r="D13" s="21" t="s">
        <v>162</v>
      </c>
      <c r="E13" s="22">
        <v>2.4853372876419679</v>
      </c>
      <c r="H13" s="38"/>
      <c r="I13" s="38"/>
      <c r="J13" s="38"/>
      <c r="K13" s="38"/>
      <c r="L13" s="38"/>
      <c r="M13" s="16" t="s">
        <v>276</v>
      </c>
      <c r="N13" s="16" t="s">
        <v>290</v>
      </c>
      <c r="O13">
        <v>2</v>
      </c>
      <c r="P13" s="19">
        <v>6423.3015625000007</v>
      </c>
      <c r="Q13" s="19">
        <v>199.33593750000003</v>
      </c>
      <c r="R13">
        <v>543.50594999999998</v>
      </c>
      <c r="S13">
        <f t="shared" ref="S13:S65" si="0">SUM(P13:Q13)</f>
        <v>6622.6375000000007</v>
      </c>
    </row>
    <row r="14" spans="1:19">
      <c r="A14" s="20"/>
      <c r="B14" s="20"/>
      <c r="C14" s="16" t="s">
        <v>759</v>
      </c>
      <c r="D14" s="23"/>
      <c r="E14" s="19">
        <v>4303.457740752805</v>
      </c>
      <c r="H14" s="38"/>
      <c r="I14" s="38"/>
      <c r="J14" s="38"/>
      <c r="K14" s="38"/>
      <c r="L14" s="38"/>
      <c r="M14" s="16" t="s">
        <v>276</v>
      </c>
      <c r="N14" s="16" t="s">
        <v>290</v>
      </c>
      <c r="O14">
        <v>3</v>
      </c>
      <c r="P14">
        <v>0</v>
      </c>
      <c r="Q14">
        <v>0</v>
      </c>
      <c r="R14">
        <v>334.42500000000001</v>
      </c>
      <c r="S14">
        <f t="shared" si="0"/>
        <v>0</v>
      </c>
    </row>
    <row r="15" spans="1:19">
      <c r="A15" s="20"/>
      <c r="B15" s="20"/>
      <c r="C15" s="16">
        <v>3</v>
      </c>
      <c r="D15" s="16" t="s">
        <v>38</v>
      </c>
      <c r="E15" s="19">
        <v>600.74218750000011</v>
      </c>
      <c r="H15" s="38"/>
      <c r="I15" s="38"/>
      <c r="J15" s="38"/>
      <c r="K15" s="38"/>
      <c r="L15" s="38"/>
      <c r="M15" s="16" t="s">
        <v>276</v>
      </c>
      <c r="N15" s="16" t="s">
        <v>290</v>
      </c>
      <c r="O15">
        <v>4</v>
      </c>
      <c r="P15">
        <v>0</v>
      </c>
      <c r="Q15">
        <v>0</v>
      </c>
      <c r="R15" s="22">
        <v>28.937999999999999</v>
      </c>
      <c r="S15">
        <f t="shared" si="0"/>
        <v>0</v>
      </c>
    </row>
    <row r="16" spans="1:19">
      <c r="A16" s="20"/>
      <c r="B16" s="20"/>
      <c r="C16" s="20"/>
      <c r="D16" s="21" t="s">
        <v>409</v>
      </c>
      <c r="E16" s="22">
        <v>177.69374999999999</v>
      </c>
      <c r="M16" s="16" t="s">
        <v>276</v>
      </c>
      <c r="N16" s="16" t="s">
        <v>290</v>
      </c>
      <c r="O16">
        <v>5</v>
      </c>
      <c r="P16">
        <v>0</v>
      </c>
      <c r="Q16">
        <v>0</v>
      </c>
      <c r="R16" s="19">
        <v>656.05020000000002</v>
      </c>
      <c r="S16">
        <f t="shared" si="0"/>
        <v>0</v>
      </c>
    </row>
    <row r="17" spans="1:19">
      <c r="A17" s="20"/>
      <c r="B17" s="20"/>
      <c r="C17" s="20"/>
      <c r="D17" s="21" t="s">
        <v>407</v>
      </c>
      <c r="E17" s="22">
        <v>2.5300794935431115</v>
      </c>
      <c r="M17" s="16" t="s">
        <v>276</v>
      </c>
      <c r="N17" s="16" t="s">
        <v>290</v>
      </c>
      <c r="O17">
        <v>6</v>
      </c>
      <c r="P17">
        <v>0</v>
      </c>
      <c r="Q17">
        <v>0</v>
      </c>
      <c r="R17" s="22">
        <v>5.3507999999999996</v>
      </c>
      <c r="S17">
        <f t="shared" si="0"/>
        <v>0</v>
      </c>
    </row>
    <row r="18" spans="1:19">
      <c r="A18" s="20"/>
      <c r="B18" s="20"/>
      <c r="C18" s="16" t="s">
        <v>760</v>
      </c>
      <c r="D18" s="23"/>
      <c r="E18" s="19">
        <v>780.96601699354324</v>
      </c>
      <c r="M18" s="16" t="s">
        <v>276</v>
      </c>
      <c r="N18" s="16" t="s">
        <v>234</v>
      </c>
      <c r="O18">
        <v>1</v>
      </c>
      <c r="P18">
        <v>0</v>
      </c>
      <c r="Q18">
        <v>0</v>
      </c>
      <c r="R18">
        <v>1437.1695</v>
      </c>
      <c r="S18">
        <f t="shared" si="0"/>
        <v>0</v>
      </c>
    </row>
    <row r="19" spans="1:19">
      <c r="A19" s="20"/>
      <c r="B19" s="16" t="s">
        <v>731</v>
      </c>
      <c r="C19" s="23"/>
      <c r="D19" s="23"/>
      <c r="E19" s="19">
        <v>7548.5718759835781</v>
      </c>
      <c r="M19" s="16" t="s">
        <v>276</v>
      </c>
      <c r="N19" s="16" t="s">
        <v>234</v>
      </c>
      <c r="O19">
        <v>2</v>
      </c>
      <c r="P19">
        <v>0</v>
      </c>
      <c r="Q19" s="22">
        <v>600.74218750000011</v>
      </c>
      <c r="R19">
        <v>1457.3812499999999</v>
      </c>
      <c r="S19">
        <f t="shared" si="0"/>
        <v>600.74218750000011</v>
      </c>
    </row>
    <row r="20" spans="1:19">
      <c r="A20" s="20"/>
      <c r="B20" s="16" t="s">
        <v>41</v>
      </c>
      <c r="C20" s="16">
        <v>1</v>
      </c>
      <c r="D20" s="16" t="s">
        <v>211</v>
      </c>
      <c r="E20" s="19">
        <v>679.48593749999998</v>
      </c>
      <c r="M20" s="16" t="s">
        <v>276</v>
      </c>
      <c r="N20" s="16" t="s">
        <v>234</v>
      </c>
      <c r="O20">
        <v>3</v>
      </c>
      <c r="P20">
        <v>0</v>
      </c>
      <c r="Q20">
        <v>0</v>
      </c>
      <c r="R20">
        <v>1316.1096</v>
      </c>
      <c r="S20">
        <f t="shared" si="0"/>
        <v>0</v>
      </c>
    </row>
    <row r="21" spans="1:19">
      <c r="A21" s="20"/>
      <c r="B21" s="20"/>
      <c r="C21" s="20"/>
      <c r="D21" s="21" t="s">
        <v>409</v>
      </c>
      <c r="E21" s="22">
        <v>261.3</v>
      </c>
      <c r="M21" s="16" t="s">
        <v>276</v>
      </c>
      <c r="N21" s="16" t="s">
        <v>234</v>
      </c>
      <c r="O21">
        <v>4</v>
      </c>
      <c r="P21" s="19">
        <v>349.79843749999998</v>
      </c>
      <c r="Q21">
        <v>0</v>
      </c>
      <c r="R21">
        <v>1438.4838</v>
      </c>
      <c r="S21">
        <f t="shared" si="0"/>
        <v>349.79843749999998</v>
      </c>
    </row>
    <row r="22" spans="1:19">
      <c r="A22" s="20"/>
      <c r="B22" s="20"/>
      <c r="C22" s="20"/>
      <c r="D22" s="21" t="s">
        <v>407</v>
      </c>
      <c r="E22" s="22">
        <v>2.3145221212446008</v>
      </c>
      <c r="M22" s="16" t="s">
        <v>276</v>
      </c>
      <c r="N22" s="16" t="s">
        <v>234</v>
      </c>
      <c r="O22">
        <v>5</v>
      </c>
      <c r="P22" s="19">
        <v>1764.1578125000001</v>
      </c>
      <c r="Q22" s="22">
        <v>600.74218750000011</v>
      </c>
      <c r="R22">
        <v>585.37440000000004</v>
      </c>
      <c r="S22">
        <f t="shared" si="0"/>
        <v>2364.9</v>
      </c>
    </row>
    <row r="23" spans="1:19">
      <c r="A23" s="20"/>
      <c r="B23" s="20"/>
      <c r="C23" s="16" t="s">
        <v>758</v>
      </c>
      <c r="D23" s="23"/>
      <c r="E23" s="19">
        <v>943.10045962124468</v>
      </c>
      <c r="M23" s="16" t="s">
        <v>276</v>
      </c>
      <c r="N23" s="16" t="s">
        <v>234</v>
      </c>
      <c r="O23">
        <v>6</v>
      </c>
      <c r="P23" s="19">
        <v>1030.2734375</v>
      </c>
      <c r="Q23" s="22">
        <v>199.33593750000003</v>
      </c>
      <c r="R23">
        <v>1157.00325</v>
      </c>
      <c r="S23">
        <f t="shared" si="0"/>
        <v>1229.609375</v>
      </c>
    </row>
    <row r="24" spans="1:19">
      <c r="A24" s="20"/>
      <c r="B24" s="20"/>
      <c r="C24" s="16">
        <v>2</v>
      </c>
      <c r="D24" s="16" t="s">
        <v>406</v>
      </c>
      <c r="E24" s="19">
        <v>3576.2999999999997</v>
      </c>
      <c r="M24" s="16" t="s">
        <v>276</v>
      </c>
      <c r="N24" s="16" t="s">
        <v>461</v>
      </c>
      <c r="O24">
        <v>1</v>
      </c>
      <c r="P24" s="19">
        <v>1421.2828125000001</v>
      </c>
      <c r="Q24">
        <v>0</v>
      </c>
      <c r="R24">
        <v>641.16584999999998</v>
      </c>
      <c r="S24">
        <f t="shared" si="0"/>
        <v>1421.2828125000001</v>
      </c>
    </row>
    <row r="25" spans="1:19">
      <c r="A25" s="20"/>
      <c r="B25" s="20"/>
      <c r="C25" s="20"/>
      <c r="D25" s="21" t="s">
        <v>409</v>
      </c>
      <c r="E25" s="22">
        <v>636.67499999999995</v>
      </c>
      <c r="M25" s="16" t="s">
        <v>276</v>
      </c>
      <c r="N25" s="16" t="s">
        <v>461</v>
      </c>
      <c r="O25">
        <v>2</v>
      </c>
      <c r="P25" s="19">
        <v>432.22031249999998</v>
      </c>
      <c r="Q25">
        <v>0</v>
      </c>
      <c r="R25">
        <v>71.011200000000002</v>
      </c>
      <c r="S25">
        <f t="shared" si="0"/>
        <v>432.22031249999998</v>
      </c>
    </row>
    <row r="26" spans="1:19">
      <c r="A26" s="20"/>
      <c r="B26" s="20"/>
      <c r="C26" s="20"/>
      <c r="D26" s="21" t="s">
        <v>407</v>
      </c>
      <c r="E26" s="22">
        <v>69.435663637338024</v>
      </c>
      <c r="M26" s="16" t="s">
        <v>276</v>
      </c>
      <c r="N26" s="16" t="s">
        <v>461</v>
      </c>
      <c r="O26">
        <v>3</v>
      </c>
      <c r="P26" s="19">
        <v>41.2109375</v>
      </c>
      <c r="Q26">
        <v>0</v>
      </c>
      <c r="R26">
        <v>1637.7776999999999</v>
      </c>
      <c r="S26">
        <f t="shared" si="0"/>
        <v>41.2109375</v>
      </c>
    </row>
    <row r="27" spans="1:19">
      <c r="A27" s="20"/>
      <c r="B27" s="20"/>
      <c r="C27" s="20"/>
      <c r="D27" s="21" t="s">
        <v>45</v>
      </c>
      <c r="E27" s="22">
        <v>2.4853372876419679</v>
      </c>
      <c r="M27" s="16" t="s">
        <v>276</v>
      </c>
      <c r="N27" s="16" t="s">
        <v>461</v>
      </c>
      <c r="O27">
        <v>4</v>
      </c>
      <c r="P27">
        <v>0</v>
      </c>
      <c r="Q27">
        <v>0</v>
      </c>
      <c r="R27">
        <v>208.37504999999999</v>
      </c>
      <c r="S27">
        <f t="shared" si="0"/>
        <v>0</v>
      </c>
    </row>
    <row r="28" spans="1:19">
      <c r="A28" s="20"/>
      <c r="B28" s="20"/>
      <c r="C28" s="16" t="s">
        <v>759</v>
      </c>
      <c r="D28" s="23"/>
      <c r="E28" s="19">
        <v>4284.8960009249795</v>
      </c>
      <c r="M28" s="16" t="s">
        <v>276</v>
      </c>
      <c r="N28" s="16" t="s">
        <v>461</v>
      </c>
      <c r="O28">
        <v>5</v>
      </c>
      <c r="P28">
        <v>0</v>
      </c>
      <c r="Q28">
        <v>0</v>
      </c>
      <c r="R28">
        <v>42.946799999999996</v>
      </c>
      <c r="S28">
        <f t="shared" si="0"/>
        <v>0</v>
      </c>
    </row>
    <row r="29" spans="1:19">
      <c r="A29" s="20"/>
      <c r="B29" s="20"/>
      <c r="C29" s="16">
        <v>3</v>
      </c>
      <c r="D29" s="16" t="s">
        <v>211</v>
      </c>
      <c r="E29" s="19">
        <v>700.5859375</v>
      </c>
      <c r="M29" s="16" t="s">
        <v>276</v>
      </c>
      <c r="N29" s="16" t="s">
        <v>461</v>
      </c>
      <c r="O29">
        <v>6</v>
      </c>
      <c r="P29">
        <v>0</v>
      </c>
      <c r="Q29">
        <v>0</v>
      </c>
      <c r="R29">
        <v>416.02469999999994</v>
      </c>
      <c r="S29">
        <f t="shared" si="0"/>
        <v>0</v>
      </c>
    </row>
    <row r="30" spans="1:19">
      <c r="A30" s="20"/>
      <c r="B30" s="20"/>
      <c r="C30" s="20"/>
      <c r="D30" s="21" t="s">
        <v>406</v>
      </c>
      <c r="E30" s="22">
        <v>619.125</v>
      </c>
      <c r="M30" s="16" t="s">
        <v>502</v>
      </c>
      <c r="N30" s="16" t="s">
        <v>503</v>
      </c>
      <c r="O30">
        <v>1</v>
      </c>
      <c r="P30" s="19">
        <v>339.24843750000002</v>
      </c>
      <c r="Q30" s="22">
        <v>169.9271875</v>
      </c>
      <c r="R30">
        <v>853.125</v>
      </c>
      <c r="S30">
        <f t="shared" si="0"/>
        <v>509.17562500000003</v>
      </c>
    </row>
    <row r="31" spans="1:19">
      <c r="A31" s="20"/>
      <c r="B31" s="20"/>
      <c r="C31" s="20"/>
      <c r="D31" s="21" t="s">
        <v>409</v>
      </c>
      <c r="E31" s="22">
        <v>542.58749999999998</v>
      </c>
      <c r="M31" s="16" t="s">
        <v>502</v>
      </c>
      <c r="N31" s="16" t="s">
        <v>503</v>
      </c>
      <c r="O31">
        <v>2</v>
      </c>
      <c r="P31" s="24">
        <v>0</v>
      </c>
      <c r="Q31" s="19">
        <v>300.86</v>
      </c>
      <c r="R31">
        <v>535.51874999999995</v>
      </c>
      <c r="S31">
        <f t="shared" si="0"/>
        <v>300.86</v>
      </c>
    </row>
    <row r="32" spans="1:19">
      <c r="A32" s="20"/>
      <c r="B32" s="20"/>
      <c r="C32" s="20"/>
      <c r="D32" s="21" t="s">
        <v>210</v>
      </c>
      <c r="E32" s="22">
        <v>446.265625</v>
      </c>
      <c r="M32" s="16" t="s">
        <v>502</v>
      </c>
      <c r="N32" s="16" t="s">
        <v>503</v>
      </c>
      <c r="O32">
        <v>3</v>
      </c>
      <c r="P32" s="19">
        <v>724.32343750000007</v>
      </c>
      <c r="Q32" s="22">
        <v>0</v>
      </c>
      <c r="R32">
        <v>30.46875</v>
      </c>
      <c r="S32">
        <f t="shared" si="0"/>
        <v>724.32343750000007</v>
      </c>
    </row>
    <row r="33" spans="1:19">
      <c r="A33" s="20"/>
      <c r="B33" s="20"/>
      <c r="C33" s="20"/>
      <c r="D33" s="21" t="s">
        <v>267</v>
      </c>
      <c r="E33" s="22">
        <v>798.34319624037357</v>
      </c>
      <c r="M33" s="16" t="s">
        <v>502</v>
      </c>
      <c r="N33" s="16" t="s">
        <v>503</v>
      </c>
      <c r="O33">
        <v>4</v>
      </c>
      <c r="P33" s="24">
        <v>0</v>
      </c>
      <c r="Q33" s="22">
        <v>0</v>
      </c>
      <c r="R33">
        <v>177.69374999999999</v>
      </c>
      <c r="S33">
        <f t="shared" si="0"/>
        <v>0</v>
      </c>
    </row>
    <row r="34" spans="1:19">
      <c r="A34" s="20"/>
      <c r="B34" s="20"/>
      <c r="C34" s="16" t="s">
        <v>760</v>
      </c>
      <c r="D34" s="23"/>
      <c r="E34" s="19">
        <v>3106.9072587403734</v>
      </c>
      <c r="M34" s="16" t="s">
        <v>502</v>
      </c>
      <c r="N34" s="16" t="s">
        <v>503</v>
      </c>
      <c r="O34">
        <v>5</v>
      </c>
      <c r="P34" s="19">
        <v>394.63593749999995</v>
      </c>
      <c r="Q34" s="22">
        <v>0</v>
      </c>
      <c r="R34">
        <v>1887.84375</v>
      </c>
      <c r="S34">
        <f t="shared" si="0"/>
        <v>394.63593749999995</v>
      </c>
    </row>
    <row r="35" spans="1:19">
      <c r="A35" s="20"/>
      <c r="B35" s="16" t="s">
        <v>659</v>
      </c>
      <c r="C35" s="23"/>
      <c r="D35" s="23"/>
      <c r="E35" s="19">
        <v>8334.9037192865981</v>
      </c>
      <c r="M35" s="16" t="s">
        <v>502</v>
      </c>
      <c r="N35" s="16" t="s">
        <v>302</v>
      </c>
      <c r="O35">
        <v>1</v>
      </c>
      <c r="P35" s="24">
        <v>0</v>
      </c>
      <c r="Q35" s="22">
        <v>0</v>
      </c>
      <c r="R35">
        <v>386.85464999999999</v>
      </c>
      <c r="S35">
        <f t="shared" si="0"/>
        <v>0</v>
      </c>
    </row>
    <row r="36" spans="1:19">
      <c r="A36" s="20"/>
      <c r="B36" s="16" t="s">
        <v>268</v>
      </c>
      <c r="C36" s="16">
        <v>1</v>
      </c>
      <c r="D36" s="16" t="s">
        <v>211</v>
      </c>
      <c r="E36" s="19">
        <v>5731.6171875</v>
      </c>
      <c r="M36" s="16" t="s">
        <v>502</v>
      </c>
      <c r="N36" s="16" t="s">
        <v>302</v>
      </c>
      <c r="O36">
        <v>2</v>
      </c>
      <c r="P36" s="19">
        <v>113.0828125</v>
      </c>
      <c r="Q36" s="22">
        <v>282.53968750000001</v>
      </c>
      <c r="R36">
        <v>408.03749999999997</v>
      </c>
      <c r="S36">
        <f t="shared" si="0"/>
        <v>395.6225</v>
      </c>
    </row>
    <row r="37" spans="1:19">
      <c r="A37" s="20"/>
      <c r="B37" s="20"/>
      <c r="C37" s="20"/>
      <c r="D37" s="21" t="s">
        <v>271</v>
      </c>
      <c r="E37" s="22">
        <v>3.7800000000000002</v>
      </c>
      <c r="M37" s="16" t="s">
        <v>502</v>
      </c>
      <c r="N37" s="16" t="s">
        <v>302</v>
      </c>
      <c r="O37">
        <v>3</v>
      </c>
      <c r="P37" s="24">
        <v>0</v>
      </c>
      <c r="Q37" s="22">
        <v>0</v>
      </c>
      <c r="R37">
        <v>83.606250000000003</v>
      </c>
      <c r="S37">
        <f t="shared" si="0"/>
        <v>0</v>
      </c>
    </row>
    <row r="38" spans="1:19">
      <c r="A38" s="20"/>
      <c r="B38" s="20"/>
      <c r="C38" s="16" t="s">
        <v>758</v>
      </c>
      <c r="D38" s="23"/>
      <c r="E38" s="19">
        <v>5735.3971874999997</v>
      </c>
      <c r="M38" s="16" t="s">
        <v>502</v>
      </c>
      <c r="N38" s="16" t="s">
        <v>302</v>
      </c>
      <c r="O38">
        <v>4</v>
      </c>
      <c r="P38" s="19">
        <v>41.2109375</v>
      </c>
      <c r="Q38" s="22">
        <v>501.76000000000005</v>
      </c>
      <c r="R38">
        <v>532.59375</v>
      </c>
      <c r="S38">
        <f t="shared" si="0"/>
        <v>542.97093749999999</v>
      </c>
    </row>
    <row r="39" spans="1:19">
      <c r="A39" s="20"/>
      <c r="B39" s="20"/>
      <c r="C39" s="16">
        <v>2</v>
      </c>
      <c r="D39" s="16" t="s">
        <v>211</v>
      </c>
      <c r="E39" s="19">
        <v>2936.0834625000002</v>
      </c>
      <c r="M39" s="16" t="s">
        <v>502</v>
      </c>
      <c r="N39" s="16" t="s">
        <v>302</v>
      </c>
      <c r="O39">
        <v>5</v>
      </c>
      <c r="P39" s="19">
        <v>1132.8062500000001</v>
      </c>
      <c r="Q39" s="22">
        <v>6.0025000000000004</v>
      </c>
      <c r="R39">
        <v>122.0622</v>
      </c>
      <c r="S39">
        <f t="shared" si="0"/>
        <v>1138.8087500000001</v>
      </c>
    </row>
    <row r="40" spans="1:19">
      <c r="A40" s="20"/>
      <c r="B40" s="20"/>
      <c r="C40" s="20"/>
      <c r="D40" s="21" t="s">
        <v>38</v>
      </c>
      <c r="E40" s="22">
        <v>199.33593750000003</v>
      </c>
      <c r="M40" s="16" t="s">
        <v>502</v>
      </c>
      <c r="N40" s="16" t="s">
        <v>302</v>
      </c>
      <c r="O40">
        <v>6</v>
      </c>
      <c r="P40" s="19">
        <v>277.92656249999999</v>
      </c>
      <c r="Q40" s="22">
        <v>0</v>
      </c>
      <c r="R40">
        <v>219.53489999999999</v>
      </c>
      <c r="S40">
        <f t="shared" si="0"/>
        <v>277.92656249999999</v>
      </c>
    </row>
    <row r="41" spans="1:19">
      <c r="A41" s="20"/>
      <c r="B41" s="20"/>
      <c r="C41" s="20"/>
      <c r="D41" s="21" t="s">
        <v>406</v>
      </c>
      <c r="E41" s="22">
        <v>1071.0374999999999</v>
      </c>
      <c r="M41" s="16" t="s">
        <v>502</v>
      </c>
      <c r="N41" s="30" t="s">
        <v>770</v>
      </c>
      <c r="O41">
        <v>1</v>
      </c>
      <c r="P41" s="24">
        <v>0</v>
      </c>
      <c r="Q41" s="22">
        <v>0</v>
      </c>
      <c r="R41">
        <v>1303.33125</v>
      </c>
      <c r="S41">
        <f t="shared" si="0"/>
        <v>0</v>
      </c>
    </row>
    <row r="42" spans="1:19">
      <c r="A42" s="20"/>
      <c r="B42" s="20"/>
      <c r="C42" s="20"/>
      <c r="D42" s="21" t="s">
        <v>409</v>
      </c>
      <c r="E42" s="22">
        <v>859.94999999999993</v>
      </c>
      <c r="M42" s="16" t="s">
        <v>502</v>
      </c>
      <c r="N42" s="30" t="s">
        <v>770</v>
      </c>
      <c r="O42">
        <v>2</v>
      </c>
      <c r="P42" s="24">
        <v>0</v>
      </c>
      <c r="Q42" s="22">
        <v>0</v>
      </c>
      <c r="R42">
        <v>1110.9130499999999</v>
      </c>
      <c r="S42">
        <f t="shared" si="0"/>
        <v>0</v>
      </c>
    </row>
    <row r="43" spans="1:19">
      <c r="A43" s="20"/>
      <c r="B43" s="20"/>
      <c r="C43" s="20"/>
      <c r="D43" s="21" t="s">
        <v>210</v>
      </c>
      <c r="E43" s="22">
        <v>2162.875</v>
      </c>
      <c r="M43" s="16" t="s">
        <v>502</v>
      </c>
      <c r="N43" s="30" t="s">
        <v>770</v>
      </c>
      <c r="O43">
        <v>3</v>
      </c>
      <c r="P43" s="24">
        <v>0</v>
      </c>
      <c r="Q43" s="22">
        <v>0</v>
      </c>
      <c r="R43">
        <v>80.2971</v>
      </c>
      <c r="S43">
        <f t="shared" si="0"/>
        <v>0</v>
      </c>
    </row>
    <row r="44" spans="1:19">
      <c r="A44" s="20"/>
      <c r="B44" s="20"/>
      <c r="C44" s="20"/>
      <c r="D44" s="21" t="s">
        <v>271</v>
      </c>
      <c r="E44" s="22">
        <v>3.7800000000000002</v>
      </c>
      <c r="M44" s="16" t="s">
        <v>502</v>
      </c>
      <c r="N44" s="30" t="s">
        <v>770</v>
      </c>
      <c r="O44">
        <v>4</v>
      </c>
      <c r="P44" s="24">
        <v>0</v>
      </c>
      <c r="Q44" s="22">
        <v>0</v>
      </c>
      <c r="R44">
        <v>1121.2499999999998</v>
      </c>
      <c r="S44">
        <f t="shared" si="0"/>
        <v>0</v>
      </c>
    </row>
    <row r="45" spans="1:19">
      <c r="A45" s="20"/>
      <c r="B45" s="20"/>
      <c r="C45" s="16" t="s">
        <v>759</v>
      </c>
      <c r="D45" s="23"/>
      <c r="E45" s="19">
        <v>7233.0618999999997</v>
      </c>
      <c r="M45" s="16" t="s">
        <v>670</v>
      </c>
      <c r="N45" s="16" t="s">
        <v>400</v>
      </c>
      <c r="O45">
        <v>1</v>
      </c>
      <c r="P45" s="24">
        <v>0</v>
      </c>
      <c r="Q45" s="22">
        <v>0</v>
      </c>
      <c r="R45">
        <v>2054.4693000000002</v>
      </c>
      <c r="S45">
        <f t="shared" si="0"/>
        <v>0</v>
      </c>
    </row>
    <row r="46" spans="1:19">
      <c r="A46" s="20"/>
      <c r="B46" s="16" t="s">
        <v>660</v>
      </c>
      <c r="C46" s="23"/>
      <c r="D46" s="23"/>
      <c r="E46" s="19">
        <v>12968.459087500001</v>
      </c>
      <c r="M46" s="16" t="s">
        <v>670</v>
      </c>
      <c r="N46" s="16" t="s">
        <v>400</v>
      </c>
      <c r="O46">
        <v>2</v>
      </c>
      <c r="P46" s="19">
        <v>6592.1015625</v>
      </c>
      <c r="Q46" s="22">
        <v>5.6000000000000005</v>
      </c>
      <c r="R46">
        <v>2180.8312500000002</v>
      </c>
      <c r="S46">
        <f t="shared" si="0"/>
        <v>6597.7015625000004</v>
      </c>
    </row>
    <row r="47" spans="1:19">
      <c r="A47" s="16" t="s">
        <v>833</v>
      </c>
      <c r="B47" s="23"/>
      <c r="C47" s="23"/>
      <c r="D47" s="23"/>
      <c r="E47" s="19">
        <v>28851.93468277017</v>
      </c>
      <c r="M47" s="16" t="s">
        <v>670</v>
      </c>
      <c r="N47" s="16" t="s">
        <v>400</v>
      </c>
      <c r="O47">
        <v>3</v>
      </c>
      <c r="P47" s="19">
        <v>6340.8796874999998</v>
      </c>
      <c r="Q47" s="22">
        <v>3.3600000000000003</v>
      </c>
      <c r="R47">
        <v>1147.0875000000001</v>
      </c>
      <c r="S47">
        <f t="shared" si="0"/>
        <v>6344.2396874999995</v>
      </c>
    </row>
    <row r="48" spans="1:19">
      <c r="A48" s="16" t="s">
        <v>276</v>
      </c>
      <c r="B48" s="16" t="s">
        <v>290</v>
      </c>
      <c r="C48" s="16">
        <v>1</v>
      </c>
      <c r="D48" s="16" t="s">
        <v>211</v>
      </c>
      <c r="E48" s="19">
        <v>5701.6156250000004</v>
      </c>
      <c r="M48" s="16" t="s">
        <v>670</v>
      </c>
      <c r="N48" s="16" t="s">
        <v>400</v>
      </c>
      <c r="O48">
        <v>4</v>
      </c>
      <c r="P48" s="19">
        <v>394.63593749999995</v>
      </c>
      <c r="Q48" s="22">
        <v>662.8146875000001</v>
      </c>
      <c r="R48">
        <v>4229.3062499999996</v>
      </c>
      <c r="S48">
        <f t="shared" si="0"/>
        <v>1057.4506249999999</v>
      </c>
    </row>
    <row r="49" spans="1:19">
      <c r="A49" s="20"/>
      <c r="B49" s="20"/>
      <c r="C49" s="20"/>
      <c r="D49" s="21" t="s">
        <v>407</v>
      </c>
      <c r="E49" s="22">
        <v>107.66139215707673</v>
      </c>
      <c r="M49" s="16" t="s">
        <v>670</v>
      </c>
      <c r="N49" s="16" t="s">
        <v>400</v>
      </c>
      <c r="O49">
        <v>5</v>
      </c>
      <c r="P49" s="19">
        <v>528.81875000000002</v>
      </c>
      <c r="Q49" s="22">
        <v>51.572500000000005</v>
      </c>
      <c r="R49">
        <v>1028.4261000000001</v>
      </c>
      <c r="S49">
        <f t="shared" si="0"/>
        <v>580.39125000000001</v>
      </c>
    </row>
    <row r="50" spans="1:19">
      <c r="A50" s="20"/>
      <c r="B50" s="20"/>
      <c r="C50" s="16" t="s">
        <v>758</v>
      </c>
      <c r="D50" s="23"/>
      <c r="E50" s="19">
        <v>5809.2770171570774</v>
      </c>
      <c r="M50" s="16" t="s">
        <v>670</v>
      </c>
      <c r="N50" s="16" t="s">
        <v>400</v>
      </c>
      <c r="O50">
        <v>6</v>
      </c>
      <c r="P50" s="19">
        <v>405.18593750000002</v>
      </c>
      <c r="Q50" s="22">
        <v>27.352500000000003</v>
      </c>
      <c r="R50">
        <v>36.363599999999998</v>
      </c>
      <c r="S50">
        <f t="shared" si="0"/>
        <v>432.53843750000004</v>
      </c>
    </row>
    <row r="51" spans="1:19">
      <c r="A51" s="20"/>
      <c r="B51" s="20"/>
      <c r="C51" s="16">
        <v>2</v>
      </c>
      <c r="D51" s="16" t="s">
        <v>211</v>
      </c>
      <c r="E51" s="19">
        <v>6423.3015625000007</v>
      </c>
      <c r="M51" s="16" t="s">
        <v>670</v>
      </c>
      <c r="N51" s="16" t="s">
        <v>671</v>
      </c>
      <c r="O51">
        <v>1</v>
      </c>
      <c r="P51" s="19">
        <v>12015.790625</v>
      </c>
      <c r="Q51" s="22">
        <v>0</v>
      </c>
      <c r="R51">
        <v>3716.7</v>
      </c>
      <c r="S51">
        <f t="shared" si="0"/>
        <v>12015.790625</v>
      </c>
    </row>
    <row r="52" spans="1:19">
      <c r="A52" s="20"/>
      <c r="B52" s="20"/>
      <c r="C52" s="20"/>
      <c r="D52" s="21" t="s">
        <v>409</v>
      </c>
      <c r="E52" s="22">
        <v>535.51874999999995</v>
      </c>
      <c r="F52">
        <v>543.50594999999998</v>
      </c>
      <c r="M52" s="16" t="s">
        <v>670</v>
      </c>
      <c r="N52" s="16" t="s">
        <v>671</v>
      </c>
      <c r="O52">
        <v>2</v>
      </c>
      <c r="P52" s="19">
        <v>5914.2640624999995</v>
      </c>
      <c r="Q52" s="22">
        <v>925.09156250000012</v>
      </c>
      <c r="R52">
        <v>4235.3044499999996</v>
      </c>
      <c r="S52">
        <f t="shared" si="0"/>
        <v>6839.3556249999992</v>
      </c>
    </row>
    <row r="53" spans="1:19">
      <c r="A53" s="20"/>
      <c r="B53" s="20"/>
      <c r="C53" s="20"/>
      <c r="D53" s="21" t="s">
        <v>45</v>
      </c>
      <c r="E53" s="22">
        <v>14.349647934649656</v>
      </c>
      <c r="M53" s="16" t="s">
        <v>670</v>
      </c>
      <c r="N53" s="16" t="s">
        <v>671</v>
      </c>
      <c r="O53">
        <v>3</v>
      </c>
      <c r="P53" s="19">
        <v>1032.58125</v>
      </c>
      <c r="Q53" s="22">
        <v>0</v>
      </c>
      <c r="R53">
        <v>2591.7391499999999</v>
      </c>
      <c r="S53">
        <f t="shared" si="0"/>
        <v>1032.58125</v>
      </c>
    </row>
    <row r="54" spans="1:19">
      <c r="A54" s="20"/>
      <c r="B54" s="20"/>
      <c r="C54" s="20"/>
      <c r="D54" s="21" t="s">
        <v>281</v>
      </c>
      <c r="E54" s="22">
        <v>23.961599999999997</v>
      </c>
      <c r="M54" s="16" t="s">
        <v>670</v>
      </c>
      <c r="N54" s="16" t="s">
        <v>671</v>
      </c>
      <c r="O54">
        <v>4</v>
      </c>
      <c r="P54" s="19">
        <v>6996.6281249999993</v>
      </c>
      <c r="Q54" s="22">
        <v>2128.7634375000002</v>
      </c>
      <c r="R54">
        <v>2218.125</v>
      </c>
      <c r="S54">
        <f t="shared" si="0"/>
        <v>9125.3915624999991</v>
      </c>
    </row>
    <row r="55" spans="1:19">
      <c r="A55" s="20"/>
      <c r="B55" s="20"/>
      <c r="C55" s="20"/>
      <c r="D55" s="21" t="s">
        <v>283</v>
      </c>
      <c r="E55" s="22">
        <v>20.727032212067943</v>
      </c>
      <c r="M55" s="16" t="s">
        <v>670</v>
      </c>
      <c r="N55" s="16" t="s">
        <v>671</v>
      </c>
      <c r="O55">
        <v>5</v>
      </c>
      <c r="P55" s="19">
        <v>370.8984375</v>
      </c>
      <c r="Q55" s="22">
        <v>11.515000000000001</v>
      </c>
      <c r="R55">
        <v>2493.0789</v>
      </c>
      <c r="S55">
        <f t="shared" si="0"/>
        <v>382.41343749999999</v>
      </c>
    </row>
    <row r="56" spans="1:19">
      <c r="A56" s="20"/>
      <c r="B56" s="20"/>
      <c r="C56" s="16" t="s">
        <v>759</v>
      </c>
      <c r="D56" s="23"/>
      <c r="E56" s="19">
        <v>7017.8585926467176</v>
      </c>
      <c r="M56" s="16" t="s">
        <v>670</v>
      </c>
      <c r="N56" s="16" t="s">
        <v>671</v>
      </c>
      <c r="O56">
        <v>6</v>
      </c>
      <c r="P56" s="19">
        <v>865.4296875</v>
      </c>
      <c r="Q56" s="22">
        <v>654.18718750000016</v>
      </c>
      <c r="R56">
        <v>2626.40625</v>
      </c>
      <c r="S56">
        <f t="shared" si="0"/>
        <v>1519.6168750000002</v>
      </c>
    </row>
    <row r="57" spans="1:19">
      <c r="A57" s="20"/>
      <c r="B57" s="20"/>
      <c r="C57" s="16">
        <v>3</v>
      </c>
      <c r="D57" s="16" t="s">
        <v>406</v>
      </c>
      <c r="E57" s="19">
        <v>83.606250000000003</v>
      </c>
      <c r="F57">
        <v>334.42500000000001</v>
      </c>
      <c r="M57" s="16" t="s">
        <v>670</v>
      </c>
      <c r="N57" s="16" t="s">
        <v>671</v>
      </c>
      <c r="O57">
        <v>7</v>
      </c>
      <c r="P57" s="25">
        <v>0</v>
      </c>
      <c r="Q57" s="19">
        <v>20.107500000000002</v>
      </c>
      <c r="R57">
        <v>536.39819999999997</v>
      </c>
      <c r="S57">
        <f t="shared" si="0"/>
        <v>20.107500000000002</v>
      </c>
    </row>
    <row r="58" spans="1:19">
      <c r="A58" s="20"/>
      <c r="B58" s="20"/>
      <c r="C58" s="20"/>
      <c r="D58" s="21" t="s">
        <v>409</v>
      </c>
      <c r="E58" s="22">
        <v>250.81875000000002</v>
      </c>
      <c r="M58" s="16" t="s">
        <v>670</v>
      </c>
      <c r="N58" s="16" t="s">
        <v>41</v>
      </c>
      <c r="O58">
        <v>1</v>
      </c>
      <c r="P58" s="19">
        <v>164.84375</v>
      </c>
      <c r="Q58" s="22">
        <v>0</v>
      </c>
      <c r="R58">
        <v>1037.64375</v>
      </c>
      <c r="S58">
        <f t="shared" si="0"/>
        <v>164.84375</v>
      </c>
    </row>
    <row r="59" spans="1:19">
      <c r="A59" s="20"/>
      <c r="B59" s="20"/>
      <c r="C59" s="20"/>
      <c r="D59" s="21" t="s">
        <v>210</v>
      </c>
      <c r="E59" s="22">
        <v>446.265625</v>
      </c>
      <c r="M59" s="16" t="s">
        <v>670</v>
      </c>
      <c r="N59" s="16" t="s">
        <v>41</v>
      </c>
      <c r="O59">
        <v>2</v>
      </c>
      <c r="P59" s="19">
        <v>360.34843749999999</v>
      </c>
      <c r="Q59" s="22">
        <v>0</v>
      </c>
      <c r="R59">
        <v>4943.9753999999994</v>
      </c>
      <c r="S59">
        <f t="shared" si="0"/>
        <v>360.34843749999999</v>
      </c>
    </row>
    <row r="60" spans="1:19">
      <c r="A60" s="20"/>
      <c r="B60" s="20"/>
      <c r="C60" s="20"/>
      <c r="D60" s="21" t="s">
        <v>407</v>
      </c>
      <c r="E60" s="22">
        <v>0.22517970576739735</v>
      </c>
      <c r="M60" s="16" t="s">
        <v>670</v>
      </c>
      <c r="N60" s="16" t="s">
        <v>41</v>
      </c>
      <c r="O60">
        <v>3</v>
      </c>
      <c r="P60" s="19">
        <v>1236.328125</v>
      </c>
      <c r="Q60" s="22">
        <v>0</v>
      </c>
      <c r="R60">
        <v>1368.65625</v>
      </c>
      <c r="S60">
        <f t="shared" si="0"/>
        <v>1236.328125</v>
      </c>
    </row>
    <row r="61" spans="1:19">
      <c r="A61" s="20"/>
      <c r="B61" s="20"/>
      <c r="C61" s="20"/>
      <c r="D61" s="21" t="s">
        <v>284</v>
      </c>
      <c r="E61" s="22">
        <v>3.9832953736762806</v>
      </c>
      <c r="M61" s="16" t="s">
        <v>670</v>
      </c>
      <c r="N61" s="16" t="s">
        <v>41</v>
      </c>
      <c r="O61">
        <v>4</v>
      </c>
      <c r="P61" s="18">
        <v>1277.5390625</v>
      </c>
      <c r="Q61" s="22">
        <v>3.6575000000000002</v>
      </c>
      <c r="R61">
        <v>1502.6349</v>
      </c>
      <c r="S61">
        <f t="shared" si="0"/>
        <v>1281.1965625</v>
      </c>
    </row>
    <row r="62" spans="1:19">
      <c r="A62" s="20"/>
      <c r="B62" s="20"/>
      <c r="C62" s="16" t="s">
        <v>760</v>
      </c>
      <c r="D62" s="23"/>
      <c r="E62" s="19">
        <v>784.89910007944354</v>
      </c>
      <c r="M62" s="16" t="s">
        <v>670</v>
      </c>
      <c r="N62" s="16" t="s">
        <v>41</v>
      </c>
      <c r="O62">
        <v>5</v>
      </c>
      <c r="P62" s="31">
        <v>0</v>
      </c>
      <c r="Q62" s="19">
        <v>4.4800000000000004</v>
      </c>
      <c r="R62">
        <v>11.372399999999999</v>
      </c>
      <c r="S62">
        <f t="shared" si="0"/>
        <v>4.4800000000000004</v>
      </c>
    </row>
    <row r="63" spans="1:19">
      <c r="A63" s="20"/>
      <c r="B63" s="20"/>
      <c r="C63" s="16">
        <v>4</v>
      </c>
      <c r="D63" s="16" t="s">
        <v>210</v>
      </c>
      <c r="E63" s="19">
        <v>1625</v>
      </c>
      <c r="M63" s="16" t="s">
        <v>670</v>
      </c>
      <c r="N63" s="16" t="s">
        <v>41</v>
      </c>
      <c r="O63">
        <v>6</v>
      </c>
      <c r="P63" s="19">
        <v>1821.1937499999999</v>
      </c>
      <c r="Q63" s="22">
        <v>0</v>
      </c>
      <c r="R63">
        <v>2201.5948500000004</v>
      </c>
      <c r="S63">
        <f t="shared" si="0"/>
        <v>1821.1937499999999</v>
      </c>
    </row>
    <row r="64" spans="1:19">
      <c r="A64" s="20"/>
      <c r="B64" s="20"/>
      <c r="C64" s="20"/>
      <c r="D64" s="21" t="s">
        <v>238</v>
      </c>
      <c r="E64" s="22">
        <v>28.937999999999999</v>
      </c>
      <c r="F64" s="22">
        <v>28.937999999999999</v>
      </c>
      <c r="M64" s="16" t="s">
        <v>670</v>
      </c>
      <c r="N64" s="16" t="s">
        <v>41</v>
      </c>
      <c r="O64">
        <v>7</v>
      </c>
      <c r="P64" s="19">
        <v>1229.4046874999999</v>
      </c>
      <c r="Q64" s="22">
        <v>10.080000000000002</v>
      </c>
      <c r="R64">
        <v>1231.8169500000001</v>
      </c>
      <c r="S64">
        <f t="shared" si="0"/>
        <v>1239.4846874999998</v>
      </c>
    </row>
    <row r="65" spans="1:36">
      <c r="A65" s="20"/>
      <c r="B65" s="20"/>
      <c r="C65" s="16" t="s">
        <v>761</v>
      </c>
      <c r="D65" s="23"/>
      <c r="E65" s="19">
        <v>1653.9380000000001</v>
      </c>
      <c r="M65" s="16" t="s">
        <v>670</v>
      </c>
      <c r="N65" s="16" t="s">
        <v>41</v>
      </c>
      <c r="O65">
        <v>8</v>
      </c>
      <c r="P65" s="19">
        <v>236.71562499999999</v>
      </c>
      <c r="Q65" s="22">
        <v>4.9525000000000006</v>
      </c>
      <c r="R65">
        <v>1385.1318000000001</v>
      </c>
      <c r="S65">
        <f t="shared" si="0"/>
        <v>241.66812499999997</v>
      </c>
    </row>
    <row r="66" spans="1:36">
      <c r="A66" s="20"/>
      <c r="B66" s="20"/>
      <c r="C66" s="16">
        <v>5</v>
      </c>
      <c r="D66" s="16" t="s">
        <v>409</v>
      </c>
      <c r="E66" s="19">
        <v>619.125</v>
      </c>
      <c r="F66" s="19">
        <v>656.05020000000002</v>
      </c>
      <c r="R66" s="22"/>
    </row>
    <row r="67" spans="1:36">
      <c r="A67" s="20"/>
      <c r="B67" s="20"/>
      <c r="C67" s="20"/>
      <c r="D67" s="21" t="s">
        <v>407</v>
      </c>
      <c r="E67" s="22">
        <v>0.37171984601790925</v>
      </c>
      <c r="R67" s="22"/>
    </row>
    <row r="68" spans="1:36">
      <c r="A68" s="20"/>
      <c r="B68" s="20"/>
      <c r="C68" s="20"/>
      <c r="D68" s="21" t="s">
        <v>238</v>
      </c>
      <c r="E68" s="22">
        <v>36.925199999999997</v>
      </c>
      <c r="R68" s="22"/>
    </row>
    <row r="69" spans="1:36">
      <c r="A69" s="20"/>
      <c r="B69" s="20"/>
      <c r="C69" s="20"/>
      <c r="D69" s="21" t="s">
        <v>499</v>
      </c>
      <c r="E69" s="22">
        <v>117.25820068180396</v>
      </c>
    </row>
    <row r="70" spans="1:36">
      <c r="A70" s="20"/>
      <c r="B70" s="20"/>
      <c r="C70" s="16" t="s">
        <v>762</v>
      </c>
      <c r="D70" s="23"/>
      <c r="E70" s="19">
        <v>773.68012052782183</v>
      </c>
    </row>
    <row r="71" spans="1:36">
      <c r="A71" s="20"/>
      <c r="B71" s="20"/>
      <c r="C71" s="16">
        <v>6</v>
      </c>
      <c r="D71" s="16" t="s">
        <v>210</v>
      </c>
      <c r="E71" s="19">
        <v>1184.625</v>
      </c>
    </row>
    <row r="72" spans="1:36">
      <c r="A72" s="20"/>
      <c r="B72" s="20"/>
      <c r="C72" s="20"/>
      <c r="D72" s="21" t="s">
        <v>238</v>
      </c>
      <c r="E72" s="22">
        <v>5.3507999999999996</v>
      </c>
      <c r="F72" s="22">
        <v>5.3507999999999996</v>
      </c>
      <c r="Y72" t="s">
        <v>766</v>
      </c>
      <c r="Z72" t="s">
        <v>774</v>
      </c>
      <c r="AA72" t="s">
        <v>738</v>
      </c>
      <c r="AB72" t="s">
        <v>739</v>
      </c>
      <c r="AC72" t="s">
        <v>740</v>
      </c>
      <c r="AD72" t="s">
        <v>741</v>
      </c>
      <c r="AE72" t="s">
        <v>345</v>
      </c>
      <c r="AF72" t="s">
        <v>346</v>
      </c>
      <c r="AG72" t="s">
        <v>347</v>
      </c>
      <c r="AH72" t="s">
        <v>369</v>
      </c>
      <c r="AI72" t="s">
        <v>568</v>
      </c>
      <c r="AJ72" t="s">
        <v>347</v>
      </c>
    </row>
    <row r="73" spans="1:36">
      <c r="A73" s="20"/>
      <c r="B73" s="20"/>
      <c r="C73" s="16" t="s">
        <v>763</v>
      </c>
      <c r="D73" s="23"/>
      <c r="E73" s="19">
        <v>1189.9757999999999</v>
      </c>
      <c r="Y73" t="s">
        <v>742</v>
      </c>
      <c r="Z73" t="s">
        <v>344</v>
      </c>
      <c r="AA73" s="19">
        <v>2020.8195312500002</v>
      </c>
      <c r="AB73" s="19">
        <v>3138.9474105429122</v>
      </c>
      <c r="AC73" s="19">
        <v>6</v>
      </c>
      <c r="AD73">
        <f>AB73/SQRT(AC73)</f>
        <v>1281.4699142101135</v>
      </c>
      <c r="AE73" s="19">
        <v>33.222656250000007</v>
      </c>
      <c r="AF73" s="19">
        <v>81.378555712386458</v>
      </c>
      <c r="AG73">
        <f>AF73/SQRT(AC73)</f>
        <v>33.222656250000007</v>
      </c>
      <c r="AH73" s="19">
        <v>261.37832499999996</v>
      </c>
      <c r="AI73" s="19">
        <v>292.7780488548446</v>
      </c>
      <c r="AJ73">
        <f>AI73/SQRT(AC73)</f>
        <v>119.52613793033568</v>
      </c>
    </row>
    <row r="74" spans="1:36">
      <c r="A74" s="20"/>
      <c r="B74" s="16" t="s">
        <v>743</v>
      </c>
      <c r="C74" s="23"/>
      <c r="D74" s="23"/>
      <c r="E74" s="19">
        <v>17229.628630411062</v>
      </c>
      <c r="Y74" t="s">
        <v>742</v>
      </c>
      <c r="Z74" t="s">
        <v>771</v>
      </c>
      <c r="AA74" s="22">
        <v>524.03828125000007</v>
      </c>
      <c r="AB74" s="22">
        <v>727.78820669306924</v>
      </c>
      <c r="AC74" s="22">
        <v>6</v>
      </c>
      <c r="AD74">
        <f t="shared" ref="AD74:AD81" si="1">AB74/SQRT(AC74)</f>
        <v>297.11829120220614</v>
      </c>
      <c r="AE74" s="22">
        <v>233.47005208333337</v>
      </c>
      <c r="AF74" s="22">
        <v>294.77706028278658</v>
      </c>
      <c r="AG74">
        <f t="shared" ref="AG74:AG81" si="2">AF74/SQRT(AC74)</f>
        <v>120.34223092841073</v>
      </c>
      <c r="AH74" s="22">
        <v>1231.9203</v>
      </c>
      <c r="AI74" s="22">
        <v>336.55619353379774</v>
      </c>
      <c r="AJ74">
        <f t="shared" ref="AJ74:AJ81" si="3">AI74/SQRT(AC74)</f>
        <v>137.39849065519797</v>
      </c>
    </row>
    <row r="75" spans="1:36">
      <c r="A75" s="20"/>
      <c r="B75" s="16" t="s">
        <v>234</v>
      </c>
      <c r="C75" s="16">
        <v>1</v>
      </c>
      <c r="D75" s="16" t="s">
        <v>211</v>
      </c>
      <c r="E75" s="19">
        <v>1764.1578125000001</v>
      </c>
      <c r="F75">
        <v>1437.1695</v>
      </c>
      <c r="R75" s="16" t="s">
        <v>348</v>
      </c>
      <c r="S75" s="17"/>
      <c r="T75" s="18"/>
      <c r="Y75" t="s">
        <v>742</v>
      </c>
      <c r="Z75" t="s">
        <v>685</v>
      </c>
      <c r="AA75" s="22">
        <v>315.78567708333338</v>
      </c>
      <c r="AB75" s="22">
        <v>567.49167569388385</v>
      </c>
      <c r="AC75" s="22">
        <v>6</v>
      </c>
      <c r="AD75">
        <f t="shared" si="1"/>
        <v>231.67750645450107</v>
      </c>
      <c r="AE75" s="22">
        <v>0</v>
      </c>
      <c r="AF75" s="22">
        <v>0</v>
      </c>
      <c r="AG75">
        <f t="shared" si="2"/>
        <v>0</v>
      </c>
      <c r="AH75" s="22">
        <v>502.88355000000001</v>
      </c>
      <c r="AI75" s="22">
        <v>599.90699000564575</v>
      </c>
      <c r="AJ75">
        <f t="shared" si="3"/>
        <v>244.91100310712665</v>
      </c>
    </row>
    <row r="76" spans="1:36">
      <c r="A76" s="20"/>
      <c r="B76" s="20"/>
      <c r="C76" s="20"/>
      <c r="D76" s="21" t="s">
        <v>38</v>
      </c>
      <c r="E76" s="22">
        <v>600.74218750000011</v>
      </c>
      <c r="R76" s="29" t="s">
        <v>765</v>
      </c>
      <c r="S76" s="29" t="s">
        <v>767</v>
      </c>
      <c r="T76" s="18" t="s">
        <v>730</v>
      </c>
      <c r="Y76" t="s">
        <v>466</v>
      </c>
      <c r="Z76" t="s">
        <v>467</v>
      </c>
      <c r="AA76" s="19">
        <v>291.64156250000002</v>
      </c>
      <c r="AB76" s="19">
        <v>304.21927237492071</v>
      </c>
      <c r="AC76" s="19">
        <v>5</v>
      </c>
      <c r="AD76">
        <f t="shared" si="1"/>
        <v>136.0509946191693</v>
      </c>
      <c r="AE76" s="19">
        <v>94.1574375</v>
      </c>
      <c r="AF76" s="19">
        <v>136.98893519991691</v>
      </c>
      <c r="AG76">
        <f t="shared" si="2"/>
        <v>61.263314254465584</v>
      </c>
      <c r="AH76" s="19">
        <v>1082.729</v>
      </c>
      <c r="AI76" s="19">
        <v>738.66482768848732</v>
      </c>
      <c r="AJ76">
        <f t="shared" si="3"/>
        <v>330.34095345992529</v>
      </c>
    </row>
    <row r="77" spans="1:36">
      <c r="A77" s="20"/>
      <c r="B77" s="20"/>
      <c r="C77" s="20"/>
      <c r="D77" s="21" t="s">
        <v>406</v>
      </c>
      <c r="E77" s="22">
        <v>1730.625</v>
      </c>
      <c r="R77" s="16" t="s">
        <v>276</v>
      </c>
      <c r="S77" s="16" t="s">
        <v>290</v>
      </c>
      <c r="T77" s="19">
        <v>81.378555712386458</v>
      </c>
      <c r="Y77" t="s">
        <v>466</v>
      </c>
      <c r="Z77" t="s">
        <v>772</v>
      </c>
      <c r="AA77" s="22">
        <v>0</v>
      </c>
      <c r="AB77" s="22">
        <v>0</v>
      </c>
      <c r="AC77" s="22">
        <v>4</v>
      </c>
      <c r="AD77">
        <f t="shared" si="1"/>
        <v>0</v>
      </c>
      <c r="AE77" s="22">
        <v>0</v>
      </c>
      <c r="AF77" s="22">
        <v>0</v>
      </c>
      <c r="AG77">
        <f t="shared" si="2"/>
        <v>0</v>
      </c>
      <c r="AH77" s="22">
        <v>729.3758375000001</v>
      </c>
      <c r="AI77" s="22">
        <v>556.16618516914048</v>
      </c>
      <c r="AJ77">
        <f t="shared" si="3"/>
        <v>278.08309258457024</v>
      </c>
    </row>
    <row r="78" spans="1:36">
      <c r="A78" s="20"/>
      <c r="B78" s="20"/>
      <c r="C78" s="20"/>
      <c r="D78" s="21" t="s">
        <v>409</v>
      </c>
      <c r="E78" s="22">
        <v>167.21250000000001</v>
      </c>
      <c r="R78" s="20"/>
      <c r="S78" s="21" t="s">
        <v>234</v>
      </c>
      <c r="T78" s="22">
        <v>294.77706028278658</v>
      </c>
      <c r="Y78" t="s">
        <v>466</v>
      </c>
      <c r="Z78" t="s">
        <v>773</v>
      </c>
      <c r="AA78" s="22">
        <v>260.8377604166667</v>
      </c>
      <c r="AB78" s="22">
        <v>439.71836770359585</v>
      </c>
      <c r="AC78" s="22">
        <v>6</v>
      </c>
      <c r="AD78">
        <f t="shared" si="1"/>
        <v>179.51427190055333</v>
      </c>
      <c r="AE78" s="22">
        <v>131.71703125000002</v>
      </c>
      <c r="AF78" s="22">
        <v>213.3220779436422</v>
      </c>
      <c r="AG78">
        <f t="shared" si="2"/>
        <v>87.088373638690868</v>
      </c>
      <c r="AH78" s="22">
        <v>801.05100833333336</v>
      </c>
      <c r="AI78" s="22">
        <v>177.71065304041497</v>
      </c>
      <c r="AJ78">
        <f t="shared" si="3"/>
        <v>72.550070300966112</v>
      </c>
    </row>
    <row r="79" spans="1:36">
      <c r="A79" s="20"/>
      <c r="B79" s="20"/>
      <c r="C79" s="20"/>
      <c r="D79" s="21" t="s">
        <v>45</v>
      </c>
      <c r="E79" s="22">
        <v>20.893409163700582</v>
      </c>
      <c r="R79" s="20"/>
      <c r="S79" s="21" t="s">
        <v>461</v>
      </c>
      <c r="T79" s="22">
        <v>0</v>
      </c>
      <c r="Y79" t="s">
        <v>834</v>
      </c>
      <c r="Z79" t="s">
        <v>835</v>
      </c>
      <c r="AA79" s="19">
        <v>2376.9369791666668</v>
      </c>
      <c r="AB79" s="19">
        <v>3173.7405137014935</v>
      </c>
      <c r="AC79" s="19">
        <v>6</v>
      </c>
      <c r="AD79">
        <f t="shared" si="1"/>
        <v>1295.6741390945372</v>
      </c>
      <c r="AE79" s="19">
        <v>125.11661458333334</v>
      </c>
      <c r="AF79" s="19">
        <v>264.13967445632113</v>
      </c>
      <c r="AG79">
        <f t="shared" si="2"/>
        <v>107.83457054047442</v>
      </c>
      <c r="AH79" s="19">
        <v>2854.3117291666667</v>
      </c>
      <c r="AI79" s="19">
        <v>1431.1399364670476</v>
      </c>
      <c r="AJ79">
        <f t="shared" si="3"/>
        <v>584.26043247723373</v>
      </c>
    </row>
    <row r="80" spans="1:36">
      <c r="A80" s="20"/>
      <c r="B80" s="20"/>
      <c r="C80" s="20"/>
      <c r="D80" s="21" t="s">
        <v>238</v>
      </c>
      <c r="E80" s="22">
        <v>124.7064</v>
      </c>
      <c r="R80" s="16" t="s">
        <v>823</v>
      </c>
      <c r="S80" s="23"/>
      <c r="T80" s="19">
        <v>196.88784240634556</v>
      </c>
      <c r="Y80" t="s">
        <v>834</v>
      </c>
      <c r="Z80" t="s">
        <v>836</v>
      </c>
      <c r="AA80" s="22">
        <v>3885.0845982142855</v>
      </c>
      <c r="AB80" s="22">
        <v>4557.1579365174293</v>
      </c>
      <c r="AC80" s="22">
        <v>7</v>
      </c>
      <c r="AD80">
        <f t="shared" si="1"/>
        <v>1722.4437978956275</v>
      </c>
      <c r="AE80" s="22">
        <v>534.23781250000013</v>
      </c>
      <c r="AF80" s="22">
        <v>797.71085747305938</v>
      </c>
      <c r="AG80">
        <f t="shared" si="2"/>
        <v>301.50636385854364</v>
      </c>
      <c r="AH80" s="22">
        <v>7084.785489285714</v>
      </c>
      <c r="AI80" s="22">
        <v>1178.3423660952328</v>
      </c>
      <c r="AJ80">
        <f t="shared" si="3"/>
        <v>445.37155142563057</v>
      </c>
    </row>
    <row r="81" spans="1:36">
      <c r="A81" s="20"/>
      <c r="B81" s="20"/>
      <c r="C81" s="20"/>
      <c r="D81" s="21" t="s">
        <v>446</v>
      </c>
      <c r="E81" s="22">
        <v>4.4819649463912077</v>
      </c>
      <c r="R81" s="16" t="s">
        <v>502</v>
      </c>
      <c r="S81" s="16" t="s">
        <v>503</v>
      </c>
      <c r="T81" s="19">
        <v>136.98893519991691</v>
      </c>
      <c r="Y81" t="s">
        <v>834</v>
      </c>
      <c r="Z81" t="s">
        <v>837</v>
      </c>
      <c r="AA81" s="22">
        <v>790.79667968749993</v>
      </c>
      <c r="AB81" s="22">
        <v>676.0155837351183</v>
      </c>
      <c r="AC81" s="22">
        <v>8</v>
      </c>
      <c r="AD81">
        <f t="shared" si="1"/>
        <v>239.00760172344224</v>
      </c>
      <c r="AE81" s="22">
        <v>2.8962500000000002</v>
      </c>
      <c r="AF81" s="22">
        <v>3.634659543891285</v>
      </c>
      <c r="AG81">
        <f t="shared" si="2"/>
        <v>1.2850462053949656</v>
      </c>
      <c r="AH81" s="22">
        <v>2504.0462171874997</v>
      </c>
      <c r="AI81" s="22">
        <v>1440.8020709358702</v>
      </c>
      <c r="AJ81">
        <f t="shared" si="3"/>
        <v>509.40045735318745</v>
      </c>
    </row>
    <row r="82" spans="1:36">
      <c r="A82" s="20"/>
      <c r="B82" s="20"/>
      <c r="C82" s="20"/>
      <c r="D82" s="21" t="s">
        <v>448</v>
      </c>
      <c r="E82" s="22">
        <v>2940.4774656398595</v>
      </c>
      <c r="F82">
        <v>1457.3812499999999</v>
      </c>
      <c r="R82" s="20"/>
      <c r="S82" s="21" t="s">
        <v>186</v>
      </c>
      <c r="T82" s="22">
        <v>0</v>
      </c>
    </row>
    <row r="83" spans="1:36">
      <c r="A83" s="20"/>
      <c r="B83" s="20"/>
      <c r="C83" s="20"/>
      <c r="D83" s="21" t="s">
        <v>243</v>
      </c>
      <c r="E83" s="22">
        <v>442.61999999999995</v>
      </c>
      <c r="R83" s="20"/>
      <c r="S83" s="21" t="s">
        <v>302</v>
      </c>
      <c r="T83" s="22">
        <v>213.3220779436422</v>
      </c>
    </row>
    <row r="84" spans="1:36">
      <c r="A84" s="20"/>
      <c r="B84" s="20"/>
      <c r="C84" s="20"/>
      <c r="D84" s="21" t="s">
        <v>458</v>
      </c>
      <c r="E84" s="22">
        <v>698.88733925985878</v>
      </c>
      <c r="R84" s="16" t="s">
        <v>752</v>
      </c>
      <c r="S84" s="23"/>
      <c r="T84" s="19">
        <v>156.97968411655069</v>
      </c>
    </row>
    <row r="85" spans="1:36">
      <c r="A85" s="20"/>
      <c r="B85" s="20"/>
      <c r="C85" s="16" t="s">
        <v>758</v>
      </c>
      <c r="D85" s="23"/>
      <c r="E85" s="19">
        <v>8494.8040790098094</v>
      </c>
      <c r="R85" s="16" t="s">
        <v>670</v>
      </c>
      <c r="S85" s="16" t="s">
        <v>400</v>
      </c>
      <c r="T85" s="19">
        <v>264.13967445632113</v>
      </c>
    </row>
    <row r="86" spans="1:36">
      <c r="A86" s="20"/>
      <c r="B86" s="20"/>
      <c r="C86" s="16">
        <v>2</v>
      </c>
      <c r="D86" s="16" t="s">
        <v>211</v>
      </c>
      <c r="E86" s="19">
        <v>1030.2734375</v>
      </c>
      <c r="F86">
        <v>1316.1096</v>
      </c>
      <c r="R86" s="20"/>
      <c r="S86" s="21" t="s">
        <v>671</v>
      </c>
      <c r="T86" s="22">
        <v>797.71085747305938</v>
      </c>
    </row>
    <row r="87" spans="1:36">
      <c r="A87" s="20"/>
      <c r="B87" s="20"/>
      <c r="C87" s="20"/>
      <c r="D87" s="21" t="s">
        <v>38</v>
      </c>
      <c r="E87" s="22">
        <v>398.67187500000006</v>
      </c>
      <c r="R87" s="20"/>
      <c r="S87" s="21" t="s">
        <v>41</v>
      </c>
      <c r="T87" s="22">
        <v>3.634659543891285</v>
      </c>
    </row>
    <row r="88" spans="1:36">
      <c r="A88" s="20"/>
      <c r="B88" s="20"/>
      <c r="C88" s="20"/>
      <c r="D88" s="21" t="s">
        <v>409</v>
      </c>
      <c r="E88" s="22">
        <v>2550.1125000000002</v>
      </c>
      <c r="R88" s="16" t="s">
        <v>754</v>
      </c>
      <c r="S88" s="23"/>
      <c r="T88" s="19">
        <v>514.23557317236566</v>
      </c>
    </row>
    <row r="89" spans="1:36">
      <c r="A89" s="20"/>
      <c r="B89" s="20"/>
      <c r="C89" s="20"/>
      <c r="D89" s="21" t="s">
        <v>210</v>
      </c>
      <c r="E89" s="22">
        <v>2162.875</v>
      </c>
      <c r="R89" s="16" t="s">
        <v>163</v>
      </c>
      <c r="S89" s="16" t="s">
        <v>163</v>
      </c>
      <c r="T89" s="19"/>
    </row>
    <row r="90" spans="1:36">
      <c r="A90" s="20"/>
      <c r="B90" s="20"/>
      <c r="C90" s="20"/>
      <c r="D90" s="21" t="s">
        <v>238</v>
      </c>
      <c r="E90" s="22">
        <v>64.271999999999991</v>
      </c>
      <c r="R90" s="16" t="s">
        <v>368</v>
      </c>
      <c r="S90" s="23"/>
      <c r="T90" s="19"/>
    </row>
    <row r="91" spans="1:36">
      <c r="A91" s="20"/>
      <c r="B91" s="20"/>
      <c r="C91" s="20"/>
      <c r="D91" s="21" t="s">
        <v>450</v>
      </c>
      <c r="E91" s="22">
        <v>17.431008943405651</v>
      </c>
      <c r="F91">
        <v>1438.4838</v>
      </c>
      <c r="R91" s="26" t="s">
        <v>755</v>
      </c>
      <c r="S91" s="27"/>
      <c r="T91" s="28">
        <v>350.30868996836682</v>
      </c>
    </row>
    <row r="92" spans="1:36">
      <c r="A92" s="20"/>
      <c r="B92" s="20"/>
      <c r="C92" s="20"/>
      <c r="D92" s="21" t="s">
        <v>241</v>
      </c>
      <c r="E92" s="22">
        <v>6.5348883560053395</v>
      </c>
    </row>
    <row r="93" spans="1:36">
      <c r="A93" s="20"/>
      <c r="B93" s="20"/>
      <c r="C93" s="16" t="s">
        <v>759</v>
      </c>
      <c r="D93" s="23"/>
      <c r="E93" s="19">
        <v>6230.1707097994113</v>
      </c>
    </row>
    <row r="94" spans="1:36">
      <c r="A94" s="20"/>
      <c r="B94" s="20"/>
      <c r="C94" s="16">
        <v>3</v>
      </c>
      <c r="D94" s="16" t="s">
        <v>409</v>
      </c>
      <c r="E94" s="19">
        <v>1281.1500000000001</v>
      </c>
    </row>
    <row r="95" spans="1:36">
      <c r="A95" s="20"/>
      <c r="B95" s="20"/>
      <c r="C95" s="20"/>
      <c r="D95" s="21" t="s">
        <v>238</v>
      </c>
      <c r="E95" s="22">
        <v>34.959600000000002</v>
      </c>
    </row>
    <row r="96" spans="1:36">
      <c r="A96" s="20"/>
      <c r="B96" s="20"/>
      <c r="C96" s="16" t="s">
        <v>760</v>
      </c>
      <c r="D96" s="23"/>
      <c r="E96" s="19">
        <v>1316.1096</v>
      </c>
    </row>
    <row r="97" spans="1:6">
      <c r="A97" s="20"/>
      <c r="B97" s="20"/>
      <c r="C97" s="16">
        <v>4</v>
      </c>
      <c r="D97" s="16" t="s">
        <v>211</v>
      </c>
      <c r="E97" s="19">
        <v>349.79843749999998</v>
      </c>
    </row>
    <row r="98" spans="1:6">
      <c r="A98" s="20"/>
      <c r="B98" s="20"/>
      <c r="C98" s="20"/>
      <c r="D98" s="21" t="s">
        <v>38</v>
      </c>
      <c r="E98" s="22">
        <v>600.74218750000011</v>
      </c>
      <c r="F98">
        <v>585.37440000000004</v>
      </c>
    </row>
    <row r="99" spans="1:6">
      <c r="A99" s="20"/>
      <c r="B99" s="20"/>
      <c r="C99" s="20"/>
      <c r="D99" s="21" t="s">
        <v>409</v>
      </c>
      <c r="E99" s="22">
        <v>1358.175</v>
      </c>
    </row>
    <row r="100" spans="1:6">
      <c r="A100" s="20"/>
      <c r="B100" s="20"/>
      <c r="C100" s="20"/>
      <c r="D100" s="21" t="s">
        <v>407</v>
      </c>
      <c r="E100" s="22">
        <v>14.679473997210593</v>
      </c>
    </row>
    <row r="101" spans="1:6">
      <c r="A101" s="20"/>
      <c r="B101" s="20"/>
      <c r="C101" s="20"/>
      <c r="D101" s="21" t="s">
        <v>238</v>
      </c>
      <c r="E101" s="22">
        <v>80.308799999999991</v>
      </c>
    </row>
    <row r="102" spans="1:6">
      <c r="A102" s="20"/>
      <c r="B102" s="20"/>
      <c r="C102" s="20"/>
      <c r="D102" s="21" t="s">
        <v>241</v>
      </c>
      <c r="E102" s="22">
        <v>16.527331831867926</v>
      </c>
    </row>
    <row r="103" spans="1:6">
      <c r="A103" s="20"/>
      <c r="B103" s="20"/>
      <c r="C103" s="16" t="s">
        <v>761</v>
      </c>
      <c r="D103" s="23"/>
      <c r="E103" s="19">
        <v>2420.231230829078</v>
      </c>
    </row>
    <row r="104" spans="1:6">
      <c r="A104" s="20"/>
      <c r="B104" s="16" t="s">
        <v>567</v>
      </c>
      <c r="C104" s="23"/>
      <c r="D104" s="23"/>
      <c r="E104" s="19">
        <v>18461.315619638299</v>
      </c>
      <c r="F104">
        <v>1157.00325</v>
      </c>
    </row>
    <row r="105" spans="1:6">
      <c r="A105" s="20"/>
      <c r="B105" s="16" t="s">
        <v>461</v>
      </c>
      <c r="C105" s="16">
        <v>1</v>
      </c>
      <c r="D105" s="16" t="s">
        <v>211</v>
      </c>
      <c r="E105" s="19">
        <v>1421.2828125000001</v>
      </c>
    </row>
    <row r="106" spans="1:6">
      <c r="A106" s="20"/>
      <c r="B106" s="20"/>
      <c r="C106" s="20"/>
      <c r="D106" s="21" t="s">
        <v>406</v>
      </c>
      <c r="E106" s="22">
        <v>261.3</v>
      </c>
    </row>
    <row r="107" spans="1:6">
      <c r="A107" s="20"/>
      <c r="B107" s="20"/>
      <c r="C107" s="20"/>
      <c r="D107" s="21" t="s">
        <v>409</v>
      </c>
      <c r="E107" s="22">
        <v>177.69374999999999</v>
      </c>
    </row>
    <row r="108" spans="1:6">
      <c r="A108" s="20"/>
      <c r="B108" s="20"/>
      <c r="C108" s="20"/>
      <c r="D108" s="21" t="s">
        <v>284</v>
      </c>
      <c r="E108" s="22">
        <v>8.594578612501893</v>
      </c>
    </row>
    <row r="109" spans="1:6">
      <c r="A109" s="20"/>
      <c r="B109" s="20"/>
      <c r="C109" s="20"/>
      <c r="D109" s="21" t="s">
        <v>238</v>
      </c>
      <c r="E109" s="22">
        <v>245.1189</v>
      </c>
    </row>
    <row r="110" spans="1:6">
      <c r="A110" s="20"/>
      <c r="B110" s="20"/>
      <c r="C110" s="20"/>
      <c r="D110" s="21" t="s">
        <v>448</v>
      </c>
      <c r="E110" s="22">
        <v>117.25820068180396</v>
      </c>
    </row>
    <row r="111" spans="1:6">
      <c r="A111" s="20"/>
      <c r="B111" s="20"/>
      <c r="C111" s="16" t="s">
        <v>758</v>
      </c>
      <c r="D111" s="23"/>
      <c r="E111" s="19">
        <v>2231.2482417943056</v>
      </c>
    </row>
    <row r="112" spans="1:6">
      <c r="A112" s="20"/>
      <c r="B112" s="20"/>
      <c r="C112" s="16">
        <v>2</v>
      </c>
      <c r="D112" s="16" t="s">
        <v>211</v>
      </c>
      <c r="E112" s="19">
        <v>432.22031249999998</v>
      </c>
    </row>
    <row r="113" spans="1:6">
      <c r="A113" s="20"/>
      <c r="B113" s="20"/>
      <c r="C113" s="20"/>
      <c r="D113" s="21" t="s">
        <v>409</v>
      </c>
      <c r="E113" s="22">
        <v>442.31069999999994</v>
      </c>
      <c r="F113">
        <v>641.16584999999998</v>
      </c>
    </row>
    <row r="114" spans="1:6">
      <c r="A114" s="20"/>
      <c r="B114" s="20"/>
      <c r="C114" s="20"/>
      <c r="D114" s="21" t="s">
        <v>210</v>
      </c>
      <c r="E114" s="22">
        <v>148.078125</v>
      </c>
    </row>
    <row r="115" spans="1:6">
      <c r="A115" s="20"/>
      <c r="B115" s="20"/>
      <c r="C115" s="20"/>
      <c r="D115" s="21" t="s">
        <v>407</v>
      </c>
      <c r="E115" s="22">
        <v>40.242194977987964</v>
      </c>
    </row>
    <row r="116" spans="1:6">
      <c r="A116" s="20"/>
      <c r="B116" s="20"/>
      <c r="C116" s="20"/>
      <c r="D116" s="21" t="s">
        <v>238</v>
      </c>
      <c r="E116" s="22">
        <v>44.725200000000001</v>
      </c>
    </row>
    <row r="117" spans="1:6">
      <c r="A117" s="20"/>
      <c r="B117" s="20"/>
      <c r="C117" s="20"/>
      <c r="D117" s="21" t="s">
        <v>448</v>
      </c>
      <c r="E117" s="22">
        <v>270.42871391866606</v>
      </c>
    </row>
    <row r="118" spans="1:6">
      <c r="A118" s="20"/>
      <c r="B118" s="20"/>
      <c r="C118" s="20"/>
      <c r="D118" s="21" t="s">
        <v>491</v>
      </c>
      <c r="E118" s="22">
        <v>51.803045807752774</v>
      </c>
      <c r="F118">
        <v>71.011200000000002</v>
      </c>
    </row>
    <row r="119" spans="1:6">
      <c r="A119" s="20"/>
      <c r="B119" s="20"/>
      <c r="C119" s="16" t="s">
        <v>759</v>
      </c>
      <c r="D119" s="23"/>
      <c r="E119" s="19">
        <v>1429.8082922044068</v>
      </c>
    </row>
    <row r="120" spans="1:6">
      <c r="A120" s="20"/>
      <c r="B120" s="20"/>
      <c r="C120" s="16">
        <v>3</v>
      </c>
      <c r="D120" s="16" t="s">
        <v>211</v>
      </c>
      <c r="E120" s="19">
        <v>41.2109375</v>
      </c>
    </row>
    <row r="121" spans="1:6">
      <c r="A121" s="20"/>
      <c r="B121" s="20"/>
      <c r="C121" s="20"/>
      <c r="D121" s="21" t="s">
        <v>406</v>
      </c>
      <c r="E121" s="22">
        <v>1152.20625</v>
      </c>
    </row>
    <row r="122" spans="1:6">
      <c r="A122" s="20"/>
      <c r="B122" s="20"/>
      <c r="C122" s="20"/>
      <c r="D122" s="21" t="s">
        <v>409</v>
      </c>
      <c r="E122" s="22">
        <v>344.90625</v>
      </c>
    </row>
    <row r="123" spans="1:6">
      <c r="A123" s="20"/>
      <c r="B123" s="20"/>
      <c r="C123" s="20"/>
      <c r="D123" s="21" t="s">
        <v>238</v>
      </c>
      <c r="E123" s="22">
        <v>140.6652</v>
      </c>
    </row>
    <row r="124" spans="1:6">
      <c r="A124" s="20"/>
      <c r="B124" s="20"/>
      <c r="C124" s="16" t="s">
        <v>760</v>
      </c>
      <c r="D124" s="23"/>
      <c r="E124" s="19">
        <v>1678.9886374999999</v>
      </c>
      <c r="F124">
        <v>1637.7776999999999</v>
      </c>
    </row>
    <row r="125" spans="1:6">
      <c r="A125" s="20"/>
      <c r="B125" s="20"/>
      <c r="C125" s="16">
        <v>4</v>
      </c>
      <c r="D125" s="16" t="s">
        <v>406</v>
      </c>
      <c r="E125" s="19">
        <v>83.606250000000003</v>
      </c>
    </row>
    <row r="126" spans="1:6">
      <c r="A126" s="20"/>
      <c r="B126" s="20"/>
      <c r="C126" s="20"/>
      <c r="D126" s="21" t="s">
        <v>238</v>
      </c>
      <c r="E126" s="22">
        <v>124.7688</v>
      </c>
    </row>
    <row r="127" spans="1:6">
      <c r="A127" s="20"/>
      <c r="B127" s="20"/>
      <c r="C127" s="20"/>
      <c r="D127" s="21" t="s">
        <v>485</v>
      </c>
      <c r="E127" s="22">
        <v>13.660901685981113</v>
      </c>
    </row>
    <row r="128" spans="1:6">
      <c r="A128" s="20"/>
      <c r="B128" s="20"/>
      <c r="C128" s="16" t="s">
        <v>761</v>
      </c>
      <c r="D128" s="23"/>
      <c r="E128" s="19">
        <v>222.0359516859811</v>
      </c>
      <c r="F128">
        <v>208.37504999999999</v>
      </c>
    </row>
    <row r="129" spans="1:6">
      <c r="A129" s="20"/>
      <c r="B129" s="16" t="s">
        <v>746</v>
      </c>
      <c r="C129" s="23"/>
      <c r="D129" s="23"/>
      <c r="E129" s="19">
        <v>5562.0811231846938</v>
      </c>
    </row>
    <row r="130" spans="1:6">
      <c r="A130" s="16" t="s">
        <v>823</v>
      </c>
      <c r="B130" s="23"/>
      <c r="C130" s="23"/>
      <c r="D130" s="23"/>
      <c r="E130" s="19">
        <v>41253.025373234064</v>
      </c>
    </row>
    <row r="131" spans="1:6">
      <c r="A131" s="16" t="s">
        <v>502</v>
      </c>
      <c r="B131" s="16" t="s">
        <v>503</v>
      </c>
      <c r="C131" s="16">
        <v>1</v>
      </c>
      <c r="D131" s="16" t="s">
        <v>211</v>
      </c>
      <c r="E131" s="19">
        <v>339.24843750000002</v>
      </c>
    </row>
    <row r="132" spans="1:6">
      <c r="A132" s="20"/>
      <c r="B132" s="20"/>
      <c r="C132" s="20"/>
      <c r="D132" s="21" t="s">
        <v>38</v>
      </c>
      <c r="E132" s="22">
        <v>169.9271875</v>
      </c>
    </row>
    <row r="133" spans="1:6">
      <c r="A133" s="20"/>
      <c r="B133" s="20"/>
      <c r="C133" s="20"/>
      <c r="D133" s="21" t="s">
        <v>409</v>
      </c>
      <c r="E133" s="22">
        <v>822.65625</v>
      </c>
      <c r="F133">
        <v>42.946799999999996</v>
      </c>
    </row>
    <row r="134" spans="1:6">
      <c r="A134" s="20"/>
      <c r="B134" s="20"/>
      <c r="C134" s="20"/>
      <c r="D134" s="21" t="s">
        <v>238</v>
      </c>
      <c r="E134" s="22">
        <v>30.46875</v>
      </c>
    </row>
    <row r="135" spans="1:6">
      <c r="A135" s="20"/>
      <c r="B135" s="20"/>
      <c r="C135" s="20"/>
      <c r="D135" s="21" t="s">
        <v>163</v>
      </c>
      <c r="E135" s="22"/>
    </row>
    <row r="136" spans="1:6">
      <c r="A136" s="20"/>
      <c r="B136" s="20"/>
      <c r="C136" s="16" t="s">
        <v>758</v>
      </c>
      <c r="D136" s="23"/>
      <c r="E136" s="19">
        <v>1362.3006250000001</v>
      </c>
      <c r="F136">
        <v>416.02469999999994</v>
      </c>
    </row>
    <row r="137" spans="1:6">
      <c r="A137" s="20"/>
      <c r="B137" s="20"/>
      <c r="C137" s="16">
        <v>2</v>
      </c>
      <c r="D137" s="16" t="s">
        <v>38</v>
      </c>
      <c r="E137" s="19">
        <v>300.86</v>
      </c>
    </row>
    <row r="138" spans="1:6">
      <c r="A138" s="20"/>
      <c r="B138" s="20"/>
      <c r="C138" s="20"/>
      <c r="D138" s="21" t="s">
        <v>409</v>
      </c>
      <c r="E138" s="22">
        <v>535.51874999999995</v>
      </c>
    </row>
    <row r="139" spans="1:6">
      <c r="A139" s="20"/>
      <c r="B139" s="20"/>
      <c r="C139" s="16" t="s">
        <v>759</v>
      </c>
      <c r="D139" s="23"/>
      <c r="E139" s="19">
        <v>836.37874999999997</v>
      </c>
    </row>
    <row r="140" spans="1:6">
      <c r="A140" s="20"/>
      <c r="B140" s="20"/>
      <c r="C140" s="16">
        <v>3</v>
      </c>
      <c r="D140" s="16" t="s">
        <v>211</v>
      </c>
      <c r="E140" s="19">
        <v>724.32343750000007</v>
      </c>
    </row>
    <row r="141" spans="1:6">
      <c r="A141" s="20"/>
      <c r="B141" s="20"/>
      <c r="C141" s="20"/>
      <c r="D141" s="21" t="s">
        <v>238</v>
      </c>
      <c r="E141" s="22">
        <v>30.46875</v>
      </c>
    </row>
    <row r="142" spans="1:6">
      <c r="A142" s="20"/>
      <c r="B142" s="20"/>
      <c r="C142" s="20"/>
      <c r="D142" s="21" t="s">
        <v>299</v>
      </c>
      <c r="E142" s="22">
        <v>0.95924364182691069</v>
      </c>
    </row>
    <row r="143" spans="1:6">
      <c r="A143" s="20"/>
      <c r="B143" s="20"/>
      <c r="C143" s="16" t="s">
        <v>760</v>
      </c>
      <c r="D143" s="23"/>
      <c r="E143" s="19">
        <v>755.75143114182697</v>
      </c>
    </row>
    <row r="144" spans="1:6">
      <c r="A144" s="20"/>
      <c r="B144" s="20"/>
      <c r="C144" s="16">
        <v>4</v>
      </c>
      <c r="D144" s="16" t="s">
        <v>406</v>
      </c>
      <c r="E144" s="19">
        <v>177.69374999999999</v>
      </c>
    </row>
    <row r="145" spans="1:6">
      <c r="A145" s="20"/>
      <c r="B145" s="20"/>
      <c r="C145" s="16" t="s">
        <v>761</v>
      </c>
      <c r="D145" s="23"/>
      <c r="E145" s="19">
        <v>177.69374999999999</v>
      </c>
      <c r="F145">
        <v>853.125</v>
      </c>
    </row>
    <row r="146" spans="1:6">
      <c r="A146" s="20"/>
      <c r="B146" s="20"/>
      <c r="C146" s="16">
        <v>5</v>
      </c>
      <c r="D146" s="16" t="s">
        <v>211</v>
      </c>
      <c r="E146" s="19">
        <v>394.63593749999995</v>
      </c>
    </row>
    <row r="147" spans="1:6">
      <c r="A147" s="20"/>
      <c r="B147" s="20"/>
      <c r="C147" s="20"/>
      <c r="D147" s="21" t="s">
        <v>406</v>
      </c>
      <c r="E147" s="22">
        <v>324.43124999999998</v>
      </c>
    </row>
    <row r="148" spans="1:6">
      <c r="A148" s="20"/>
      <c r="B148" s="20"/>
      <c r="C148" s="20"/>
      <c r="D148" s="21" t="s">
        <v>409</v>
      </c>
      <c r="E148" s="22">
        <v>1502.4749999999999</v>
      </c>
    </row>
    <row r="149" spans="1:6">
      <c r="A149" s="20"/>
      <c r="B149" s="20"/>
      <c r="C149" s="20"/>
      <c r="D149" s="21" t="s">
        <v>238</v>
      </c>
      <c r="E149" s="22">
        <v>60.9375</v>
      </c>
      <c r="F149">
        <v>535.51874999999995</v>
      </c>
    </row>
    <row r="150" spans="1:6">
      <c r="A150" s="20"/>
      <c r="B150" s="20"/>
      <c r="C150" s="20"/>
      <c r="D150" s="21" t="s">
        <v>448</v>
      </c>
      <c r="E150" s="22">
        <v>170.63338631495762</v>
      </c>
    </row>
    <row r="151" spans="1:6">
      <c r="A151" s="20"/>
      <c r="B151" s="20"/>
      <c r="C151" s="16" t="s">
        <v>762</v>
      </c>
      <c r="D151" s="23"/>
      <c r="E151" s="19">
        <v>2453.1130738149573</v>
      </c>
    </row>
    <row r="152" spans="1:6">
      <c r="A152" s="20"/>
      <c r="B152" s="16" t="s">
        <v>824</v>
      </c>
      <c r="C152" s="23"/>
      <c r="D152" s="23"/>
      <c r="E152" s="19">
        <v>5585.2376299567841</v>
      </c>
    </row>
    <row r="153" spans="1:6">
      <c r="A153" s="20"/>
      <c r="B153" s="16" t="s">
        <v>186</v>
      </c>
      <c r="C153" s="16">
        <v>1</v>
      </c>
      <c r="D153" s="16" t="s">
        <v>406</v>
      </c>
      <c r="E153" s="19">
        <v>324.43124999999998</v>
      </c>
      <c r="F153">
        <v>30.46875</v>
      </c>
    </row>
    <row r="154" spans="1:6">
      <c r="A154" s="20"/>
      <c r="B154" s="20"/>
      <c r="C154" s="20"/>
      <c r="D154" s="21" t="s">
        <v>409</v>
      </c>
      <c r="E154" s="22">
        <v>826.55624999999998</v>
      </c>
    </row>
    <row r="155" spans="1:6">
      <c r="A155" s="20"/>
      <c r="B155" s="20"/>
      <c r="C155" s="20"/>
      <c r="D155" s="21" t="s">
        <v>210</v>
      </c>
      <c r="E155" s="22">
        <v>716.625</v>
      </c>
    </row>
    <row r="156" spans="1:6">
      <c r="A156" s="20"/>
      <c r="B156" s="20"/>
      <c r="C156" s="20"/>
      <c r="D156" s="21" t="s">
        <v>238</v>
      </c>
      <c r="E156" s="22">
        <v>152.34375</v>
      </c>
      <c r="F156">
        <v>177.69374999999999</v>
      </c>
    </row>
    <row r="157" spans="1:6">
      <c r="A157" s="20"/>
      <c r="B157" s="20"/>
      <c r="C157" s="20"/>
      <c r="D157" s="21" t="s">
        <v>304</v>
      </c>
      <c r="E157" s="22">
        <v>423.76118373838494</v>
      </c>
    </row>
    <row r="158" spans="1:6">
      <c r="A158" s="20"/>
      <c r="B158" s="20"/>
      <c r="C158" s="16" t="s">
        <v>758</v>
      </c>
      <c r="D158" s="23"/>
      <c r="E158" s="19">
        <v>2443.7174337383849</v>
      </c>
    </row>
    <row r="159" spans="1:6">
      <c r="A159" s="20"/>
      <c r="B159" s="20"/>
      <c r="C159" s="16">
        <v>2</v>
      </c>
      <c r="D159" s="16" t="s">
        <v>409</v>
      </c>
      <c r="E159" s="19">
        <v>1083.95625</v>
      </c>
      <c r="F159">
        <v>1887.84375</v>
      </c>
    </row>
    <row r="160" spans="1:6">
      <c r="A160" s="20"/>
      <c r="B160" s="20"/>
      <c r="C160" s="20"/>
      <c r="D160" s="21" t="s">
        <v>407</v>
      </c>
      <c r="E160" s="22">
        <v>0.50079345774267114</v>
      </c>
    </row>
    <row r="161" spans="1:6">
      <c r="A161" s="20"/>
      <c r="B161" s="20"/>
      <c r="C161" s="20"/>
      <c r="D161" s="21" t="s">
        <v>238</v>
      </c>
      <c r="E161" s="22">
        <v>26.956800000000001</v>
      </c>
    </row>
    <row r="162" spans="1:6">
      <c r="A162" s="20"/>
      <c r="B162" s="20"/>
      <c r="C162" s="20"/>
      <c r="D162" s="21" t="s">
        <v>448</v>
      </c>
      <c r="E162" s="22">
        <v>76.637066856170094</v>
      </c>
    </row>
    <row r="163" spans="1:6">
      <c r="A163" s="20"/>
      <c r="B163" s="20"/>
      <c r="C163" s="16" t="s">
        <v>759</v>
      </c>
      <c r="D163" s="23"/>
      <c r="E163" s="19">
        <v>1188.0509103139127</v>
      </c>
    </row>
    <row r="164" spans="1:6">
      <c r="A164" s="20"/>
      <c r="B164" s="20"/>
      <c r="C164" s="16">
        <v>3</v>
      </c>
      <c r="D164" s="16" t="s">
        <v>409</v>
      </c>
      <c r="E164" s="19">
        <v>60.9375</v>
      </c>
    </row>
    <row r="165" spans="1:6">
      <c r="A165" s="20"/>
      <c r="B165" s="20"/>
      <c r="C165" s="20"/>
      <c r="D165" s="21" t="s">
        <v>210</v>
      </c>
      <c r="E165" s="22">
        <v>685.546875</v>
      </c>
      <c r="F165">
        <v>1303.33125</v>
      </c>
    </row>
    <row r="166" spans="1:6">
      <c r="A166" s="20"/>
      <c r="B166" s="20"/>
      <c r="C166" s="20"/>
      <c r="D166" s="21" t="s">
        <v>238</v>
      </c>
      <c r="E166" s="22">
        <v>19.3596</v>
      </c>
    </row>
    <row r="167" spans="1:6">
      <c r="A167" s="20"/>
      <c r="B167" s="20"/>
      <c r="C167" s="16" t="s">
        <v>760</v>
      </c>
      <c r="D167" s="23"/>
      <c r="E167" s="19">
        <v>765.843975</v>
      </c>
    </row>
    <row r="168" spans="1:6">
      <c r="A168" s="20"/>
      <c r="B168" s="20"/>
      <c r="C168" s="16">
        <v>4</v>
      </c>
      <c r="D168" s="16" t="s">
        <v>406</v>
      </c>
      <c r="E168" s="19">
        <v>177.69374999999999</v>
      </c>
    </row>
    <row r="169" spans="1:6">
      <c r="A169" s="20"/>
      <c r="B169" s="20"/>
      <c r="C169" s="20"/>
      <c r="D169" s="21" t="s">
        <v>409</v>
      </c>
      <c r="E169" s="22">
        <v>943.55624999999986</v>
      </c>
    </row>
    <row r="170" spans="1:6">
      <c r="A170" s="20"/>
      <c r="B170" s="20"/>
      <c r="C170" s="20"/>
      <c r="D170" s="21" t="s">
        <v>335</v>
      </c>
      <c r="E170" s="22">
        <v>51.803045807752774</v>
      </c>
    </row>
    <row r="171" spans="1:6">
      <c r="A171" s="20"/>
      <c r="B171" s="20"/>
      <c r="C171" s="16" t="s">
        <v>761</v>
      </c>
      <c r="D171" s="23"/>
      <c r="E171" s="19">
        <v>1173.0530458077526</v>
      </c>
      <c r="F171">
        <v>1110.9130499999999</v>
      </c>
    </row>
    <row r="172" spans="1:6">
      <c r="A172" s="20"/>
      <c r="B172" s="16" t="s">
        <v>363</v>
      </c>
      <c r="C172" s="23"/>
      <c r="D172" s="23"/>
      <c r="E172" s="19">
        <v>5570.6653648600504</v>
      </c>
    </row>
    <row r="173" spans="1:6">
      <c r="A173" s="20"/>
      <c r="B173" s="16" t="s">
        <v>302</v>
      </c>
      <c r="C173" s="16">
        <v>1</v>
      </c>
      <c r="D173" s="16" t="s">
        <v>409</v>
      </c>
      <c r="E173" s="19">
        <v>355.38749999999999</v>
      </c>
    </row>
    <row r="174" spans="1:6">
      <c r="A174" s="20"/>
      <c r="B174" s="20"/>
      <c r="C174" s="20"/>
      <c r="D174" s="21" t="s">
        <v>238</v>
      </c>
      <c r="E174" s="22">
        <v>31.46715</v>
      </c>
    </row>
    <row r="175" spans="1:6">
      <c r="A175" s="20"/>
      <c r="B175" s="20"/>
      <c r="C175" s="20"/>
      <c r="D175" s="21" t="s">
        <v>304</v>
      </c>
      <c r="E175" s="22">
        <v>323.3235356776064</v>
      </c>
    </row>
    <row r="176" spans="1:6">
      <c r="A176" s="20"/>
      <c r="B176" s="20"/>
      <c r="C176" s="16" t="s">
        <v>758</v>
      </c>
      <c r="D176" s="23"/>
      <c r="E176" s="19">
        <v>710.17818567760639</v>
      </c>
      <c r="F176">
        <v>80.2971</v>
      </c>
    </row>
    <row r="177" spans="1:6">
      <c r="A177" s="20"/>
      <c r="B177" s="20"/>
      <c r="C177" s="16">
        <v>2</v>
      </c>
      <c r="D177" s="16" t="s">
        <v>211</v>
      </c>
      <c r="E177" s="19">
        <v>113.0828125</v>
      </c>
    </row>
    <row r="178" spans="1:6">
      <c r="A178" s="20"/>
      <c r="B178" s="20"/>
      <c r="C178" s="20"/>
      <c r="D178" s="21" t="s">
        <v>38</v>
      </c>
      <c r="E178" s="22">
        <v>282.53968750000001</v>
      </c>
    </row>
    <row r="179" spans="1:6">
      <c r="A179" s="20"/>
      <c r="B179" s="20"/>
      <c r="C179" s="20"/>
      <c r="D179" s="21" t="s">
        <v>409</v>
      </c>
      <c r="E179" s="22">
        <v>408.03749999999997</v>
      </c>
    </row>
    <row r="180" spans="1:6">
      <c r="A180" s="20"/>
      <c r="B180" s="20"/>
      <c r="C180" s="20"/>
      <c r="D180" s="21" t="s">
        <v>304</v>
      </c>
      <c r="E180" s="22">
        <v>399.96060253377652</v>
      </c>
      <c r="F180">
        <v>1121.2499999999998</v>
      </c>
    </row>
    <row r="181" spans="1:6">
      <c r="A181" s="20"/>
      <c r="B181" s="20"/>
      <c r="C181" s="20"/>
      <c r="D181" s="21" t="s">
        <v>229</v>
      </c>
      <c r="E181" s="22">
        <v>9.5712083585606855</v>
      </c>
    </row>
    <row r="182" spans="1:6">
      <c r="A182" s="20"/>
      <c r="B182" s="20"/>
      <c r="C182" s="16" t="s">
        <v>759</v>
      </c>
      <c r="D182" s="23"/>
      <c r="E182" s="19">
        <v>1213.1918108923371</v>
      </c>
    </row>
    <row r="183" spans="1:6">
      <c r="A183" s="20"/>
      <c r="B183" s="20"/>
      <c r="C183" s="16">
        <v>3</v>
      </c>
      <c r="D183" s="16" t="s">
        <v>409</v>
      </c>
      <c r="E183" s="19">
        <v>83.606250000000003</v>
      </c>
    </row>
    <row r="184" spans="1:6">
      <c r="A184" s="20"/>
      <c r="B184" s="20"/>
      <c r="C184" s="20"/>
      <c r="D184" s="21" t="s">
        <v>307</v>
      </c>
      <c r="E184" s="22">
        <v>2.6970616288786107</v>
      </c>
    </row>
    <row r="185" spans="1:6">
      <c r="A185" s="20"/>
      <c r="B185" s="20"/>
      <c r="C185" s="20"/>
      <c r="D185" s="21" t="s">
        <v>119</v>
      </c>
      <c r="E185" s="22">
        <v>12.373223770999775</v>
      </c>
      <c r="F185">
        <v>386.85464999999999</v>
      </c>
    </row>
    <row r="186" spans="1:6">
      <c r="A186" s="20"/>
      <c r="B186" s="20"/>
      <c r="C186" s="16" t="s">
        <v>760</v>
      </c>
      <c r="D186" s="23"/>
      <c r="E186" s="19">
        <v>98.676535399878389</v>
      </c>
    </row>
    <row r="187" spans="1:6">
      <c r="A187" s="20"/>
      <c r="B187" s="20"/>
      <c r="C187" s="16">
        <v>4</v>
      </c>
      <c r="D187" s="16" t="s">
        <v>211</v>
      </c>
      <c r="E187" s="19">
        <v>41.2109375</v>
      </c>
    </row>
    <row r="188" spans="1:6">
      <c r="A188" s="20"/>
      <c r="B188" s="20"/>
      <c r="C188" s="20"/>
      <c r="D188" s="21" t="s">
        <v>38</v>
      </c>
      <c r="E188" s="22">
        <v>501.76000000000005</v>
      </c>
    </row>
    <row r="189" spans="1:6">
      <c r="A189" s="20"/>
      <c r="B189" s="20"/>
      <c r="C189" s="20"/>
      <c r="D189" s="21" t="s">
        <v>406</v>
      </c>
      <c r="E189" s="22">
        <v>324.43124999999998</v>
      </c>
      <c r="F189">
        <v>408.03749999999997</v>
      </c>
    </row>
    <row r="190" spans="1:6">
      <c r="A190" s="20"/>
      <c r="B190" s="20"/>
      <c r="C190" s="20"/>
      <c r="D190" s="21" t="s">
        <v>409</v>
      </c>
      <c r="E190" s="22">
        <v>208.16249999999999</v>
      </c>
    </row>
    <row r="191" spans="1:6">
      <c r="A191" s="20"/>
      <c r="B191" s="20"/>
      <c r="C191" s="20"/>
      <c r="D191" s="21" t="s">
        <v>407</v>
      </c>
      <c r="E191" s="22">
        <v>4.9945585719974277</v>
      </c>
    </row>
    <row r="192" spans="1:6">
      <c r="A192" s="20"/>
      <c r="B192" s="20"/>
      <c r="C192" s="16" t="s">
        <v>761</v>
      </c>
      <c r="D192" s="23"/>
      <c r="E192" s="19">
        <v>1080.5592460719974</v>
      </c>
    </row>
    <row r="193" spans="1:6">
      <c r="A193" s="20"/>
      <c r="B193" s="20"/>
      <c r="C193" s="16">
        <v>5</v>
      </c>
      <c r="D193" s="16" t="s">
        <v>211</v>
      </c>
      <c r="E193" s="19">
        <v>1132.8062500000001</v>
      </c>
    </row>
    <row r="194" spans="1:6">
      <c r="A194" s="20"/>
      <c r="B194" s="20"/>
      <c r="C194" s="20"/>
      <c r="D194" s="21" t="s">
        <v>38</v>
      </c>
      <c r="E194" s="22">
        <v>6.0025000000000004</v>
      </c>
    </row>
    <row r="195" spans="1:6">
      <c r="A195" s="20"/>
      <c r="B195" s="20"/>
      <c r="C195" s="20"/>
      <c r="D195" s="21" t="s">
        <v>409</v>
      </c>
      <c r="E195" s="22">
        <v>114.075</v>
      </c>
      <c r="F195">
        <v>83.606250000000003</v>
      </c>
    </row>
    <row r="196" spans="1:6">
      <c r="A196" s="20"/>
      <c r="B196" s="20"/>
      <c r="C196" s="20"/>
      <c r="D196" s="21" t="s">
        <v>238</v>
      </c>
      <c r="E196" s="22">
        <v>7.9871999999999996</v>
      </c>
    </row>
    <row r="197" spans="1:6">
      <c r="A197" s="20"/>
      <c r="B197" s="20"/>
      <c r="C197" s="16" t="s">
        <v>762</v>
      </c>
      <c r="D197" s="23"/>
      <c r="E197" s="19">
        <v>1260.8709500000002</v>
      </c>
    </row>
    <row r="198" spans="1:6">
      <c r="A198" s="20"/>
      <c r="B198" s="20"/>
      <c r="C198" s="16">
        <v>6</v>
      </c>
      <c r="D198" s="16" t="s">
        <v>211</v>
      </c>
      <c r="E198" s="19">
        <v>277.92656249999999</v>
      </c>
    </row>
    <row r="199" spans="1:6">
      <c r="A199" s="20"/>
      <c r="B199" s="20"/>
      <c r="C199" s="20"/>
      <c r="D199" s="21" t="s">
        <v>406</v>
      </c>
      <c r="E199" s="22">
        <v>177.69374999999999</v>
      </c>
    </row>
    <row r="200" spans="1:6">
      <c r="A200" s="20"/>
      <c r="B200" s="20"/>
      <c r="C200" s="20"/>
      <c r="D200" s="21" t="s">
        <v>238</v>
      </c>
      <c r="E200" s="22">
        <v>41.841149999999999</v>
      </c>
    </row>
    <row r="201" spans="1:6">
      <c r="A201" s="20"/>
      <c r="B201" s="20"/>
      <c r="C201" s="16" t="s">
        <v>763</v>
      </c>
      <c r="D201" s="23"/>
      <c r="E201" s="19">
        <v>497.46146249999993</v>
      </c>
      <c r="F201">
        <v>532.59375</v>
      </c>
    </row>
    <row r="202" spans="1:6">
      <c r="A202" s="20"/>
      <c r="B202" s="16" t="s">
        <v>825</v>
      </c>
      <c r="C202" s="23"/>
      <c r="D202" s="23"/>
      <c r="E202" s="19">
        <v>4860.9381905418195</v>
      </c>
    </row>
    <row r="203" spans="1:6">
      <c r="A203" s="16" t="s">
        <v>752</v>
      </c>
      <c r="B203" s="23"/>
      <c r="C203" s="23"/>
      <c r="D203" s="23"/>
      <c r="E203" s="19">
        <v>16016.841185358655</v>
      </c>
    </row>
    <row r="204" spans="1:6">
      <c r="A204" s="16" t="s">
        <v>670</v>
      </c>
      <c r="B204" s="16" t="s">
        <v>400</v>
      </c>
      <c r="C204" s="16">
        <v>1</v>
      </c>
      <c r="D204" s="16" t="s">
        <v>406</v>
      </c>
      <c r="E204" s="19">
        <v>1408.3875</v>
      </c>
    </row>
    <row r="205" spans="1:6">
      <c r="A205" s="20"/>
      <c r="B205" s="20"/>
      <c r="C205" s="20"/>
      <c r="D205" s="21" t="s">
        <v>409</v>
      </c>
      <c r="E205" s="22">
        <v>619.125</v>
      </c>
    </row>
    <row r="206" spans="1:6">
      <c r="A206" s="20"/>
      <c r="B206" s="20"/>
      <c r="C206" s="20"/>
      <c r="D206" s="21" t="s">
        <v>238</v>
      </c>
      <c r="E206" s="22">
        <v>26.956799999999998</v>
      </c>
      <c r="F206">
        <v>122.0622</v>
      </c>
    </row>
    <row r="207" spans="1:6">
      <c r="A207" s="20"/>
      <c r="B207" s="20"/>
      <c r="C207" s="20"/>
      <c r="D207" s="21" t="s">
        <v>304</v>
      </c>
      <c r="E207" s="22">
        <v>83.831187519855675</v>
      </c>
    </row>
    <row r="208" spans="1:6">
      <c r="A208" s="20"/>
      <c r="B208" s="20"/>
      <c r="C208" s="16" t="s">
        <v>758</v>
      </c>
      <c r="D208" s="23"/>
      <c r="E208" s="19">
        <v>2138.3004875198558</v>
      </c>
    </row>
    <row r="209" spans="1:6">
      <c r="A209" s="20"/>
      <c r="B209" s="20"/>
      <c r="C209" s="16">
        <v>2</v>
      </c>
      <c r="D209" s="16" t="s">
        <v>211</v>
      </c>
      <c r="E209" s="19">
        <v>6592.1015625</v>
      </c>
    </row>
    <row r="210" spans="1:6">
      <c r="A210" s="20"/>
      <c r="B210" s="20"/>
      <c r="C210" s="20"/>
      <c r="D210" s="21" t="s">
        <v>38</v>
      </c>
      <c r="E210" s="22">
        <v>5.6000000000000005</v>
      </c>
    </row>
    <row r="211" spans="1:6">
      <c r="A211" s="20"/>
      <c r="B211" s="20"/>
      <c r="C211" s="20"/>
      <c r="D211" s="21" t="s">
        <v>409</v>
      </c>
      <c r="E211" s="22">
        <v>2180.8312500000002</v>
      </c>
      <c r="F211">
        <v>219.53489999999999</v>
      </c>
    </row>
    <row r="212" spans="1:6">
      <c r="A212" s="20"/>
      <c r="B212" s="20"/>
      <c r="C212" s="20"/>
      <c r="D212" s="21" t="s">
        <v>35</v>
      </c>
      <c r="E212" s="22">
        <v>9891.4953230803767</v>
      </c>
    </row>
    <row r="213" spans="1:6">
      <c r="A213" s="20"/>
      <c r="B213" s="20"/>
      <c r="C213" s="20"/>
      <c r="D213" s="21" t="s">
        <v>407</v>
      </c>
      <c r="E213" s="22">
        <v>9.0163251304029597</v>
      </c>
    </row>
    <row r="214" spans="1:6">
      <c r="A214" s="20"/>
      <c r="B214" s="20"/>
      <c r="C214" s="20"/>
      <c r="D214" s="21" t="s">
        <v>164</v>
      </c>
      <c r="E214" s="22">
        <v>0.30161840039549542</v>
      </c>
    </row>
    <row r="215" spans="1:6">
      <c r="A215" s="20"/>
      <c r="B215" s="20"/>
      <c r="C215" s="16" t="s">
        <v>759</v>
      </c>
      <c r="D215" s="23"/>
      <c r="E215" s="19">
        <v>18679.346079111179</v>
      </c>
    </row>
    <row r="216" spans="1:6">
      <c r="A216" s="20"/>
      <c r="B216" s="20"/>
      <c r="C216" s="16">
        <v>3</v>
      </c>
      <c r="D216" s="16" t="s">
        <v>211</v>
      </c>
      <c r="E216" s="19">
        <v>6340.8796874999998</v>
      </c>
      <c r="F216">
        <v>2054.4693000000002</v>
      </c>
    </row>
    <row r="217" spans="1:6">
      <c r="A217" s="20"/>
      <c r="B217" s="20"/>
      <c r="C217" s="20"/>
      <c r="D217" s="21" t="s">
        <v>38</v>
      </c>
      <c r="E217" s="22">
        <v>3.3600000000000003</v>
      </c>
    </row>
    <row r="218" spans="1:6">
      <c r="A218" s="20"/>
      <c r="B218" s="20"/>
      <c r="C218" s="20"/>
      <c r="D218" s="21" t="s">
        <v>409</v>
      </c>
      <c r="E218" s="22">
        <v>1147.0875000000001</v>
      </c>
    </row>
    <row r="219" spans="1:6">
      <c r="A219" s="20"/>
      <c r="B219" s="20"/>
      <c r="C219" s="20"/>
      <c r="D219" s="21" t="s">
        <v>35</v>
      </c>
      <c r="E219" s="22">
        <v>1275.5755960928645</v>
      </c>
    </row>
    <row r="220" spans="1:6">
      <c r="A220" s="20"/>
      <c r="B220" s="20"/>
      <c r="C220" s="16" t="s">
        <v>760</v>
      </c>
      <c r="D220" s="23"/>
      <c r="E220" s="19">
        <v>8766.9027835928646</v>
      </c>
    </row>
    <row r="221" spans="1:6">
      <c r="A221" s="20"/>
      <c r="B221" s="20"/>
      <c r="C221" s="16">
        <v>4</v>
      </c>
      <c r="D221" s="16" t="s">
        <v>211</v>
      </c>
      <c r="E221" s="19">
        <v>394.63593749999995</v>
      </c>
      <c r="F221">
        <v>2180.8312500000002</v>
      </c>
    </row>
    <row r="222" spans="1:6">
      <c r="A222" s="20"/>
      <c r="B222" s="20"/>
      <c r="C222" s="20"/>
      <c r="D222" s="21" t="s">
        <v>38</v>
      </c>
      <c r="E222" s="22">
        <v>662.8146875000001</v>
      </c>
    </row>
    <row r="223" spans="1:6">
      <c r="A223" s="20"/>
      <c r="B223" s="20"/>
      <c r="C223" s="20"/>
      <c r="D223" s="21" t="s">
        <v>406</v>
      </c>
      <c r="E223" s="22">
        <v>822.65625</v>
      </c>
    </row>
    <row r="224" spans="1:6">
      <c r="A224" s="20"/>
      <c r="B224" s="20"/>
      <c r="C224" s="20"/>
      <c r="D224" s="21" t="s">
        <v>409</v>
      </c>
      <c r="E224" s="22">
        <v>3406.6499999999996</v>
      </c>
    </row>
    <row r="225" spans="1:6">
      <c r="A225" s="20"/>
      <c r="B225" s="20"/>
      <c r="C225" s="20"/>
      <c r="D225" s="21" t="s">
        <v>35</v>
      </c>
      <c r="E225" s="22">
        <v>2395.0295887211205</v>
      </c>
    </row>
    <row r="226" spans="1:6">
      <c r="A226" s="20"/>
      <c r="B226" s="20"/>
      <c r="C226" s="20"/>
      <c r="D226" s="21" t="s">
        <v>407</v>
      </c>
      <c r="E226" s="22">
        <v>1.0286826803532687</v>
      </c>
    </row>
    <row r="227" spans="1:6">
      <c r="A227" s="20"/>
      <c r="B227" s="20"/>
      <c r="C227" s="20"/>
      <c r="D227" s="21" t="s">
        <v>238</v>
      </c>
      <c r="E227" s="22">
        <v>34.273199999999996</v>
      </c>
    </row>
    <row r="228" spans="1:6">
      <c r="A228" s="20"/>
      <c r="B228" s="20"/>
      <c r="C228" s="16" t="s">
        <v>761</v>
      </c>
      <c r="D228" s="23"/>
      <c r="E228" s="19">
        <v>7717.0883464014723</v>
      </c>
    </row>
    <row r="229" spans="1:6">
      <c r="A229" s="20"/>
      <c r="B229" s="20"/>
      <c r="C229" s="16">
        <v>5</v>
      </c>
      <c r="D229" s="16" t="s">
        <v>211</v>
      </c>
      <c r="E229" s="19">
        <v>528.81875000000002</v>
      </c>
    </row>
    <row r="230" spans="1:6">
      <c r="A230" s="20"/>
      <c r="B230" s="20"/>
      <c r="C230" s="20"/>
      <c r="D230" s="21" t="s">
        <v>38</v>
      </c>
      <c r="E230" s="22">
        <v>51.572500000000005</v>
      </c>
      <c r="F230">
        <v>1147.0875000000001</v>
      </c>
    </row>
    <row r="231" spans="1:6">
      <c r="A231" s="20"/>
      <c r="B231" s="20"/>
      <c r="C231" s="20"/>
      <c r="D231" s="21" t="s">
        <v>409</v>
      </c>
      <c r="E231" s="22">
        <v>906.26250000000005</v>
      </c>
    </row>
    <row r="232" spans="1:6">
      <c r="A232" s="20"/>
      <c r="B232" s="20"/>
      <c r="C232" s="20"/>
      <c r="D232" s="21" t="s">
        <v>407</v>
      </c>
      <c r="E232" s="22">
        <v>1.3939494225671596</v>
      </c>
    </row>
    <row r="233" spans="1:6">
      <c r="A233" s="20"/>
      <c r="B233" s="20"/>
      <c r="C233" s="20"/>
      <c r="D233" s="21" t="s">
        <v>238</v>
      </c>
      <c r="E233" s="22">
        <v>122.1636</v>
      </c>
    </row>
    <row r="234" spans="1:6">
      <c r="A234" s="20"/>
      <c r="B234" s="20"/>
      <c r="C234" s="20"/>
      <c r="D234" s="21" t="s">
        <v>335</v>
      </c>
      <c r="E234" s="22">
        <v>4.4819649463912077</v>
      </c>
    </row>
    <row r="235" spans="1:6">
      <c r="A235" s="20"/>
      <c r="B235" s="20"/>
      <c r="C235" s="20"/>
      <c r="D235" s="21" t="s">
        <v>677</v>
      </c>
      <c r="E235" s="22">
        <v>1107.1802407315226</v>
      </c>
      <c r="F235">
        <v>4229.3062499999996</v>
      </c>
    </row>
    <row r="236" spans="1:6">
      <c r="A236" s="20"/>
      <c r="B236" s="20"/>
      <c r="C236" s="16" t="s">
        <v>762</v>
      </c>
      <c r="D236" s="23"/>
      <c r="E236" s="19">
        <v>2721.873505100481</v>
      </c>
    </row>
    <row r="237" spans="1:6">
      <c r="A237" s="20"/>
      <c r="B237" s="20"/>
      <c r="C237" s="16">
        <v>6</v>
      </c>
      <c r="D237" s="16" t="s">
        <v>211</v>
      </c>
      <c r="E237" s="19">
        <v>405.18593750000002</v>
      </c>
    </row>
    <row r="238" spans="1:6">
      <c r="A238" s="20"/>
      <c r="B238" s="20"/>
      <c r="C238" s="20"/>
      <c r="D238" s="21" t="s">
        <v>38</v>
      </c>
      <c r="E238" s="22">
        <v>27.352500000000003</v>
      </c>
    </row>
    <row r="239" spans="1:6">
      <c r="A239" s="20"/>
      <c r="B239" s="20"/>
      <c r="C239" s="20"/>
      <c r="D239" s="21" t="s">
        <v>210</v>
      </c>
      <c r="E239" s="22">
        <v>997.953125</v>
      </c>
    </row>
    <row r="240" spans="1:6">
      <c r="A240" s="20"/>
      <c r="B240" s="20"/>
      <c r="C240" s="20"/>
      <c r="D240" s="21" t="s">
        <v>407</v>
      </c>
      <c r="E240" s="22">
        <v>0.50079345774267114</v>
      </c>
    </row>
    <row r="241" spans="1:6">
      <c r="A241" s="20"/>
      <c r="B241" s="20"/>
      <c r="C241" s="20"/>
      <c r="D241" s="21" t="s">
        <v>238</v>
      </c>
      <c r="E241" s="22">
        <v>36.363599999999998</v>
      </c>
    </row>
    <row r="242" spans="1:6">
      <c r="A242" s="20"/>
      <c r="B242" s="20"/>
      <c r="C242" s="20"/>
      <c r="D242" s="21" t="s">
        <v>243</v>
      </c>
      <c r="E242" s="22">
        <v>442.61999999999995</v>
      </c>
    </row>
    <row r="243" spans="1:6">
      <c r="A243" s="20"/>
      <c r="B243" s="20"/>
      <c r="C243" s="16" t="s">
        <v>763</v>
      </c>
      <c r="D243" s="23"/>
      <c r="E243" s="19">
        <v>1909.9759559577426</v>
      </c>
      <c r="F243">
        <v>1028.4261000000001</v>
      </c>
    </row>
    <row r="244" spans="1:6">
      <c r="A244" s="20"/>
      <c r="B244" s="16" t="s">
        <v>731</v>
      </c>
      <c r="C244" s="23"/>
      <c r="D244" s="23"/>
      <c r="E244" s="19">
        <v>41933.487157683609</v>
      </c>
    </row>
    <row r="245" spans="1:6">
      <c r="A245" s="20"/>
      <c r="B245" s="16" t="s">
        <v>671</v>
      </c>
      <c r="C245" s="16">
        <v>1</v>
      </c>
      <c r="D245" s="16" t="s">
        <v>211</v>
      </c>
      <c r="E245" s="19">
        <v>12015.790625</v>
      </c>
    </row>
    <row r="246" spans="1:6">
      <c r="A246" s="20"/>
      <c r="B246" s="20"/>
      <c r="C246" s="20"/>
      <c r="D246" s="21" t="s">
        <v>406</v>
      </c>
      <c r="E246" s="22">
        <v>177.69374999999999</v>
      </c>
    </row>
    <row r="247" spans="1:6">
      <c r="A247" s="20"/>
      <c r="B247" s="20"/>
      <c r="C247" s="20"/>
      <c r="D247" s="21" t="s">
        <v>409</v>
      </c>
      <c r="E247" s="22">
        <v>3539.0062499999999</v>
      </c>
    </row>
    <row r="248" spans="1:6">
      <c r="A248" s="20"/>
      <c r="B248" s="20"/>
      <c r="C248" s="20"/>
      <c r="D248" s="21" t="s">
        <v>210</v>
      </c>
      <c r="E248" s="22">
        <v>2808</v>
      </c>
    </row>
    <row r="249" spans="1:6">
      <c r="A249" s="20"/>
      <c r="B249" s="20"/>
      <c r="C249" s="20"/>
      <c r="D249" s="21" t="s">
        <v>35</v>
      </c>
      <c r="E249" s="22">
        <v>798.34319624037357</v>
      </c>
    </row>
    <row r="250" spans="1:6">
      <c r="A250" s="20"/>
      <c r="B250" s="20"/>
      <c r="C250" s="20"/>
      <c r="D250" s="21" t="s">
        <v>458</v>
      </c>
      <c r="E250" s="22">
        <v>8.8535261319409582</v>
      </c>
    </row>
    <row r="251" spans="1:6">
      <c r="A251" s="20"/>
      <c r="B251" s="20"/>
      <c r="C251" s="16" t="s">
        <v>758</v>
      </c>
      <c r="D251" s="23"/>
      <c r="E251" s="19">
        <v>19347.687347372314</v>
      </c>
    </row>
    <row r="252" spans="1:6">
      <c r="A252" s="20"/>
      <c r="B252" s="20"/>
      <c r="C252" s="16">
        <v>2</v>
      </c>
      <c r="D252" s="16" t="s">
        <v>211</v>
      </c>
      <c r="E252" s="19">
        <v>5914.2640624999995</v>
      </c>
    </row>
    <row r="253" spans="1:6">
      <c r="A253" s="20"/>
      <c r="B253" s="20"/>
      <c r="C253" s="20"/>
      <c r="D253" s="21" t="s">
        <v>38</v>
      </c>
      <c r="E253" s="22">
        <v>925.09156250000012</v>
      </c>
      <c r="F253">
        <v>36.363599999999998</v>
      </c>
    </row>
    <row r="254" spans="1:6">
      <c r="A254" s="20"/>
      <c r="B254" s="20"/>
      <c r="C254" s="20"/>
      <c r="D254" s="21" t="s">
        <v>409</v>
      </c>
      <c r="E254" s="22">
        <v>4201.03125</v>
      </c>
    </row>
    <row r="255" spans="1:6">
      <c r="A255" s="20"/>
      <c r="B255" s="20"/>
      <c r="C255" s="20"/>
      <c r="D255" s="21" t="s">
        <v>238</v>
      </c>
      <c r="E255" s="22">
        <v>34.273199999999996</v>
      </c>
    </row>
    <row r="256" spans="1:6">
      <c r="A256" s="20"/>
      <c r="B256" s="20"/>
      <c r="C256" s="20"/>
      <c r="D256" s="21" t="s">
        <v>243</v>
      </c>
      <c r="E256" s="22">
        <v>442.61999999999995</v>
      </c>
    </row>
    <row r="257" spans="1:6">
      <c r="A257" s="20"/>
      <c r="B257" s="20"/>
      <c r="C257" s="20"/>
      <c r="D257" s="21" t="s">
        <v>677</v>
      </c>
      <c r="E257" s="22">
        <v>3713.7706262644788</v>
      </c>
    </row>
    <row r="258" spans="1:6">
      <c r="A258" s="20"/>
      <c r="B258" s="20"/>
      <c r="C258" s="20"/>
      <c r="D258" s="21" t="s">
        <v>364</v>
      </c>
      <c r="E258" s="22">
        <v>376.42001130275077</v>
      </c>
    </row>
    <row r="259" spans="1:6">
      <c r="A259" s="20"/>
      <c r="B259" s="20"/>
      <c r="C259" s="16" t="s">
        <v>759</v>
      </c>
      <c r="D259" s="23"/>
      <c r="E259" s="19">
        <v>15607.47071256723</v>
      </c>
      <c r="F259">
        <v>3716.7</v>
      </c>
    </row>
    <row r="260" spans="1:6">
      <c r="A260" s="20"/>
      <c r="B260" s="20"/>
      <c r="C260" s="16">
        <v>3</v>
      </c>
      <c r="D260" s="16" t="s">
        <v>211</v>
      </c>
      <c r="E260" s="19">
        <v>1032.58125</v>
      </c>
    </row>
    <row r="261" spans="1:6">
      <c r="A261" s="20"/>
      <c r="B261" s="20"/>
      <c r="C261" s="20"/>
      <c r="D261" s="21" t="s">
        <v>406</v>
      </c>
      <c r="E261" s="22">
        <v>535.51874999999995</v>
      </c>
    </row>
    <row r="262" spans="1:6">
      <c r="A262" s="20"/>
      <c r="B262" s="20"/>
      <c r="C262" s="20"/>
      <c r="D262" s="21" t="s">
        <v>409</v>
      </c>
      <c r="E262" s="22">
        <v>1977.3</v>
      </c>
    </row>
    <row r="263" spans="1:6">
      <c r="A263" s="20"/>
      <c r="B263" s="20"/>
      <c r="C263" s="20"/>
      <c r="D263" s="21" t="s">
        <v>210</v>
      </c>
      <c r="E263" s="22">
        <v>3570.125</v>
      </c>
    </row>
    <row r="264" spans="1:6">
      <c r="A264" s="20"/>
      <c r="B264" s="20"/>
      <c r="C264" s="20"/>
      <c r="D264" s="21" t="s">
        <v>238</v>
      </c>
      <c r="E264" s="22">
        <v>78.920400000000001</v>
      </c>
    </row>
    <row r="265" spans="1:6">
      <c r="A265" s="20"/>
      <c r="B265" s="20"/>
      <c r="C265" s="16" t="s">
        <v>760</v>
      </c>
      <c r="D265" s="23"/>
      <c r="E265" s="19">
        <v>7194.4453999999996</v>
      </c>
    </row>
    <row r="266" spans="1:6">
      <c r="A266" s="20"/>
      <c r="B266" s="20"/>
      <c r="C266" s="16">
        <v>4</v>
      </c>
      <c r="D266" s="16" t="s">
        <v>211</v>
      </c>
      <c r="E266" s="19">
        <v>6996.6281249999993</v>
      </c>
      <c r="F266">
        <v>4235.3044499999996</v>
      </c>
    </row>
    <row r="267" spans="1:6">
      <c r="A267" s="20"/>
      <c r="B267" s="20"/>
      <c r="C267" s="20"/>
      <c r="D267" s="21" t="s">
        <v>38</v>
      </c>
      <c r="E267" s="22">
        <v>2128.7634375000002</v>
      </c>
    </row>
    <row r="268" spans="1:6">
      <c r="A268" s="20"/>
      <c r="B268" s="20"/>
      <c r="C268" s="20"/>
      <c r="D268" s="21" t="s">
        <v>406</v>
      </c>
      <c r="E268" s="22">
        <v>324.43124999999998</v>
      </c>
    </row>
    <row r="269" spans="1:6">
      <c r="A269" s="20"/>
      <c r="B269" s="20"/>
      <c r="C269" s="20"/>
      <c r="D269" s="21" t="s">
        <v>409</v>
      </c>
      <c r="E269" s="22">
        <v>1893.6937499999999</v>
      </c>
    </row>
    <row r="270" spans="1:6">
      <c r="A270" s="20"/>
      <c r="B270" s="20"/>
      <c r="C270" s="20"/>
      <c r="D270" s="21" t="s">
        <v>35</v>
      </c>
      <c r="E270" s="22">
        <v>6169.1974466499905</v>
      </c>
    </row>
    <row r="271" spans="1:6">
      <c r="A271" s="20"/>
      <c r="B271" s="20"/>
      <c r="C271" s="20"/>
      <c r="D271" s="21" t="s">
        <v>538</v>
      </c>
      <c r="E271" s="22">
        <v>70.688581379745784</v>
      </c>
    </row>
    <row r="272" spans="1:6">
      <c r="A272" s="20"/>
      <c r="B272" s="20"/>
      <c r="C272" s="20"/>
      <c r="D272" s="21" t="s">
        <v>365</v>
      </c>
      <c r="E272" s="22">
        <v>3.7800000000000002</v>
      </c>
    </row>
    <row r="273" spans="1:6">
      <c r="A273" s="20"/>
      <c r="B273" s="20"/>
      <c r="C273" s="16" t="s">
        <v>761</v>
      </c>
      <c r="D273" s="23"/>
      <c r="E273" s="19">
        <v>17587.182590529734</v>
      </c>
      <c r="F273">
        <v>2591.7391499999999</v>
      </c>
    </row>
    <row r="274" spans="1:6">
      <c r="A274" s="20"/>
      <c r="B274" s="20"/>
      <c r="C274" s="16">
        <v>5</v>
      </c>
      <c r="D274" s="16" t="s">
        <v>211</v>
      </c>
      <c r="E274" s="19">
        <v>370.8984375</v>
      </c>
    </row>
    <row r="275" spans="1:6">
      <c r="A275" s="20"/>
      <c r="B275" s="20"/>
      <c r="C275" s="20"/>
      <c r="D275" s="21" t="s">
        <v>38</v>
      </c>
      <c r="E275" s="22">
        <v>11.515000000000001</v>
      </c>
    </row>
    <row r="276" spans="1:6">
      <c r="A276" s="20"/>
      <c r="B276" s="20"/>
      <c r="C276" s="20"/>
      <c r="D276" s="21" t="s">
        <v>406</v>
      </c>
      <c r="E276" s="22">
        <v>2522.3249999999998</v>
      </c>
    </row>
    <row r="277" spans="1:6">
      <c r="A277" s="20"/>
      <c r="B277" s="20"/>
      <c r="C277" s="20"/>
      <c r="D277" s="21" t="s">
        <v>409</v>
      </c>
      <c r="E277" s="22">
        <v>167.21250000000001</v>
      </c>
    </row>
    <row r="278" spans="1:6">
      <c r="A278" s="20"/>
      <c r="B278" s="20"/>
      <c r="C278" s="20"/>
      <c r="D278" s="21" t="s">
        <v>238</v>
      </c>
      <c r="E278" s="22">
        <v>305.66639999999995</v>
      </c>
    </row>
    <row r="279" spans="1:6">
      <c r="A279" s="20"/>
      <c r="B279" s="20"/>
      <c r="C279" s="20"/>
      <c r="D279" s="21" t="s">
        <v>677</v>
      </c>
      <c r="E279" s="22">
        <v>2989.2344609433121</v>
      </c>
    </row>
    <row r="280" spans="1:6">
      <c r="A280" s="20"/>
      <c r="B280" s="20"/>
      <c r="C280" s="16" t="s">
        <v>762</v>
      </c>
      <c r="D280" s="23"/>
      <c r="E280" s="19">
        <v>6366.851798443312</v>
      </c>
      <c r="F280">
        <v>2218.125</v>
      </c>
    </row>
    <row r="281" spans="1:6">
      <c r="A281" s="20"/>
      <c r="B281" s="20"/>
      <c r="C281" s="16">
        <v>6</v>
      </c>
      <c r="D281" s="16" t="s">
        <v>211</v>
      </c>
      <c r="E281" s="19">
        <v>865.4296875</v>
      </c>
    </row>
    <row r="282" spans="1:6">
      <c r="A282" s="20"/>
      <c r="B282" s="20"/>
      <c r="C282" s="20"/>
      <c r="D282" s="21" t="s">
        <v>38</v>
      </c>
      <c r="E282" s="22">
        <v>654.18718750000016</v>
      </c>
    </row>
    <row r="283" spans="1:6">
      <c r="A283" s="20"/>
      <c r="B283" s="20"/>
      <c r="C283" s="20"/>
      <c r="D283" s="21" t="s">
        <v>406</v>
      </c>
      <c r="E283" s="22">
        <v>1000.35</v>
      </c>
    </row>
    <row r="284" spans="1:6">
      <c r="A284" s="20"/>
      <c r="B284" s="20"/>
      <c r="C284" s="20"/>
      <c r="D284" s="21" t="s">
        <v>409</v>
      </c>
      <c r="E284" s="22">
        <v>1626.0562500000001</v>
      </c>
    </row>
    <row r="285" spans="1:6">
      <c r="A285" s="20"/>
      <c r="B285" s="20"/>
      <c r="C285" s="20"/>
      <c r="D285" s="21" t="s">
        <v>35</v>
      </c>
      <c r="E285" s="22">
        <v>1029.269608781784</v>
      </c>
    </row>
    <row r="286" spans="1:6">
      <c r="A286" s="20"/>
      <c r="B286" s="20"/>
      <c r="C286" s="20"/>
      <c r="D286" s="21" t="s">
        <v>407</v>
      </c>
      <c r="E286" s="22">
        <v>0.6969747112835798</v>
      </c>
    </row>
    <row r="287" spans="1:6">
      <c r="A287" s="20"/>
      <c r="B287" s="20"/>
      <c r="C287" s="20"/>
      <c r="D287" s="21" t="s">
        <v>238</v>
      </c>
      <c r="E287" s="22">
        <v>85.113599999999991</v>
      </c>
    </row>
    <row r="288" spans="1:6">
      <c r="A288" s="20"/>
      <c r="B288" s="20"/>
      <c r="C288" s="16" t="s">
        <v>763</v>
      </c>
      <c r="D288" s="23"/>
      <c r="E288" s="19">
        <v>5261.1033084930668</v>
      </c>
      <c r="F288">
        <v>2493.0789</v>
      </c>
    </row>
    <row r="289" spans="1:6">
      <c r="A289" s="20"/>
      <c r="B289" s="20"/>
      <c r="C289" s="16">
        <v>7</v>
      </c>
      <c r="D289" s="16" t="s">
        <v>38</v>
      </c>
      <c r="E289" s="19">
        <v>20.107500000000002</v>
      </c>
    </row>
    <row r="290" spans="1:6">
      <c r="A290" s="20"/>
      <c r="B290" s="20"/>
      <c r="C290" s="20"/>
      <c r="D290" s="21" t="s">
        <v>409</v>
      </c>
      <c r="E290" s="22">
        <v>536.39819999999997</v>
      </c>
    </row>
    <row r="291" spans="1:6">
      <c r="A291" s="20"/>
      <c r="B291" s="20"/>
      <c r="C291" s="20"/>
      <c r="D291" s="21" t="s">
        <v>210</v>
      </c>
      <c r="E291" s="22">
        <v>997.953125</v>
      </c>
    </row>
    <row r="292" spans="1:6">
      <c r="A292" s="20"/>
      <c r="B292" s="20"/>
      <c r="C292" s="20"/>
      <c r="D292" s="21" t="s">
        <v>407</v>
      </c>
      <c r="E292" s="22">
        <v>0.38208213841692834</v>
      </c>
    </row>
    <row r="293" spans="1:6">
      <c r="A293" s="20"/>
      <c r="B293" s="20"/>
      <c r="C293" s="20"/>
      <c r="D293" s="21" t="s">
        <v>238</v>
      </c>
      <c r="E293" s="22">
        <v>155.37599999999998</v>
      </c>
    </row>
    <row r="294" spans="1:6">
      <c r="A294" s="20"/>
      <c r="B294" s="20"/>
      <c r="C294" s="16" t="s">
        <v>764</v>
      </c>
      <c r="D294" s="23"/>
      <c r="E294" s="19">
        <v>1710.2169071384169</v>
      </c>
    </row>
    <row r="295" spans="1:6">
      <c r="A295" s="20"/>
      <c r="B295" s="16" t="s">
        <v>753</v>
      </c>
      <c r="C295" s="23"/>
      <c r="D295" s="23"/>
      <c r="E295" s="19">
        <v>73074.958064544087</v>
      </c>
      <c r="F295">
        <v>2626.40625</v>
      </c>
    </row>
    <row r="296" spans="1:6">
      <c r="A296" s="20"/>
      <c r="B296" s="16" t="s">
        <v>41</v>
      </c>
      <c r="C296" s="16">
        <v>1</v>
      </c>
      <c r="D296" s="16" t="s">
        <v>211</v>
      </c>
      <c r="E296" s="19">
        <v>1394.2484374999999</v>
      </c>
    </row>
    <row r="297" spans="1:6">
      <c r="A297" s="20"/>
      <c r="B297" s="20"/>
      <c r="C297" s="20"/>
      <c r="D297" s="21" t="s">
        <v>38</v>
      </c>
      <c r="E297" s="22">
        <v>10.080000000000002</v>
      </c>
    </row>
    <row r="298" spans="1:6">
      <c r="A298" s="20"/>
      <c r="B298" s="20"/>
      <c r="C298" s="20"/>
      <c r="D298" s="21" t="s">
        <v>406</v>
      </c>
      <c r="E298" s="22">
        <v>1037.64375</v>
      </c>
    </row>
    <row r="299" spans="1:6">
      <c r="A299" s="20"/>
      <c r="B299" s="20"/>
      <c r="C299" s="20"/>
      <c r="D299" s="21" t="s">
        <v>409</v>
      </c>
      <c r="E299" s="22">
        <v>1197.54375</v>
      </c>
    </row>
    <row r="300" spans="1:6">
      <c r="A300" s="20"/>
      <c r="B300" s="20"/>
      <c r="C300" s="20"/>
      <c r="D300" s="21" t="s">
        <v>407</v>
      </c>
      <c r="E300" s="22">
        <v>1.1151595380537278</v>
      </c>
    </row>
    <row r="301" spans="1:6">
      <c r="A301" s="20"/>
      <c r="B301" s="20"/>
      <c r="C301" s="20"/>
      <c r="D301" s="21" t="s">
        <v>284</v>
      </c>
      <c r="E301" s="22">
        <v>5.9937395818191179</v>
      </c>
    </row>
    <row r="302" spans="1:6">
      <c r="A302" s="20"/>
      <c r="B302" s="20"/>
      <c r="C302" s="20"/>
      <c r="D302" s="21" t="s">
        <v>238</v>
      </c>
      <c r="E302" s="22">
        <v>34.273199999999996</v>
      </c>
      <c r="F302">
        <v>536.39819999999997</v>
      </c>
    </row>
    <row r="303" spans="1:6">
      <c r="A303" s="20"/>
      <c r="B303" s="20"/>
      <c r="C303" s="20"/>
      <c r="D303" s="21" t="s">
        <v>366</v>
      </c>
      <c r="E303" s="22">
        <v>2.8452518760507912</v>
      </c>
    </row>
    <row r="304" spans="1:6">
      <c r="A304" s="20"/>
      <c r="B304" s="20"/>
      <c r="C304" s="20"/>
      <c r="D304" s="21" t="s">
        <v>677</v>
      </c>
      <c r="E304" s="22">
        <v>21.542583849997314</v>
      </c>
    </row>
    <row r="305" spans="1:6">
      <c r="A305" s="20"/>
      <c r="B305" s="20"/>
      <c r="C305" s="16" t="s">
        <v>758</v>
      </c>
      <c r="D305" s="23"/>
      <c r="E305" s="19">
        <v>3705.2858723459208</v>
      </c>
    </row>
    <row r="306" spans="1:6">
      <c r="A306" s="20"/>
      <c r="B306" s="20"/>
      <c r="C306" s="16">
        <v>2</v>
      </c>
      <c r="D306" s="16" t="s">
        <v>211</v>
      </c>
      <c r="E306" s="19">
        <v>597.06406249999998</v>
      </c>
    </row>
    <row r="307" spans="1:6">
      <c r="A307" s="20"/>
      <c r="B307" s="20"/>
      <c r="C307" s="20"/>
      <c r="D307" s="21" t="s">
        <v>38</v>
      </c>
      <c r="E307" s="22">
        <v>4.9525000000000006</v>
      </c>
    </row>
    <row r="308" spans="1:6">
      <c r="A308" s="20"/>
      <c r="B308" s="20"/>
      <c r="C308" s="20"/>
      <c r="D308" s="21" t="s">
        <v>406</v>
      </c>
      <c r="E308" s="22">
        <v>3442.4812499999998</v>
      </c>
    </row>
    <row r="309" spans="1:6">
      <c r="A309" s="20"/>
      <c r="B309" s="20"/>
      <c r="C309" s="20"/>
      <c r="D309" s="21" t="s">
        <v>409</v>
      </c>
      <c r="E309" s="22">
        <v>1928.0625</v>
      </c>
      <c r="F309">
        <v>1037.64375</v>
      </c>
    </row>
    <row r="310" spans="1:6">
      <c r="A310" s="20"/>
      <c r="B310" s="20"/>
      <c r="C310" s="20"/>
      <c r="D310" s="21" t="s">
        <v>210</v>
      </c>
      <c r="E310" s="22">
        <v>997.953125</v>
      </c>
    </row>
    <row r="311" spans="1:6">
      <c r="A311" s="20"/>
      <c r="B311" s="20"/>
      <c r="C311" s="20"/>
      <c r="D311" s="21" t="s">
        <v>35</v>
      </c>
      <c r="E311" s="22">
        <v>2841.8542972152309</v>
      </c>
    </row>
    <row r="312" spans="1:6">
      <c r="A312" s="20"/>
      <c r="B312" s="20"/>
      <c r="C312" s="20"/>
      <c r="D312" s="21" t="s">
        <v>407</v>
      </c>
      <c r="E312" s="22">
        <v>2.6592821872697869</v>
      </c>
    </row>
    <row r="313" spans="1:6">
      <c r="A313" s="20"/>
      <c r="B313" s="20"/>
      <c r="C313" s="20"/>
      <c r="D313" s="21" t="s">
        <v>238</v>
      </c>
      <c r="E313" s="22">
        <v>135.90719999999999</v>
      </c>
    </row>
    <row r="314" spans="1:6">
      <c r="A314" s="20"/>
      <c r="B314" s="20"/>
      <c r="C314" s="20"/>
      <c r="D314" s="21" t="s">
        <v>677</v>
      </c>
      <c r="E314" s="22">
        <v>64.789952488383747</v>
      </c>
      <c r="F314">
        <v>4943.9753999999994</v>
      </c>
    </row>
    <row r="315" spans="1:6">
      <c r="A315" s="20"/>
      <c r="B315" s="20"/>
      <c r="C315" s="20"/>
      <c r="D315" s="21" t="s">
        <v>367</v>
      </c>
      <c r="E315" s="22">
        <v>822.65625</v>
      </c>
    </row>
    <row r="316" spans="1:6">
      <c r="A316" s="20"/>
      <c r="B316" s="20"/>
      <c r="C316" s="16" t="s">
        <v>759</v>
      </c>
      <c r="D316" s="23"/>
      <c r="E316" s="19">
        <v>10838.380419390882</v>
      </c>
    </row>
    <row r="317" spans="1:6">
      <c r="A317" s="20"/>
      <c r="B317" s="20"/>
      <c r="C317" s="16">
        <v>3</v>
      </c>
      <c r="D317" s="16" t="s">
        <v>211</v>
      </c>
      <c r="E317" s="19">
        <v>1236.328125</v>
      </c>
    </row>
    <row r="318" spans="1:6">
      <c r="A318" s="20"/>
      <c r="B318" s="20"/>
      <c r="C318" s="20"/>
      <c r="D318" s="21" t="s">
        <v>406</v>
      </c>
      <c r="E318" s="22">
        <v>973.29374999999993</v>
      </c>
    </row>
    <row r="319" spans="1:6">
      <c r="A319" s="20"/>
      <c r="B319" s="20"/>
      <c r="C319" s="20"/>
      <c r="D319" s="21" t="s">
        <v>409</v>
      </c>
      <c r="E319" s="22">
        <v>334.42500000000001</v>
      </c>
    </row>
    <row r="320" spans="1:6">
      <c r="A320" s="20"/>
      <c r="B320" s="20"/>
      <c r="C320" s="20"/>
      <c r="D320" s="21" t="s">
        <v>238</v>
      </c>
      <c r="E320" s="22">
        <v>60.9375</v>
      </c>
    </row>
    <row r="321" spans="1:6">
      <c r="A321" s="20"/>
      <c r="B321" s="20"/>
      <c r="C321" s="20"/>
      <c r="D321" s="21" t="s">
        <v>538</v>
      </c>
      <c r="E321" s="22">
        <v>92.100986023923937</v>
      </c>
    </row>
    <row r="322" spans="1:6">
      <c r="A322" s="20"/>
      <c r="B322" s="20"/>
      <c r="C322" s="16" t="s">
        <v>760</v>
      </c>
      <c r="D322" s="23"/>
      <c r="E322" s="19">
        <v>2697.0853610239237</v>
      </c>
      <c r="F322">
        <v>1368.65625</v>
      </c>
    </row>
    <row r="323" spans="1:6">
      <c r="A323" s="20"/>
      <c r="B323" s="20"/>
      <c r="C323" s="16">
        <v>4</v>
      </c>
      <c r="D323" s="16" t="s">
        <v>211</v>
      </c>
      <c r="E323" s="19">
        <v>1277.5390625</v>
      </c>
    </row>
    <row r="324" spans="1:6">
      <c r="A324" s="20"/>
      <c r="B324" s="20"/>
      <c r="C324" s="20"/>
      <c r="D324" s="21" t="s">
        <v>38</v>
      </c>
      <c r="E324" s="22">
        <v>3.6575000000000002</v>
      </c>
    </row>
    <row r="325" spans="1:6">
      <c r="A325" s="20"/>
      <c r="B325" s="20"/>
      <c r="C325" s="20"/>
      <c r="D325" s="21" t="s">
        <v>406</v>
      </c>
      <c r="E325" s="22">
        <v>1345.2562499999999</v>
      </c>
    </row>
    <row r="326" spans="1:6">
      <c r="A326" s="20"/>
      <c r="B326" s="20"/>
      <c r="C326" s="20"/>
      <c r="D326" s="21" t="s">
        <v>409</v>
      </c>
      <c r="E326" s="22">
        <v>83.606250000000003</v>
      </c>
    </row>
    <row r="327" spans="1:6">
      <c r="A327" s="20"/>
      <c r="B327" s="20"/>
      <c r="C327" s="20"/>
      <c r="D327" s="21" t="s">
        <v>238</v>
      </c>
      <c r="E327" s="22">
        <v>73.772400000000005</v>
      </c>
    </row>
    <row r="328" spans="1:6">
      <c r="A328" s="20"/>
      <c r="B328" s="20"/>
      <c r="C328" s="20"/>
      <c r="D328" s="21" t="s">
        <v>499</v>
      </c>
      <c r="E328" s="22">
        <v>83.831187519855675</v>
      </c>
    </row>
    <row r="329" spans="1:6">
      <c r="A329" s="20"/>
      <c r="B329" s="20"/>
      <c r="C329" s="20"/>
      <c r="D329" s="21" t="s">
        <v>677</v>
      </c>
      <c r="E329" s="22">
        <v>23.586352454153225</v>
      </c>
      <c r="F329">
        <v>1502.6349</v>
      </c>
    </row>
    <row r="330" spans="1:6">
      <c r="A330" s="20"/>
      <c r="B330" s="20"/>
      <c r="C330" s="16" t="s">
        <v>761</v>
      </c>
      <c r="D330" s="23"/>
      <c r="E330" s="19">
        <v>2891.2490024740082</v>
      </c>
    </row>
    <row r="331" spans="1:6">
      <c r="A331" s="20"/>
      <c r="B331" s="20"/>
      <c r="C331" s="16">
        <v>5</v>
      </c>
      <c r="D331" s="16" t="s">
        <v>38</v>
      </c>
      <c r="E331" s="19">
        <v>4.4800000000000004</v>
      </c>
    </row>
    <row r="332" spans="1:6">
      <c r="A332" s="20"/>
      <c r="B332" s="20"/>
      <c r="C332" s="20"/>
      <c r="D332" s="21" t="s">
        <v>210</v>
      </c>
      <c r="E332" s="22">
        <v>3570.125</v>
      </c>
    </row>
    <row r="333" spans="1:6">
      <c r="A333" s="20"/>
      <c r="B333" s="20"/>
      <c r="C333" s="20"/>
      <c r="D333" s="21" t="s">
        <v>238</v>
      </c>
      <c r="E333" s="22">
        <v>11.372399999999999</v>
      </c>
    </row>
    <row r="334" spans="1:6">
      <c r="A334" s="20"/>
      <c r="B334" s="20"/>
      <c r="C334" s="20"/>
      <c r="D334" s="21" t="s">
        <v>458</v>
      </c>
      <c r="E334" s="22">
        <v>149.95752389323175</v>
      </c>
    </row>
    <row r="335" spans="1:6">
      <c r="A335" s="20"/>
      <c r="B335" s="20"/>
      <c r="C335" s="16" t="s">
        <v>762</v>
      </c>
      <c r="D335" s="23"/>
      <c r="E335" s="19">
        <v>3735.9349238932318</v>
      </c>
    </row>
    <row r="336" spans="1:6">
      <c r="A336" s="20"/>
      <c r="B336" s="20"/>
      <c r="C336" s="16">
        <v>6</v>
      </c>
      <c r="D336" s="16" t="s">
        <v>211</v>
      </c>
      <c r="E336" s="19">
        <v>1821.1937499999999</v>
      </c>
    </row>
    <row r="337" spans="1:6">
      <c r="A337" s="20"/>
      <c r="B337" s="20"/>
      <c r="C337" s="20"/>
      <c r="D337" s="21" t="s">
        <v>406</v>
      </c>
      <c r="E337" s="22">
        <v>535.51874999999995</v>
      </c>
      <c r="F337">
        <v>11.372399999999999</v>
      </c>
    </row>
    <row r="338" spans="1:6">
      <c r="A338" s="20"/>
      <c r="B338" s="20"/>
      <c r="C338" s="20"/>
      <c r="D338" s="21" t="s">
        <v>409</v>
      </c>
      <c r="E338" s="22">
        <v>1645.3125</v>
      </c>
    </row>
    <row r="339" spans="1:6">
      <c r="A339" s="20"/>
      <c r="B339" s="20"/>
      <c r="C339" s="20"/>
      <c r="D339" s="21" t="s">
        <v>238</v>
      </c>
      <c r="E339" s="22">
        <v>20.7636</v>
      </c>
    </row>
    <row r="340" spans="1:6">
      <c r="A340" s="20"/>
      <c r="B340" s="20"/>
      <c r="C340" s="20"/>
      <c r="D340" s="21" t="s">
        <v>335</v>
      </c>
      <c r="E340" s="22">
        <v>5.9757384313780317</v>
      </c>
    </row>
    <row r="341" spans="1:6">
      <c r="A341" s="20"/>
      <c r="B341" s="20"/>
      <c r="C341" s="16" t="s">
        <v>763</v>
      </c>
      <c r="D341" s="23"/>
      <c r="E341" s="19">
        <v>4028.7643384313778</v>
      </c>
      <c r="F341">
        <v>2201.5948500000004</v>
      </c>
    </row>
    <row r="342" spans="1:6">
      <c r="A342" s="20"/>
      <c r="B342" s="16" t="s">
        <v>659</v>
      </c>
      <c r="C342" s="23"/>
      <c r="D342" s="23"/>
      <c r="E342" s="19">
        <v>27896.699917559341</v>
      </c>
    </row>
    <row r="343" spans="1:6">
      <c r="A343" s="16" t="s">
        <v>754</v>
      </c>
      <c r="B343" s="23"/>
      <c r="C343" s="23"/>
      <c r="D343" s="23"/>
      <c r="E343" s="19">
        <v>142905.14513978706</v>
      </c>
    </row>
    <row r="344" spans="1:6">
      <c r="A344" s="26" t="s">
        <v>755</v>
      </c>
      <c r="B344" s="27"/>
      <c r="C344" s="27"/>
      <c r="D344" s="27"/>
      <c r="E344" s="28">
        <v>229026.94638114993</v>
      </c>
    </row>
    <row r="348" spans="1:6">
      <c r="F348">
        <v>1231.8169500000001</v>
      </c>
    </row>
    <row r="355" spans="6:6">
      <c r="F355">
        <v>1385.1318000000001</v>
      </c>
    </row>
  </sheetData>
  <sheetCalcPr fullCalcOnLoad="1"/>
  <phoneticPr fontId="3" type="noConversion"/>
  <pageMargins left="0.75" right="0.75" top="1" bottom="1" header="0.5" footer="0.5"/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55"/>
  <sheetViews>
    <sheetView topLeftCell="P1" workbookViewId="0">
      <selection activeCell="P49" sqref="P49"/>
    </sheetView>
  </sheetViews>
  <sheetFormatPr baseColWidth="10" defaultRowHeight="12"/>
  <sheetData>
    <row r="1" spans="1:31">
      <c r="A1" s="38" t="s">
        <v>68</v>
      </c>
      <c r="B1" s="38" t="s">
        <v>69</v>
      </c>
      <c r="C1" s="38" t="s">
        <v>70</v>
      </c>
      <c r="D1" s="41" t="s">
        <v>74</v>
      </c>
      <c r="E1" s="16" t="s">
        <v>84</v>
      </c>
      <c r="F1" s="17" t="s">
        <v>155</v>
      </c>
      <c r="G1" s="17" t="s">
        <v>156</v>
      </c>
      <c r="H1" s="17" t="s">
        <v>160</v>
      </c>
      <c r="I1" s="17" t="s">
        <v>448</v>
      </c>
      <c r="J1" s="17" t="s">
        <v>158</v>
      </c>
      <c r="K1" s="17" t="s">
        <v>157</v>
      </c>
      <c r="L1" s="17" t="s">
        <v>159</v>
      </c>
      <c r="M1" s="17" t="s">
        <v>78</v>
      </c>
      <c r="N1" s="17" t="s">
        <v>80</v>
      </c>
      <c r="O1" s="17" t="s">
        <v>108</v>
      </c>
      <c r="P1" s="17" t="s">
        <v>169</v>
      </c>
      <c r="Q1" s="17" t="s">
        <v>173</v>
      </c>
      <c r="R1" s="17" t="s">
        <v>195</v>
      </c>
      <c r="S1" s="17" t="s">
        <v>161</v>
      </c>
      <c r="T1" s="17" t="s">
        <v>194</v>
      </c>
      <c r="U1" s="17" t="s">
        <v>208</v>
      </c>
      <c r="V1" s="17" t="s">
        <v>178</v>
      </c>
      <c r="W1" s="17" t="s">
        <v>307</v>
      </c>
      <c r="X1" s="17" t="s">
        <v>110</v>
      </c>
      <c r="Y1" s="17" t="s">
        <v>176</v>
      </c>
      <c r="Z1" s="17" t="s">
        <v>171</v>
      </c>
      <c r="AA1" s="17" t="s">
        <v>205</v>
      </c>
      <c r="AB1" s="17" t="s">
        <v>139</v>
      </c>
      <c r="AC1" s="17" t="s">
        <v>137</v>
      </c>
      <c r="AD1" s="41" t="s">
        <v>138</v>
      </c>
      <c r="AE1" s="17" t="s">
        <v>297</v>
      </c>
    </row>
    <row r="2" spans="1:31">
      <c r="A2" s="38" t="s">
        <v>71</v>
      </c>
      <c r="B2" s="38" t="s">
        <v>296</v>
      </c>
      <c r="C2" s="38">
        <v>1</v>
      </c>
      <c r="D2" s="38">
        <v>1</v>
      </c>
      <c r="E2" s="42">
        <v>0</v>
      </c>
      <c r="F2" s="47">
        <v>8</v>
      </c>
      <c r="G2" s="47">
        <v>5</v>
      </c>
      <c r="H2" s="47">
        <f>F2-G2</f>
        <v>3</v>
      </c>
      <c r="I2" s="43">
        <v>0</v>
      </c>
      <c r="J2" s="43">
        <v>0</v>
      </c>
      <c r="K2" s="43">
        <v>0</v>
      </c>
      <c r="L2" s="43">
        <f>J2-K2</f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>
        <v>100</v>
      </c>
      <c r="AA2" s="43">
        <v>0</v>
      </c>
      <c r="AB2" s="43">
        <v>0</v>
      </c>
      <c r="AC2" s="43">
        <v>0</v>
      </c>
      <c r="AD2" s="43">
        <v>100</v>
      </c>
      <c r="AE2" s="43">
        <v>8</v>
      </c>
    </row>
    <row r="3" spans="1:31">
      <c r="A3" s="38" t="s">
        <v>71</v>
      </c>
      <c r="B3" s="38" t="s">
        <v>296</v>
      </c>
      <c r="C3" s="38">
        <v>2</v>
      </c>
      <c r="D3" s="38">
        <v>2</v>
      </c>
      <c r="E3" s="44">
        <v>0</v>
      </c>
      <c r="F3" s="47">
        <v>21</v>
      </c>
      <c r="G3" s="47">
        <v>19</v>
      </c>
      <c r="H3" s="47">
        <f>F3-G3</f>
        <v>2</v>
      </c>
      <c r="I3" s="24">
        <v>0</v>
      </c>
      <c r="J3" s="24">
        <v>0</v>
      </c>
      <c r="K3" s="24">
        <v>0</v>
      </c>
      <c r="L3" s="47">
        <f t="shared" ref="L3:L55" si="0">J3-K3</f>
        <v>0</v>
      </c>
      <c r="M3" s="24">
        <v>0</v>
      </c>
      <c r="N3" s="24">
        <v>0</v>
      </c>
      <c r="O3" s="24">
        <v>0</v>
      </c>
      <c r="P3" s="7">
        <v>25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28</v>
      </c>
      <c r="Z3" s="7">
        <v>0</v>
      </c>
      <c r="AA3" s="7">
        <v>0</v>
      </c>
      <c r="AB3" s="7">
        <v>0</v>
      </c>
      <c r="AC3" s="7">
        <v>28</v>
      </c>
      <c r="AD3" s="7">
        <v>0</v>
      </c>
      <c r="AE3" s="7">
        <v>21</v>
      </c>
    </row>
    <row r="4" spans="1:31">
      <c r="A4" s="38" t="s">
        <v>71</v>
      </c>
      <c r="B4" s="38" t="s">
        <v>296</v>
      </c>
      <c r="C4" s="38">
        <v>3</v>
      </c>
      <c r="D4" s="38">
        <v>3</v>
      </c>
      <c r="E4" s="44">
        <v>0</v>
      </c>
      <c r="F4" s="24">
        <v>0</v>
      </c>
      <c r="G4" s="24">
        <v>0</v>
      </c>
      <c r="H4" s="47">
        <f t="shared" ref="H4:H55" si="1">F4-G4</f>
        <v>0</v>
      </c>
      <c r="I4" s="24">
        <v>0</v>
      </c>
      <c r="J4" s="24">
        <v>0</v>
      </c>
      <c r="K4" s="24">
        <v>0</v>
      </c>
      <c r="L4" s="47">
        <f t="shared" si="0"/>
        <v>0</v>
      </c>
      <c r="M4" s="24">
        <v>0</v>
      </c>
      <c r="N4" s="24">
        <v>0</v>
      </c>
      <c r="O4" s="24">
        <v>0</v>
      </c>
      <c r="P4" s="7">
        <v>4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7</v>
      </c>
      <c r="Z4" s="7">
        <v>13</v>
      </c>
      <c r="AA4" s="7">
        <v>0</v>
      </c>
      <c r="AB4" s="7">
        <v>0</v>
      </c>
      <c r="AC4" s="7">
        <v>7</v>
      </c>
      <c r="AD4" s="7">
        <v>13</v>
      </c>
      <c r="AE4" s="7">
        <v>0</v>
      </c>
    </row>
    <row r="5" spans="1:31">
      <c r="A5" s="38" t="s">
        <v>71</v>
      </c>
      <c r="B5" s="38" t="s">
        <v>296</v>
      </c>
      <c r="C5" s="38">
        <v>4</v>
      </c>
      <c r="D5" s="41">
        <v>4</v>
      </c>
      <c r="E5" s="44">
        <v>0</v>
      </c>
      <c r="F5" s="24">
        <v>0</v>
      </c>
      <c r="G5" s="24">
        <v>0</v>
      </c>
      <c r="H5" s="47">
        <f t="shared" si="1"/>
        <v>0</v>
      </c>
      <c r="I5" s="24">
        <v>0</v>
      </c>
      <c r="J5" s="24">
        <v>0</v>
      </c>
      <c r="K5" s="24">
        <v>0</v>
      </c>
      <c r="L5" s="47">
        <f t="shared" si="0"/>
        <v>0</v>
      </c>
      <c r="M5" s="24">
        <v>0</v>
      </c>
      <c r="N5" s="24">
        <v>0</v>
      </c>
      <c r="O5" s="24">
        <v>0</v>
      </c>
      <c r="P5" s="7">
        <v>3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</row>
    <row r="6" spans="1:31">
      <c r="A6" s="38" t="s">
        <v>71</v>
      </c>
      <c r="B6" s="38" t="s">
        <v>296</v>
      </c>
      <c r="C6" s="38">
        <v>5</v>
      </c>
      <c r="D6" s="38">
        <v>5</v>
      </c>
      <c r="E6" s="44">
        <v>1</v>
      </c>
      <c r="F6" s="24">
        <v>0</v>
      </c>
      <c r="G6" s="24">
        <v>0</v>
      </c>
      <c r="H6" s="47">
        <f t="shared" si="1"/>
        <v>0</v>
      </c>
      <c r="I6" s="24">
        <v>0</v>
      </c>
      <c r="J6" s="24">
        <v>0</v>
      </c>
      <c r="K6" s="24">
        <v>0</v>
      </c>
      <c r="L6" s="47">
        <f t="shared" si="0"/>
        <v>0</v>
      </c>
      <c r="M6" s="24">
        <v>0</v>
      </c>
      <c r="N6" s="24">
        <v>0</v>
      </c>
      <c r="O6" s="24">
        <v>0</v>
      </c>
      <c r="P6" s="7">
        <v>6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8</v>
      </c>
      <c r="AA6" s="7">
        <v>0</v>
      </c>
      <c r="AB6" s="7">
        <v>1</v>
      </c>
      <c r="AC6" s="7">
        <v>0</v>
      </c>
      <c r="AD6" s="7">
        <v>8</v>
      </c>
      <c r="AE6" s="7">
        <v>0</v>
      </c>
    </row>
    <row r="7" spans="1:31">
      <c r="A7" s="38" t="s">
        <v>71</v>
      </c>
      <c r="B7" s="38" t="s">
        <v>296</v>
      </c>
      <c r="C7" s="38">
        <v>6</v>
      </c>
      <c r="D7" s="38">
        <v>6</v>
      </c>
      <c r="E7" s="44">
        <v>0</v>
      </c>
      <c r="F7" s="24">
        <v>0</v>
      </c>
      <c r="G7" s="24">
        <v>0</v>
      </c>
      <c r="H7" s="47">
        <f t="shared" si="1"/>
        <v>0</v>
      </c>
      <c r="I7" s="24">
        <v>0</v>
      </c>
      <c r="J7" s="24">
        <v>0</v>
      </c>
      <c r="K7" s="24">
        <v>0</v>
      </c>
      <c r="L7" s="47">
        <f t="shared" si="0"/>
        <v>0</v>
      </c>
      <c r="M7" s="24">
        <v>0</v>
      </c>
      <c r="N7" s="24">
        <v>0</v>
      </c>
      <c r="O7" s="24">
        <v>0</v>
      </c>
      <c r="P7" s="7">
        <v>1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</row>
    <row r="8" spans="1:31">
      <c r="A8" s="38" t="s">
        <v>71</v>
      </c>
      <c r="B8" s="38" t="s">
        <v>75</v>
      </c>
      <c r="C8" s="38">
        <v>1</v>
      </c>
      <c r="D8" s="38">
        <v>7</v>
      </c>
      <c r="E8" s="42">
        <v>0</v>
      </c>
      <c r="F8" s="47">
        <v>0</v>
      </c>
      <c r="G8" s="47">
        <v>0</v>
      </c>
      <c r="H8" s="47">
        <f t="shared" si="1"/>
        <v>0</v>
      </c>
      <c r="I8" s="43">
        <v>1</v>
      </c>
      <c r="J8" s="43">
        <v>0</v>
      </c>
      <c r="K8" s="43">
        <v>0</v>
      </c>
      <c r="L8" s="47">
        <f t="shared" si="0"/>
        <v>0</v>
      </c>
      <c r="M8" s="43">
        <v>0</v>
      </c>
      <c r="N8" s="43">
        <v>0</v>
      </c>
      <c r="O8" s="43">
        <v>0</v>
      </c>
      <c r="P8" s="43">
        <v>7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7</v>
      </c>
      <c r="Z8" s="43">
        <v>0</v>
      </c>
      <c r="AA8" s="43">
        <v>1</v>
      </c>
      <c r="AB8" s="43">
        <v>1</v>
      </c>
      <c r="AC8" s="43">
        <v>8</v>
      </c>
      <c r="AD8" s="43">
        <v>0</v>
      </c>
      <c r="AE8" s="43">
        <v>0</v>
      </c>
    </row>
    <row r="9" spans="1:31">
      <c r="A9" s="38" t="s">
        <v>71</v>
      </c>
      <c r="B9" s="38" t="s">
        <v>75</v>
      </c>
      <c r="C9" s="38">
        <v>2</v>
      </c>
      <c r="D9" s="41">
        <v>8</v>
      </c>
      <c r="E9" s="44">
        <v>0</v>
      </c>
      <c r="F9" s="24">
        <v>0</v>
      </c>
      <c r="G9" s="24">
        <v>0</v>
      </c>
      <c r="H9" s="47">
        <f t="shared" si="1"/>
        <v>0</v>
      </c>
      <c r="I9" s="24">
        <v>0</v>
      </c>
      <c r="J9" s="7">
        <v>1</v>
      </c>
      <c r="K9" s="7">
        <v>1</v>
      </c>
      <c r="L9" s="47">
        <f t="shared" si="0"/>
        <v>0</v>
      </c>
      <c r="M9" s="24">
        <v>0</v>
      </c>
      <c r="N9" s="24">
        <v>0</v>
      </c>
      <c r="O9" s="24">
        <v>0</v>
      </c>
      <c r="P9" s="7">
        <v>4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7">
        <v>5</v>
      </c>
      <c r="Z9" s="24">
        <v>0</v>
      </c>
      <c r="AA9" s="24">
        <v>0</v>
      </c>
      <c r="AB9" s="24">
        <v>0</v>
      </c>
      <c r="AC9" s="7">
        <v>5</v>
      </c>
      <c r="AD9" s="24">
        <v>0</v>
      </c>
      <c r="AE9" s="7">
        <v>1</v>
      </c>
    </row>
    <row r="10" spans="1:31">
      <c r="A10" s="38" t="s">
        <v>71</v>
      </c>
      <c r="B10" s="38" t="s">
        <v>75</v>
      </c>
      <c r="C10" s="38">
        <v>3</v>
      </c>
      <c r="D10" s="38">
        <v>9</v>
      </c>
      <c r="E10" s="44">
        <v>0</v>
      </c>
      <c r="F10" s="24">
        <v>0</v>
      </c>
      <c r="G10" s="24">
        <v>0</v>
      </c>
      <c r="H10" s="47">
        <f t="shared" si="1"/>
        <v>0</v>
      </c>
      <c r="I10" s="24">
        <v>0</v>
      </c>
      <c r="J10" s="24">
        <v>0</v>
      </c>
      <c r="K10" s="24">
        <v>0</v>
      </c>
      <c r="L10" s="47">
        <f t="shared" si="0"/>
        <v>0</v>
      </c>
      <c r="M10" s="24">
        <v>0</v>
      </c>
      <c r="N10" s="24">
        <v>0</v>
      </c>
      <c r="O10" s="24">
        <v>0</v>
      </c>
      <c r="P10" s="7">
        <v>5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</row>
    <row r="11" spans="1:31">
      <c r="A11" s="38" t="s">
        <v>71</v>
      </c>
      <c r="B11" s="38" t="s">
        <v>75</v>
      </c>
      <c r="C11" s="38">
        <v>4</v>
      </c>
      <c r="D11" s="38">
        <v>10</v>
      </c>
      <c r="E11" s="44">
        <v>0</v>
      </c>
      <c r="F11" s="47">
        <v>5</v>
      </c>
      <c r="G11" s="47">
        <v>2</v>
      </c>
      <c r="H11" s="47">
        <f t="shared" si="1"/>
        <v>3</v>
      </c>
      <c r="I11" s="24">
        <v>0</v>
      </c>
      <c r="J11" s="7">
        <v>1</v>
      </c>
      <c r="K11" s="7">
        <v>1</v>
      </c>
      <c r="L11" s="47">
        <f t="shared" si="0"/>
        <v>0</v>
      </c>
      <c r="M11" s="24">
        <v>0</v>
      </c>
      <c r="N11" s="24">
        <v>0</v>
      </c>
      <c r="O11" s="24">
        <v>0</v>
      </c>
      <c r="P11" s="7">
        <v>13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7">
        <v>30</v>
      </c>
      <c r="W11" s="24">
        <v>0</v>
      </c>
      <c r="X11" s="24">
        <v>0</v>
      </c>
      <c r="Y11" s="24">
        <v>0</v>
      </c>
      <c r="Z11" s="7">
        <v>2</v>
      </c>
      <c r="AA11" s="24">
        <v>0</v>
      </c>
      <c r="AB11" s="24">
        <v>0</v>
      </c>
      <c r="AC11" s="24">
        <v>0</v>
      </c>
      <c r="AD11" s="7">
        <v>2</v>
      </c>
      <c r="AE11" s="7">
        <v>6</v>
      </c>
    </row>
    <row r="12" spans="1:31">
      <c r="A12" s="38" t="s">
        <v>71</v>
      </c>
      <c r="B12" s="38" t="s">
        <v>75</v>
      </c>
      <c r="C12" s="38">
        <v>5</v>
      </c>
      <c r="D12" s="38">
        <v>11</v>
      </c>
      <c r="E12" s="44">
        <v>0</v>
      </c>
      <c r="F12" s="47">
        <v>21</v>
      </c>
      <c r="G12" s="47">
        <v>4</v>
      </c>
      <c r="H12" s="47">
        <f t="shared" si="1"/>
        <v>17</v>
      </c>
      <c r="I12" s="24">
        <v>0</v>
      </c>
      <c r="J12" s="7">
        <v>1</v>
      </c>
      <c r="K12" s="7">
        <v>1</v>
      </c>
      <c r="L12" s="47">
        <f t="shared" si="0"/>
        <v>0</v>
      </c>
      <c r="M12" s="24">
        <v>0</v>
      </c>
      <c r="N12" s="24">
        <v>0</v>
      </c>
      <c r="O12" s="24">
        <v>0</v>
      </c>
      <c r="P12" s="7">
        <v>9</v>
      </c>
      <c r="Q12" s="24">
        <v>0</v>
      </c>
      <c r="R12" s="7">
        <v>21</v>
      </c>
      <c r="S12" s="7">
        <v>1</v>
      </c>
      <c r="T12" s="7">
        <f t="shared" ref="T12" si="2">R12-S12</f>
        <v>20</v>
      </c>
      <c r="U12" s="7">
        <v>1</v>
      </c>
      <c r="V12" s="7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7">
        <v>1</v>
      </c>
      <c r="AD12" s="7">
        <v>0</v>
      </c>
      <c r="AE12" s="7">
        <v>43</v>
      </c>
    </row>
    <row r="13" spans="1:31">
      <c r="A13" s="38" t="s">
        <v>71</v>
      </c>
      <c r="B13" s="38" t="s">
        <v>75</v>
      </c>
      <c r="C13" s="38">
        <v>6</v>
      </c>
      <c r="D13" s="41">
        <v>12</v>
      </c>
      <c r="E13" s="44">
        <v>0</v>
      </c>
      <c r="F13" s="47">
        <v>25</v>
      </c>
      <c r="G13" s="47">
        <v>0</v>
      </c>
      <c r="H13" s="47">
        <f t="shared" si="1"/>
        <v>25</v>
      </c>
      <c r="I13" s="24">
        <v>0</v>
      </c>
      <c r="J13" s="7">
        <v>1</v>
      </c>
      <c r="K13" s="7">
        <v>1</v>
      </c>
      <c r="L13" s="47">
        <f t="shared" si="0"/>
        <v>0</v>
      </c>
      <c r="M13" s="24">
        <v>0</v>
      </c>
      <c r="N13" s="24">
        <v>0</v>
      </c>
      <c r="O13" s="24">
        <v>0</v>
      </c>
      <c r="P13" s="7">
        <v>13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1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7">
        <v>26</v>
      </c>
    </row>
    <row r="14" spans="1:31">
      <c r="A14" s="38" t="s">
        <v>71</v>
      </c>
      <c r="B14" s="38" t="s">
        <v>255</v>
      </c>
      <c r="C14" s="38">
        <v>1</v>
      </c>
      <c r="D14" s="38">
        <v>13</v>
      </c>
      <c r="E14" s="42">
        <v>0</v>
      </c>
      <c r="F14" s="47">
        <v>31</v>
      </c>
      <c r="G14" s="47">
        <v>2</v>
      </c>
      <c r="H14" s="47">
        <f t="shared" si="1"/>
        <v>29</v>
      </c>
      <c r="I14" s="43">
        <v>0</v>
      </c>
      <c r="J14" s="43">
        <v>0</v>
      </c>
      <c r="K14" s="43">
        <v>0</v>
      </c>
      <c r="L14" s="47">
        <f t="shared" si="0"/>
        <v>0</v>
      </c>
      <c r="M14" s="43">
        <v>0</v>
      </c>
      <c r="N14" s="43">
        <v>0</v>
      </c>
      <c r="O14" s="43">
        <v>0</v>
      </c>
      <c r="P14" s="43">
        <v>12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31</v>
      </c>
    </row>
    <row r="15" spans="1:31">
      <c r="A15" s="38" t="s">
        <v>71</v>
      </c>
      <c r="B15" s="38" t="s">
        <v>255</v>
      </c>
      <c r="C15" s="38">
        <v>2</v>
      </c>
      <c r="D15" s="38">
        <v>14</v>
      </c>
      <c r="E15" s="44">
        <v>0</v>
      </c>
      <c r="F15" s="47">
        <v>7</v>
      </c>
      <c r="G15" s="47">
        <v>2</v>
      </c>
      <c r="H15" s="47">
        <f t="shared" si="1"/>
        <v>5</v>
      </c>
      <c r="I15" s="24">
        <v>0</v>
      </c>
      <c r="J15" s="24">
        <v>0</v>
      </c>
      <c r="K15" s="24">
        <v>0</v>
      </c>
      <c r="L15" s="47">
        <f t="shared" si="0"/>
        <v>0</v>
      </c>
      <c r="M15" s="24">
        <v>0</v>
      </c>
      <c r="N15" s="24">
        <v>0</v>
      </c>
      <c r="O15" s="24">
        <v>0</v>
      </c>
      <c r="P15" s="7">
        <v>4</v>
      </c>
      <c r="Q15" s="7">
        <v>1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7">
        <v>20</v>
      </c>
      <c r="AA15" s="24">
        <v>0</v>
      </c>
      <c r="AB15" s="24">
        <v>0</v>
      </c>
      <c r="AC15" s="24">
        <v>0</v>
      </c>
      <c r="AD15" s="7">
        <v>20</v>
      </c>
      <c r="AE15" s="7">
        <v>7</v>
      </c>
    </row>
    <row r="16" spans="1:31">
      <c r="A16" s="38" t="s">
        <v>71</v>
      </c>
      <c r="B16" s="38" t="s">
        <v>255</v>
      </c>
      <c r="C16" s="38">
        <v>3</v>
      </c>
      <c r="D16" s="38">
        <v>15</v>
      </c>
      <c r="E16" s="44">
        <v>0</v>
      </c>
      <c r="F16" s="47">
        <v>1</v>
      </c>
      <c r="G16" s="47">
        <v>0</v>
      </c>
      <c r="H16" s="47">
        <f t="shared" si="1"/>
        <v>1</v>
      </c>
      <c r="I16" s="24">
        <v>0</v>
      </c>
      <c r="J16" s="24">
        <v>0</v>
      </c>
      <c r="K16" s="24">
        <v>0</v>
      </c>
      <c r="L16" s="47">
        <f t="shared" si="0"/>
        <v>0</v>
      </c>
      <c r="M16" s="24">
        <v>0</v>
      </c>
      <c r="N16" s="24">
        <v>0</v>
      </c>
      <c r="O16" s="24">
        <v>0</v>
      </c>
      <c r="P16" s="7">
        <v>17</v>
      </c>
      <c r="Q16" s="7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7">
        <v>1</v>
      </c>
    </row>
    <row r="17" spans="1:31">
      <c r="A17" s="38" t="s">
        <v>71</v>
      </c>
      <c r="B17" s="38" t="s">
        <v>255</v>
      </c>
      <c r="C17" s="38">
        <v>4</v>
      </c>
      <c r="D17" s="41">
        <v>16</v>
      </c>
      <c r="E17" s="44">
        <v>0</v>
      </c>
      <c r="F17" s="24">
        <v>0</v>
      </c>
      <c r="G17" s="24">
        <v>0</v>
      </c>
      <c r="H17" s="47">
        <f t="shared" si="1"/>
        <v>0</v>
      </c>
      <c r="I17" s="24">
        <v>0</v>
      </c>
      <c r="J17" s="24">
        <v>0</v>
      </c>
      <c r="K17" s="24">
        <v>0</v>
      </c>
      <c r="L17" s="47">
        <f t="shared" si="0"/>
        <v>0</v>
      </c>
      <c r="M17" s="7">
        <v>1</v>
      </c>
      <c r="N17" s="24">
        <v>0</v>
      </c>
      <c r="O17" s="24">
        <v>0</v>
      </c>
      <c r="P17" s="7">
        <v>11</v>
      </c>
      <c r="Q17" s="7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7">
        <v>1</v>
      </c>
      <c r="AD17" s="24">
        <v>0</v>
      </c>
      <c r="AE17" s="24">
        <v>0</v>
      </c>
    </row>
    <row r="18" spans="1:31">
      <c r="A18" s="38" t="s">
        <v>71</v>
      </c>
      <c r="B18" s="38" t="s">
        <v>255</v>
      </c>
      <c r="C18" s="38">
        <v>5</v>
      </c>
      <c r="D18" s="38">
        <v>17</v>
      </c>
      <c r="E18" s="44">
        <v>0</v>
      </c>
      <c r="F18" s="24">
        <v>0</v>
      </c>
      <c r="G18" s="24">
        <v>0</v>
      </c>
      <c r="H18" s="47">
        <f t="shared" si="1"/>
        <v>0</v>
      </c>
      <c r="I18" s="7">
        <v>1</v>
      </c>
      <c r="J18" s="24">
        <v>0</v>
      </c>
      <c r="K18" s="24">
        <v>0</v>
      </c>
      <c r="L18" s="47">
        <f t="shared" si="0"/>
        <v>0</v>
      </c>
      <c r="M18" s="24">
        <v>0</v>
      </c>
      <c r="N18" s="24">
        <v>0</v>
      </c>
      <c r="O18" s="24">
        <v>0</v>
      </c>
      <c r="P18" s="7">
        <v>4</v>
      </c>
      <c r="Q18" s="7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7">
        <v>1</v>
      </c>
      <c r="Z18" s="24">
        <v>0</v>
      </c>
      <c r="AA18" s="24">
        <v>0</v>
      </c>
      <c r="AB18" s="7">
        <v>1</v>
      </c>
      <c r="AC18" s="7">
        <v>1</v>
      </c>
      <c r="AD18" s="24">
        <v>0</v>
      </c>
      <c r="AE18" s="24">
        <v>0</v>
      </c>
    </row>
    <row r="19" spans="1:31">
      <c r="A19" s="38" t="s">
        <v>71</v>
      </c>
      <c r="B19" s="38" t="s">
        <v>255</v>
      </c>
      <c r="C19" s="38">
        <v>6</v>
      </c>
      <c r="D19" s="38">
        <v>18</v>
      </c>
      <c r="E19" s="44">
        <v>0</v>
      </c>
      <c r="F19" s="24">
        <v>0</v>
      </c>
      <c r="G19" s="24">
        <v>0</v>
      </c>
      <c r="H19" s="47">
        <f t="shared" si="1"/>
        <v>0</v>
      </c>
      <c r="I19" s="7">
        <v>1</v>
      </c>
      <c r="J19" s="24">
        <v>0</v>
      </c>
      <c r="K19" s="24">
        <v>0</v>
      </c>
      <c r="L19" s="47">
        <f t="shared" si="0"/>
        <v>0</v>
      </c>
      <c r="M19" s="24">
        <v>0</v>
      </c>
      <c r="N19" s="7">
        <v>1</v>
      </c>
      <c r="O19" s="24">
        <v>0</v>
      </c>
      <c r="P19" s="7">
        <v>3</v>
      </c>
      <c r="Q19" s="7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7">
        <v>1</v>
      </c>
      <c r="AC19" s="7">
        <v>1</v>
      </c>
      <c r="AD19" s="24">
        <v>0</v>
      </c>
      <c r="AE19" s="24">
        <v>0</v>
      </c>
    </row>
    <row r="20" spans="1:31">
      <c r="A20" s="38" t="s">
        <v>72</v>
      </c>
      <c r="B20" s="38" t="s">
        <v>256</v>
      </c>
      <c r="C20" s="38">
        <v>1</v>
      </c>
      <c r="D20" s="38">
        <v>19</v>
      </c>
      <c r="E20" s="42">
        <v>0</v>
      </c>
      <c r="F20" s="47">
        <v>3</v>
      </c>
      <c r="G20" s="47">
        <v>3</v>
      </c>
      <c r="H20" s="47">
        <f t="shared" si="1"/>
        <v>0</v>
      </c>
      <c r="I20" s="43">
        <v>0</v>
      </c>
      <c r="J20" s="43">
        <v>29</v>
      </c>
      <c r="K20" s="43">
        <v>0</v>
      </c>
      <c r="L20" s="47">
        <f t="shared" si="0"/>
        <v>29</v>
      </c>
      <c r="M20" s="43">
        <v>0</v>
      </c>
      <c r="N20" s="43">
        <v>0</v>
      </c>
      <c r="O20" s="43">
        <v>0</v>
      </c>
      <c r="P20" s="43">
        <v>2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32</v>
      </c>
    </row>
    <row r="21" spans="1:31">
      <c r="A21" s="38" t="s">
        <v>72</v>
      </c>
      <c r="B21" s="38" t="s">
        <v>256</v>
      </c>
      <c r="C21" s="38">
        <v>2</v>
      </c>
      <c r="D21" s="41">
        <v>20</v>
      </c>
      <c r="E21" s="44">
        <v>0</v>
      </c>
      <c r="F21" s="24">
        <v>0</v>
      </c>
      <c r="G21" s="24">
        <v>0</v>
      </c>
      <c r="H21" s="47">
        <f t="shared" si="1"/>
        <v>0</v>
      </c>
      <c r="I21" s="24">
        <v>0</v>
      </c>
      <c r="J21" s="7">
        <v>67</v>
      </c>
      <c r="K21" s="7">
        <v>0</v>
      </c>
      <c r="L21" s="47">
        <f t="shared" si="0"/>
        <v>67</v>
      </c>
      <c r="M21" s="24">
        <v>0</v>
      </c>
      <c r="N21" s="24">
        <v>0</v>
      </c>
      <c r="O21" s="24">
        <v>0</v>
      </c>
      <c r="P21" s="7">
        <v>1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7">
        <v>67</v>
      </c>
    </row>
    <row r="22" spans="1:31">
      <c r="A22" s="38" t="s">
        <v>72</v>
      </c>
      <c r="B22" s="38" t="s">
        <v>256</v>
      </c>
      <c r="C22" s="38">
        <v>3</v>
      </c>
      <c r="D22" s="38">
        <v>21</v>
      </c>
      <c r="E22" s="44">
        <v>0</v>
      </c>
      <c r="F22" s="47">
        <v>1</v>
      </c>
      <c r="G22" s="47">
        <v>1</v>
      </c>
      <c r="H22" s="47">
        <f t="shared" si="1"/>
        <v>0</v>
      </c>
      <c r="I22" s="24">
        <v>0</v>
      </c>
      <c r="J22" s="24">
        <v>0</v>
      </c>
      <c r="K22" s="24">
        <v>0</v>
      </c>
      <c r="L22" s="47">
        <f t="shared" si="0"/>
        <v>0</v>
      </c>
      <c r="M22" s="24">
        <v>0</v>
      </c>
      <c r="N22" s="24">
        <v>0</v>
      </c>
      <c r="O22" s="7">
        <v>0</v>
      </c>
      <c r="P22" s="7">
        <v>1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7">
        <v>0</v>
      </c>
      <c r="AD22" s="24">
        <v>0</v>
      </c>
      <c r="AE22" s="7">
        <v>1</v>
      </c>
    </row>
    <row r="23" spans="1:31">
      <c r="A23" s="38" t="s">
        <v>72</v>
      </c>
      <c r="B23" s="38" t="s">
        <v>256</v>
      </c>
      <c r="C23" s="38">
        <v>4</v>
      </c>
      <c r="D23" s="38">
        <v>22</v>
      </c>
      <c r="E23" s="44">
        <v>0</v>
      </c>
      <c r="F23" s="24">
        <v>0</v>
      </c>
      <c r="G23" s="24">
        <v>0</v>
      </c>
      <c r="H23" s="47">
        <f t="shared" si="1"/>
        <v>0</v>
      </c>
      <c r="I23" s="24">
        <v>0</v>
      </c>
      <c r="J23" s="24">
        <v>0</v>
      </c>
      <c r="K23" s="24">
        <v>0</v>
      </c>
      <c r="L23" s="47">
        <f t="shared" si="0"/>
        <v>0</v>
      </c>
      <c r="M23" s="24">
        <v>0</v>
      </c>
      <c r="N23" s="24">
        <v>0</v>
      </c>
      <c r="O23" s="24">
        <v>0</v>
      </c>
      <c r="P23" s="7">
        <v>1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</row>
    <row r="24" spans="1:31">
      <c r="A24" s="38" t="s">
        <v>72</v>
      </c>
      <c r="B24" s="38" t="s">
        <v>256</v>
      </c>
      <c r="C24" s="38">
        <v>5</v>
      </c>
      <c r="D24" s="38">
        <v>23</v>
      </c>
      <c r="E24" s="44">
        <v>0</v>
      </c>
      <c r="F24" s="47">
        <v>3</v>
      </c>
      <c r="G24" s="47">
        <v>2</v>
      </c>
      <c r="H24" s="47">
        <f t="shared" si="1"/>
        <v>1</v>
      </c>
      <c r="I24" s="7">
        <v>1</v>
      </c>
      <c r="J24" s="24">
        <v>0</v>
      </c>
      <c r="K24" s="24">
        <v>0</v>
      </c>
      <c r="L24" s="47">
        <f t="shared" si="0"/>
        <v>0</v>
      </c>
      <c r="M24" s="24">
        <v>0</v>
      </c>
      <c r="N24" s="24">
        <v>0</v>
      </c>
      <c r="O24" s="24">
        <v>0</v>
      </c>
      <c r="P24" s="7">
        <v>7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7">
        <v>1</v>
      </c>
      <c r="AC24" s="24">
        <v>0</v>
      </c>
      <c r="AD24" s="24">
        <v>0</v>
      </c>
      <c r="AE24" s="7">
        <v>3</v>
      </c>
    </row>
    <row r="25" spans="1:31">
      <c r="A25" s="38" t="s">
        <v>72</v>
      </c>
      <c r="B25" s="41" t="s">
        <v>258</v>
      </c>
      <c r="C25" s="38">
        <v>1</v>
      </c>
      <c r="D25" s="41">
        <v>24</v>
      </c>
      <c r="E25" s="42">
        <v>0</v>
      </c>
      <c r="F25" s="47">
        <v>0</v>
      </c>
      <c r="G25" s="47">
        <v>0</v>
      </c>
      <c r="H25" s="47">
        <f t="shared" si="1"/>
        <v>0</v>
      </c>
      <c r="I25" s="43">
        <v>0</v>
      </c>
      <c r="J25" s="43">
        <v>0</v>
      </c>
      <c r="K25" s="43">
        <v>0</v>
      </c>
      <c r="L25" s="47">
        <f t="shared" si="0"/>
        <v>0</v>
      </c>
      <c r="M25" s="43">
        <v>0</v>
      </c>
      <c r="N25" s="43">
        <v>0</v>
      </c>
      <c r="O25" s="43">
        <v>0</v>
      </c>
      <c r="P25" s="43">
        <v>9</v>
      </c>
      <c r="Q25" s="43">
        <v>2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11</v>
      </c>
      <c r="Y25" s="43">
        <v>0</v>
      </c>
      <c r="Z25" s="43">
        <v>0</v>
      </c>
      <c r="AA25" s="43">
        <v>0</v>
      </c>
      <c r="AB25" s="43">
        <v>11</v>
      </c>
      <c r="AC25" s="43">
        <v>0</v>
      </c>
      <c r="AD25" s="43">
        <v>0</v>
      </c>
      <c r="AE25" s="43">
        <v>0</v>
      </c>
    </row>
    <row r="26" spans="1:31">
      <c r="A26" s="38" t="s">
        <v>72</v>
      </c>
      <c r="B26" s="41" t="s">
        <v>258</v>
      </c>
      <c r="C26" s="38">
        <v>2</v>
      </c>
      <c r="D26" s="38">
        <v>25</v>
      </c>
      <c r="E26" s="44">
        <v>0</v>
      </c>
      <c r="F26" s="24">
        <v>0</v>
      </c>
      <c r="G26" s="24">
        <v>0</v>
      </c>
      <c r="H26" s="47">
        <f t="shared" si="1"/>
        <v>0</v>
      </c>
      <c r="I26" s="7">
        <v>1</v>
      </c>
      <c r="J26" s="24">
        <v>0</v>
      </c>
      <c r="K26" s="24">
        <v>0</v>
      </c>
      <c r="L26" s="47">
        <f t="shared" si="0"/>
        <v>0</v>
      </c>
      <c r="M26" s="24">
        <v>0</v>
      </c>
      <c r="N26" s="24">
        <v>0</v>
      </c>
      <c r="O26" s="24">
        <v>0</v>
      </c>
      <c r="P26" s="7">
        <v>6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7">
        <v>8</v>
      </c>
      <c r="AA26" s="24">
        <v>0</v>
      </c>
      <c r="AB26" s="7">
        <v>1</v>
      </c>
      <c r="AC26" s="24">
        <v>0</v>
      </c>
      <c r="AD26" s="7">
        <v>8</v>
      </c>
      <c r="AE26" s="24">
        <v>0</v>
      </c>
    </row>
    <row r="27" spans="1:31">
      <c r="A27" s="38" t="s">
        <v>72</v>
      </c>
      <c r="B27" s="41" t="s">
        <v>258</v>
      </c>
      <c r="C27" s="38">
        <v>3</v>
      </c>
      <c r="D27" s="38">
        <v>26</v>
      </c>
      <c r="E27" s="44">
        <v>0</v>
      </c>
      <c r="F27" s="24">
        <v>0</v>
      </c>
      <c r="G27" s="24">
        <v>0</v>
      </c>
      <c r="H27" s="47">
        <f t="shared" si="1"/>
        <v>0</v>
      </c>
      <c r="I27" s="24">
        <v>0</v>
      </c>
      <c r="J27" s="24">
        <v>0</v>
      </c>
      <c r="K27" s="24">
        <v>0</v>
      </c>
      <c r="L27" s="47">
        <f t="shared" si="0"/>
        <v>0</v>
      </c>
      <c r="M27" s="24">
        <v>0</v>
      </c>
      <c r="N27" s="24">
        <v>0</v>
      </c>
      <c r="O27" s="24">
        <v>0</v>
      </c>
      <c r="P27" s="7">
        <v>4</v>
      </c>
      <c r="Q27" s="7">
        <v>1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</row>
    <row r="28" spans="1:31">
      <c r="A28" s="38" t="s">
        <v>72</v>
      </c>
      <c r="B28" s="41" t="s">
        <v>258</v>
      </c>
      <c r="C28" s="38">
        <v>4</v>
      </c>
      <c r="D28" s="38">
        <v>27</v>
      </c>
      <c r="E28" s="44">
        <v>0</v>
      </c>
      <c r="F28" s="24">
        <v>0</v>
      </c>
      <c r="G28" s="24">
        <v>0</v>
      </c>
      <c r="H28" s="47">
        <f t="shared" si="1"/>
        <v>0</v>
      </c>
      <c r="I28" s="24">
        <v>0</v>
      </c>
      <c r="J28" s="24">
        <v>0</v>
      </c>
      <c r="K28" s="24">
        <v>0</v>
      </c>
      <c r="L28" s="47">
        <f t="shared" si="0"/>
        <v>0</v>
      </c>
      <c r="M28" s="24">
        <v>0</v>
      </c>
      <c r="N28" s="24">
        <v>0</v>
      </c>
      <c r="O28" s="24">
        <v>0</v>
      </c>
      <c r="P28" s="7">
        <v>4</v>
      </c>
      <c r="Q28" s="7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7">
        <v>1</v>
      </c>
      <c r="AB28" s="24">
        <v>0</v>
      </c>
      <c r="AC28" s="7">
        <v>1</v>
      </c>
      <c r="AD28" s="24">
        <v>0</v>
      </c>
      <c r="AE28" s="24">
        <v>0</v>
      </c>
    </row>
    <row r="29" spans="1:31">
      <c r="A29" s="38" t="s">
        <v>72</v>
      </c>
      <c r="B29" s="38" t="s">
        <v>257</v>
      </c>
      <c r="C29" s="38">
        <v>1</v>
      </c>
      <c r="D29" s="41">
        <v>28</v>
      </c>
      <c r="E29" s="42">
        <v>0</v>
      </c>
      <c r="F29" s="47">
        <v>0</v>
      </c>
      <c r="G29" s="47">
        <v>0</v>
      </c>
      <c r="H29" s="47">
        <f t="shared" si="1"/>
        <v>0</v>
      </c>
      <c r="I29" s="43">
        <v>0</v>
      </c>
      <c r="J29" s="43">
        <v>0</v>
      </c>
      <c r="K29" s="43">
        <v>0</v>
      </c>
      <c r="L29" s="47">
        <f t="shared" si="0"/>
        <v>0</v>
      </c>
      <c r="M29" s="43">
        <v>0</v>
      </c>
      <c r="N29" s="43">
        <v>0</v>
      </c>
      <c r="O29" s="43">
        <v>0</v>
      </c>
      <c r="P29" s="43">
        <v>7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1</v>
      </c>
      <c r="Y29" s="43">
        <v>0</v>
      </c>
      <c r="Z29" s="43">
        <v>0</v>
      </c>
      <c r="AA29" s="43">
        <v>0</v>
      </c>
      <c r="AB29" s="43">
        <v>1</v>
      </c>
      <c r="AC29" s="43">
        <v>0</v>
      </c>
      <c r="AD29" s="43">
        <v>0</v>
      </c>
      <c r="AE29" s="43">
        <v>0</v>
      </c>
    </row>
    <row r="30" spans="1:31">
      <c r="A30" s="38" t="s">
        <v>72</v>
      </c>
      <c r="B30" s="38" t="s">
        <v>257</v>
      </c>
      <c r="C30" s="38">
        <v>2</v>
      </c>
      <c r="D30" s="38">
        <v>29</v>
      </c>
      <c r="E30" s="44">
        <v>0</v>
      </c>
      <c r="F30" s="47">
        <v>2</v>
      </c>
      <c r="G30" s="47">
        <v>1</v>
      </c>
      <c r="H30" s="47">
        <f t="shared" si="1"/>
        <v>1</v>
      </c>
      <c r="I30" s="24">
        <v>0</v>
      </c>
      <c r="J30" s="7">
        <v>3</v>
      </c>
      <c r="K30" s="7">
        <v>0</v>
      </c>
      <c r="L30" s="47">
        <f t="shared" si="0"/>
        <v>3</v>
      </c>
      <c r="M30" s="24">
        <v>0</v>
      </c>
      <c r="N30" s="24">
        <v>0</v>
      </c>
      <c r="O30" s="24">
        <v>0</v>
      </c>
      <c r="P30" s="7">
        <v>2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7">
        <v>2</v>
      </c>
      <c r="W30" s="24">
        <v>0</v>
      </c>
      <c r="X30" s="7">
        <v>2</v>
      </c>
      <c r="Y30" s="24">
        <v>0</v>
      </c>
      <c r="Z30" s="24">
        <v>0</v>
      </c>
      <c r="AA30" s="24">
        <v>0</v>
      </c>
      <c r="AB30" s="7">
        <v>2</v>
      </c>
      <c r="AC30" s="24">
        <v>0</v>
      </c>
      <c r="AD30" s="24">
        <v>0</v>
      </c>
      <c r="AE30" s="7">
        <v>5</v>
      </c>
    </row>
    <row r="31" spans="1:31">
      <c r="A31" s="38" t="s">
        <v>72</v>
      </c>
      <c r="B31" s="38" t="s">
        <v>257</v>
      </c>
      <c r="C31" s="38">
        <v>3</v>
      </c>
      <c r="D31" s="38">
        <v>30</v>
      </c>
      <c r="E31" s="44">
        <v>0</v>
      </c>
      <c r="F31" s="24">
        <v>0</v>
      </c>
      <c r="G31" s="24">
        <v>0</v>
      </c>
      <c r="H31" s="47">
        <f t="shared" si="1"/>
        <v>0</v>
      </c>
      <c r="I31" s="24">
        <v>0</v>
      </c>
      <c r="J31" s="24">
        <v>0</v>
      </c>
      <c r="K31" s="24">
        <v>0</v>
      </c>
      <c r="L31" s="47">
        <f t="shared" si="0"/>
        <v>0</v>
      </c>
      <c r="M31" s="24">
        <v>0</v>
      </c>
      <c r="N31" s="7">
        <v>1</v>
      </c>
      <c r="O31" s="24">
        <v>0</v>
      </c>
      <c r="P31" s="7">
        <v>1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7">
        <v>27</v>
      </c>
      <c r="X31" s="7">
        <v>0</v>
      </c>
      <c r="Y31" s="24">
        <v>0</v>
      </c>
      <c r="Z31" s="24">
        <v>0</v>
      </c>
      <c r="AA31" s="24">
        <v>0</v>
      </c>
      <c r="AB31" s="24">
        <v>0</v>
      </c>
      <c r="AC31" s="7">
        <v>1</v>
      </c>
      <c r="AD31" s="7">
        <v>27</v>
      </c>
      <c r="AE31" s="7">
        <v>0</v>
      </c>
    </row>
    <row r="32" spans="1:31">
      <c r="A32" s="38" t="s">
        <v>72</v>
      </c>
      <c r="B32" s="38" t="s">
        <v>257</v>
      </c>
      <c r="C32" s="38">
        <v>4</v>
      </c>
      <c r="D32" s="38">
        <v>31</v>
      </c>
      <c r="E32" s="44">
        <v>0</v>
      </c>
      <c r="F32" s="47">
        <v>2</v>
      </c>
      <c r="G32" s="47">
        <v>0</v>
      </c>
      <c r="H32" s="47">
        <f t="shared" si="1"/>
        <v>2</v>
      </c>
      <c r="I32" s="24">
        <v>0</v>
      </c>
      <c r="J32" s="7">
        <v>56</v>
      </c>
      <c r="K32" s="7">
        <v>0</v>
      </c>
      <c r="L32" s="47">
        <f t="shared" si="0"/>
        <v>56</v>
      </c>
      <c r="M32" s="24">
        <v>0</v>
      </c>
      <c r="N32" s="24">
        <v>0</v>
      </c>
      <c r="O32" s="24">
        <v>0</v>
      </c>
      <c r="P32" s="7">
        <v>3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7">
        <v>50</v>
      </c>
      <c r="AA32" s="24">
        <v>0</v>
      </c>
      <c r="AB32" s="24">
        <v>0</v>
      </c>
      <c r="AC32" s="24">
        <v>0</v>
      </c>
      <c r="AD32" s="7">
        <v>50</v>
      </c>
      <c r="AE32" s="7">
        <v>58</v>
      </c>
    </row>
    <row r="33" spans="1:31">
      <c r="A33" s="38" t="s">
        <v>72</v>
      </c>
      <c r="B33" s="38" t="s">
        <v>257</v>
      </c>
      <c r="C33" s="38">
        <v>5</v>
      </c>
      <c r="D33" s="41">
        <v>32</v>
      </c>
      <c r="E33" s="44">
        <v>0</v>
      </c>
      <c r="F33" s="47">
        <v>45</v>
      </c>
      <c r="G33" s="47">
        <v>2</v>
      </c>
      <c r="H33" s="47">
        <f t="shared" si="1"/>
        <v>43</v>
      </c>
      <c r="I33" s="24">
        <v>0</v>
      </c>
      <c r="J33" s="7">
        <v>1</v>
      </c>
      <c r="K33" s="7">
        <v>0</v>
      </c>
      <c r="L33" s="47">
        <f t="shared" si="0"/>
        <v>1</v>
      </c>
      <c r="M33" s="24">
        <v>0</v>
      </c>
      <c r="N33" s="24">
        <v>0</v>
      </c>
      <c r="O33" s="24">
        <v>0</v>
      </c>
      <c r="P33" s="7">
        <v>3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7">
        <v>46</v>
      </c>
    </row>
    <row r="34" spans="1:31">
      <c r="A34" s="38" t="s">
        <v>72</v>
      </c>
      <c r="B34" s="38" t="s">
        <v>257</v>
      </c>
      <c r="C34" s="38">
        <v>6</v>
      </c>
      <c r="D34" s="38">
        <v>33</v>
      </c>
      <c r="E34" s="44">
        <v>0</v>
      </c>
      <c r="F34" s="47">
        <v>54</v>
      </c>
      <c r="G34" s="47">
        <v>1</v>
      </c>
      <c r="H34" s="47">
        <f t="shared" si="1"/>
        <v>53</v>
      </c>
      <c r="I34" s="24">
        <v>0</v>
      </c>
      <c r="J34" s="24">
        <v>0</v>
      </c>
      <c r="K34" s="24">
        <v>0</v>
      </c>
      <c r="L34" s="47">
        <f t="shared" si="0"/>
        <v>0</v>
      </c>
      <c r="M34" s="24">
        <v>0</v>
      </c>
      <c r="N34" s="24">
        <v>0</v>
      </c>
      <c r="O34" s="24">
        <v>0</v>
      </c>
      <c r="P34" s="7">
        <v>3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7">
        <v>54</v>
      </c>
    </row>
    <row r="35" spans="1:31">
      <c r="A35" s="38" t="s">
        <v>73</v>
      </c>
      <c r="B35" s="38" t="s">
        <v>259</v>
      </c>
      <c r="C35" s="38">
        <v>1</v>
      </c>
      <c r="D35" s="38">
        <v>34</v>
      </c>
      <c r="E35" s="42">
        <v>0</v>
      </c>
      <c r="F35" s="47">
        <v>0</v>
      </c>
      <c r="G35" s="47">
        <v>0</v>
      </c>
      <c r="H35" s="47">
        <f t="shared" si="1"/>
        <v>0</v>
      </c>
      <c r="I35" s="43">
        <v>0</v>
      </c>
      <c r="J35" s="43">
        <v>0</v>
      </c>
      <c r="K35" s="43">
        <v>0</v>
      </c>
      <c r="L35" s="47">
        <f t="shared" si="0"/>
        <v>0</v>
      </c>
      <c r="M35" s="43">
        <v>0</v>
      </c>
      <c r="N35" s="43">
        <v>0</v>
      </c>
      <c r="O35" s="43">
        <v>0</v>
      </c>
      <c r="P35" s="43">
        <v>7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1</v>
      </c>
      <c r="Y35" s="43">
        <v>0</v>
      </c>
      <c r="Z35" s="43">
        <v>0</v>
      </c>
      <c r="AA35" s="43">
        <v>0</v>
      </c>
      <c r="AB35" s="43">
        <v>1</v>
      </c>
      <c r="AC35" s="43">
        <v>0</v>
      </c>
      <c r="AD35" s="43">
        <v>0</v>
      </c>
      <c r="AE35" s="43">
        <v>0</v>
      </c>
    </row>
    <row r="36" spans="1:31">
      <c r="A36" s="38" t="s">
        <v>73</v>
      </c>
      <c r="B36" s="38" t="s">
        <v>259</v>
      </c>
      <c r="C36" s="38">
        <v>2</v>
      </c>
      <c r="D36" s="38">
        <v>35</v>
      </c>
      <c r="E36" s="44">
        <v>0</v>
      </c>
      <c r="F36" s="47">
        <v>94</v>
      </c>
      <c r="G36" s="47">
        <v>9</v>
      </c>
      <c r="H36" s="47">
        <f t="shared" si="1"/>
        <v>85</v>
      </c>
      <c r="I36" s="24">
        <v>0</v>
      </c>
      <c r="J36" s="7">
        <v>5</v>
      </c>
      <c r="K36" s="7">
        <v>0</v>
      </c>
      <c r="L36" s="47">
        <f t="shared" si="0"/>
        <v>5</v>
      </c>
      <c r="M36" s="24">
        <v>0</v>
      </c>
      <c r="N36" s="24">
        <v>0</v>
      </c>
      <c r="O36" s="24">
        <v>0</v>
      </c>
      <c r="P36" s="7">
        <v>3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7">
        <v>8</v>
      </c>
      <c r="W36" s="24">
        <v>0</v>
      </c>
      <c r="X36" s="24">
        <v>0</v>
      </c>
      <c r="Y36" s="24">
        <v>0</v>
      </c>
      <c r="Z36" s="7">
        <v>23</v>
      </c>
      <c r="AA36" s="24">
        <v>0</v>
      </c>
      <c r="AB36" s="24">
        <v>0</v>
      </c>
      <c r="AC36" s="24">
        <v>0</v>
      </c>
      <c r="AD36" s="7">
        <v>23</v>
      </c>
      <c r="AE36" s="7">
        <v>99</v>
      </c>
    </row>
    <row r="37" spans="1:31">
      <c r="A37" s="38" t="s">
        <v>73</v>
      </c>
      <c r="B37" s="38" t="s">
        <v>259</v>
      </c>
      <c r="C37" s="38">
        <v>3</v>
      </c>
      <c r="D37" s="41">
        <v>36</v>
      </c>
      <c r="E37" s="44">
        <v>0</v>
      </c>
      <c r="F37" s="47">
        <v>111</v>
      </c>
      <c r="G37" s="47">
        <v>8</v>
      </c>
      <c r="H37" s="47">
        <f t="shared" si="1"/>
        <v>103</v>
      </c>
      <c r="I37" s="24">
        <v>0</v>
      </c>
      <c r="J37" s="7">
        <v>3</v>
      </c>
      <c r="K37" s="7">
        <v>0</v>
      </c>
      <c r="L37" s="47">
        <f t="shared" si="0"/>
        <v>3</v>
      </c>
      <c r="M37" s="24">
        <v>0</v>
      </c>
      <c r="N37" s="24">
        <v>0</v>
      </c>
      <c r="O37" s="24">
        <v>0</v>
      </c>
      <c r="P37" s="7">
        <v>2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7">
        <v>1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7">
        <v>114</v>
      </c>
    </row>
    <row r="38" spans="1:31">
      <c r="A38" s="38" t="s">
        <v>73</v>
      </c>
      <c r="B38" s="38" t="s">
        <v>259</v>
      </c>
      <c r="C38" s="38">
        <v>4</v>
      </c>
      <c r="D38" s="38">
        <v>37</v>
      </c>
      <c r="E38" s="44">
        <v>0</v>
      </c>
      <c r="F38" s="47">
        <v>3</v>
      </c>
      <c r="G38" s="47">
        <v>2</v>
      </c>
      <c r="H38" s="47">
        <f t="shared" si="1"/>
        <v>1</v>
      </c>
      <c r="I38" s="24">
        <v>0</v>
      </c>
      <c r="J38" s="7">
        <v>57</v>
      </c>
      <c r="K38" s="7">
        <v>1</v>
      </c>
      <c r="L38" s="47">
        <f t="shared" si="0"/>
        <v>56</v>
      </c>
      <c r="M38" s="24">
        <v>0</v>
      </c>
      <c r="N38" s="24">
        <v>0</v>
      </c>
      <c r="O38" s="24">
        <v>0</v>
      </c>
      <c r="P38" s="7">
        <v>12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7">
        <v>3</v>
      </c>
      <c r="W38" s="24">
        <v>0</v>
      </c>
      <c r="X38" s="24">
        <v>0</v>
      </c>
      <c r="Y38" s="24">
        <v>0</v>
      </c>
      <c r="Z38" s="7">
        <v>35</v>
      </c>
      <c r="AA38" s="24">
        <v>0</v>
      </c>
      <c r="AB38" s="24">
        <v>0</v>
      </c>
      <c r="AC38" s="24">
        <v>0</v>
      </c>
      <c r="AD38" s="7">
        <v>35</v>
      </c>
      <c r="AE38" s="7">
        <v>60</v>
      </c>
    </row>
    <row r="39" spans="1:31">
      <c r="A39" s="38" t="s">
        <v>73</v>
      </c>
      <c r="B39" s="38" t="s">
        <v>259</v>
      </c>
      <c r="C39" s="38">
        <v>5</v>
      </c>
      <c r="D39" s="38">
        <v>38</v>
      </c>
      <c r="E39" s="44">
        <v>0</v>
      </c>
      <c r="F39" s="47">
        <v>9</v>
      </c>
      <c r="G39" s="47">
        <v>1</v>
      </c>
      <c r="H39" s="47">
        <f t="shared" si="1"/>
        <v>8</v>
      </c>
      <c r="I39" s="24">
        <v>0</v>
      </c>
      <c r="J39" s="7">
        <v>44</v>
      </c>
      <c r="K39" s="7">
        <v>0</v>
      </c>
      <c r="L39" s="47">
        <f t="shared" si="0"/>
        <v>44</v>
      </c>
      <c r="M39" s="24">
        <v>0</v>
      </c>
      <c r="N39" s="24">
        <v>0</v>
      </c>
      <c r="O39" s="24">
        <v>0</v>
      </c>
      <c r="P39" s="7">
        <v>6</v>
      </c>
      <c r="Q39" s="24">
        <v>0</v>
      </c>
      <c r="R39" s="7">
        <v>4</v>
      </c>
      <c r="S39" s="7">
        <v>3</v>
      </c>
      <c r="T39" s="7">
        <f>R39-S39</f>
        <v>1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7">
        <v>30</v>
      </c>
      <c r="AA39" s="7">
        <v>1</v>
      </c>
      <c r="AB39" s="24">
        <v>0</v>
      </c>
      <c r="AC39" s="7">
        <v>1</v>
      </c>
      <c r="AD39" s="7">
        <v>30</v>
      </c>
      <c r="AE39" s="7">
        <v>57</v>
      </c>
    </row>
    <row r="40" spans="1:31">
      <c r="A40" s="38" t="s">
        <v>73</v>
      </c>
      <c r="B40" s="38" t="s">
        <v>259</v>
      </c>
      <c r="C40" s="38">
        <v>6</v>
      </c>
      <c r="D40" s="38">
        <v>39</v>
      </c>
      <c r="E40" s="44">
        <v>0</v>
      </c>
      <c r="F40" s="47">
        <v>5</v>
      </c>
      <c r="G40" s="47">
        <v>1</v>
      </c>
      <c r="H40" s="47">
        <f t="shared" si="1"/>
        <v>4</v>
      </c>
      <c r="I40" s="24">
        <v>0</v>
      </c>
      <c r="J40" s="7">
        <v>25</v>
      </c>
      <c r="K40" s="7">
        <v>0</v>
      </c>
      <c r="L40" s="47">
        <f t="shared" si="0"/>
        <v>25</v>
      </c>
      <c r="M40" s="24">
        <v>0</v>
      </c>
      <c r="N40" s="24">
        <v>0</v>
      </c>
      <c r="O40" s="24">
        <v>0</v>
      </c>
      <c r="P40" s="7">
        <v>2</v>
      </c>
      <c r="Q40" s="7">
        <v>1</v>
      </c>
      <c r="R40" s="7">
        <v>0</v>
      </c>
      <c r="S40" s="7">
        <v>0</v>
      </c>
      <c r="T40" s="7">
        <v>0</v>
      </c>
      <c r="U40" s="7">
        <v>1</v>
      </c>
      <c r="V40" s="24">
        <v>0</v>
      </c>
      <c r="W40" s="24">
        <v>0</v>
      </c>
      <c r="X40" s="24">
        <v>0</v>
      </c>
      <c r="Y40" s="24">
        <v>0</v>
      </c>
      <c r="Z40" s="7">
        <v>1</v>
      </c>
      <c r="AA40" s="7">
        <v>0</v>
      </c>
      <c r="AB40" s="24">
        <v>0</v>
      </c>
      <c r="AC40" s="7">
        <v>1</v>
      </c>
      <c r="AD40" s="7">
        <v>1</v>
      </c>
      <c r="AE40" s="7">
        <v>30</v>
      </c>
    </row>
    <row r="41" spans="1:31">
      <c r="A41" s="38" t="s">
        <v>73</v>
      </c>
      <c r="B41" s="38" t="s">
        <v>260</v>
      </c>
      <c r="C41" s="38">
        <v>1</v>
      </c>
      <c r="D41" s="41">
        <v>40</v>
      </c>
      <c r="E41" s="42">
        <v>0</v>
      </c>
      <c r="F41" s="47">
        <v>108</v>
      </c>
      <c r="G41" s="47">
        <v>9</v>
      </c>
      <c r="H41" s="47">
        <f t="shared" si="1"/>
        <v>99</v>
      </c>
      <c r="I41" s="43">
        <v>0</v>
      </c>
      <c r="J41" s="43">
        <v>0</v>
      </c>
      <c r="K41" s="43">
        <v>0</v>
      </c>
      <c r="L41" s="47">
        <f t="shared" si="0"/>
        <v>0</v>
      </c>
      <c r="M41" s="43">
        <v>0</v>
      </c>
      <c r="N41" s="43">
        <v>0</v>
      </c>
      <c r="O41" s="43">
        <v>0</v>
      </c>
      <c r="P41" s="43">
        <v>6</v>
      </c>
      <c r="Q41" s="43">
        <v>1</v>
      </c>
      <c r="R41" s="43">
        <v>2</v>
      </c>
      <c r="S41" s="43">
        <v>0</v>
      </c>
      <c r="T41" s="43">
        <v>0</v>
      </c>
      <c r="U41" s="43">
        <v>0</v>
      </c>
      <c r="V41" s="43">
        <v>1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110</v>
      </c>
    </row>
    <row r="42" spans="1:31">
      <c r="A42" s="38" t="s">
        <v>73</v>
      </c>
      <c r="B42" s="38" t="s">
        <v>260</v>
      </c>
      <c r="C42" s="38">
        <v>2</v>
      </c>
      <c r="D42" s="38">
        <v>41</v>
      </c>
      <c r="E42" s="44">
        <v>0</v>
      </c>
      <c r="F42" s="47">
        <v>200</v>
      </c>
      <c r="G42" s="47">
        <v>10</v>
      </c>
      <c r="H42" s="47">
        <f t="shared" si="1"/>
        <v>190</v>
      </c>
      <c r="I42" s="24">
        <v>0</v>
      </c>
      <c r="J42" s="7">
        <v>3</v>
      </c>
      <c r="K42" s="7">
        <v>1</v>
      </c>
      <c r="L42" s="47">
        <f t="shared" si="0"/>
        <v>2</v>
      </c>
      <c r="M42" s="24">
        <v>0</v>
      </c>
      <c r="N42" s="24">
        <v>0</v>
      </c>
      <c r="O42" s="24">
        <v>0</v>
      </c>
      <c r="P42" s="7">
        <v>6</v>
      </c>
      <c r="Q42" s="24">
        <v>0</v>
      </c>
      <c r="R42" s="7">
        <v>16</v>
      </c>
      <c r="S42" s="7">
        <v>7</v>
      </c>
      <c r="T42" s="7">
        <f t="shared" ref="T42" si="3">R42-S42</f>
        <v>9</v>
      </c>
      <c r="U42" s="7">
        <v>1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7">
        <v>1</v>
      </c>
      <c r="AD42" s="24">
        <v>0</v>
      </c>
      <c r="AE42" s="7">
        <v>219</v>
      </c>
    </row>
    <row r="43" spans="1:31">
      <c r="A43" s="38" t="s">
        <v>73</v>
      </c>
      <c r="B43" s="38" t="s">
        <v>260</v>
      </c>
      <c r="C43" s="38">
        <v>3</v>
      </c>
      <c r="D43" s="38">
        <v>42</v>
      </c>
      <c r="E43" s="44">
        <v>0</v>
      </c>
      <c r="F43" s="47">
        <v>4</v>
      </c>
      <c r="G43" s="47">
        <v>4</v>
      </c>
      <c r="H43" s="47">
        <f t="shared" si="1"/>
        <v>0</v>
      </c>
      <c r="I43" s="24">
        <v>0</v>
      </c>
      <c r="J43" s="24">
        <v>0</v>
      </c>
      <c r="K43" s="24">
        <v>0</v>
      </c>
      <c r="L43" s="47">
        <f t="shared" si="0"/>
        <v>0</v>
      </c>
      <c r="M43" s="24">
        <v>0</v>
      </c>
      <c r="N43" s="24">
        <v>0</v>
      </c>
      <c r="O43" s="24">
        <v>0</v>
      </c>
      <c r="P43" s="7">
        <v>9</v>
      </c>
      <c r="Q43" s="7">
        <v>1</v>
      </c>
      <c r="R43" s="7">
        <v>0</v>
      </c>
      <c r="S43" s="7">
        <v>0</v>
      </c>
      <c r="T43" s="7">
        <v>0</v>
      </c>
      <c r="U43" s="7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7">
        <v>4</v>
      </c>
    </row>
    <row r="44" spans="1:31">
      <c r="A44" s="38" t="s">
        <v>73</v>
      </c>
      <c r="B44" s="38" t="s">
        <v>260</v>
      </c>
      <c r="C44" s="38">
        <v>4</v>
      </c>
      <c r="D44" s="38">
        <v>43</v>
      </c>
      <c r="E44" s="44">
        <v>0</v>
      </c>
      <c r="F44" s="47">
        <v>20</v>
      </c>
      <c r="G44" s="47">
        <v>20</v>
      </c>
      <c r="H44" s="47">
        <f t="shared" si="1"/>
        <v>0</v>
      </c>
      <c r="I44" s="24">
        <v>0</v>
      </c>
      <c r="J44" s="7">
        <v>6</v>
      </c>
      <c r="K44" s="7">
        <v>3</v>
      </c>
      <c r="L44" s="47">
        <f t="shared" si="0"/>
        <v>3</v>
      </c>
      <c r="M44" s="24">
        <v>0</v>
      </c>
      <c r="N44" s="24">
        <v>0</v>
      </c>
      <c r="O44" s="24">
        <v>0</v>
      </c>
      <c r="P44" s="7">
        <v>4</v>
      </c>
      <c r="Q44" s="7">
        <v>0</v>
      </c>
      <c r="R44" s="7">
        <v>3</v>
      </c>
      <c r="S44" s="7">
        <v>0</v>
      </c>
      <c r="T44" s="7">
        <v>0</v>
      </c>
      <c r="U44" s="7">
        <v>0</v>
      </c>
      <c r="V44" s="7">
        <v>4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7">
        <v>29</v>
      </c>
    </row>
    <row r="45" spans="1:31">
      <c r="A45" s="38" t="s">
        <v>73</v>
      </c>
      <c r="B45" s="38" t="s">
        <v>260</v>
      </c>
      <c r="C45" s="38">
        <v>5</v>
      </c>
      <c r="D45" s="41">
        <v>44</v>
      </c>
      <c r="E45" s="44">
        <v>0</v>
      </c>
      <c r="F45" s="47">
        <v>11</v>
      </c>
      <c r="G45" s="47">
        <v>0</v>
      </c>
      <c r="H45" s="47">
        <f t="shared" si="1"/>
        <v>11</v>
      </c>
      <c r="I45" s="24">
        <v>0</v>
      </c>
      <c r="J45" s="7">
        <v>8</v>
      </c>
      <c r="K45" s="7">
        <v>0</v>
      </c>
      <c r="L45" s="47">
        <f t="shared" si="0"/>
        <v>8</v>
      </c>
      <c r="M45" s="24">
        <v>0</v>
      </c>
      <c r="N45" s="24">
        <v>0</v>
      </c>
      <c r="O45" s="24">
        <v>0</v>
      </c>
      <c r="P45" s="7">
        <v>16</v>
      </c>
      <c r="Q45" s="7">
        <v>0</v>
      </c>
      <c r="R45" s="7">
        <v>3</v>
      </c>
      <c r="S45" s="7">
        <v>2</v>
      </c>
      <c r="T45" s="7">
        <f t="shared" ref="T45" si="4">R45-S45</f>
        <v>1</v>
      </c>
      <c r="U45" s="7">
        <v>0</v>
      </c>
      <c r="V45" s="7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7">
        <v>22</v>
      </c>
    </row>
    <row r="46" spans="1:31">
      <c r="A46" s="38" t="s">
        <v>73</v>
      </c>
      <c r="B46" s="38" t="s">
        <v>260</v>
      </c>
      <c r="C46" s="38">
        <v>6</v>
      </c>
      <c r="D46" s="38">
        <v>45</v>
      </c>
      <c r="E46" s="44">
        <v>0</v>
      </c>
      <c r="F46" s="47">
        <v>21</v>
      </c>
      <c r="G46" s="47">
        <v>0</v>
      </c>
      <c r="H46" s="47">
        <f t="shared" si="1"/>
        <v>21</v>
      </c>
      <c r="I46" s="24">
        <v>0</v>
      </c>
      <c r="J46" s="7">
        <v>43</v>
      </c>
      <c r="K46" s="7">
        <v>1</v>
      </c>
      <c r="L46" s="47">
        <f t="shared" si="0"/>
        <v>42</v>
      </c>
      <c r="M46" s="24">
        <v>0</v>
      </c>
      <c r="N46" s="24">
        <v>0</v>
      </c>
      <c r="O46" s="24">
        <v>0</v>
      </c>
      <c r="P46" s="7">
        <v>11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1</v>
      </c>
      <c r="W46" s="24">
        <v>0</v>
      </c>
      <c r="X46" s="24">
        <v>0</v>
      </c>
      <c r="Y46" s="24">
        <v>0</v>
      </c>
      <c r="Z46" s="7">
        <v>15</v>
      </c>
      <c r="AA46" s="24">
        <v>0</v>
      </c>
      <c r="AB46" s="24">
        <v>0</v>
      </c>
      <c r="AC46" s="24">
        <v>0</v>
      </c>
      <c r="AD46" s="7">
        <v>15</v>
      </c>
      <c r="AE46" s="7">
        <v>64</v>
      </c>
    </row>
    <row r="47" spans="1:31">
      <c r="A47" s="38" t="s">
        <v>73</v>
      </c>
      <c r="B47" s="38" t="s">
        <v>260</v>
      </c>
      <c r="C47" s="38">
        <v>7</v>
      </c>
      <c r="D47" s="38">
        <v>46</v>
      </c>
      <c r="E47" s="44">
        <v>0</v>
      </c>
      <c r="F47" s="24">
        <v>0</v>
      </c>
      <c r="G47" s="24">
        <v>0</v>
      </c>
      <c r="H47" s="47">
        <f t="shared" si="1"/>
        <v>0</v>
      </c>
      <c r="I47" s="24">
        <v>0</v>
      </c>
      <c r="J47" s="7">
        <v>17</v>
      </c>
      <c r="K47" s="7">
        <v>0</v>
      </c>
      <c r="L47" s="47">
        <f t="shared" si="0"/>
        <v>17</v>
      </c>
      <c r="M47" s="24">
        <v>0</v>
      </c>
      <c r="N47" s="24">
        <v>0</v>
      </c>
      <c r="O47" s="24">
        <v>0</v>
      </c>
      <c r="P47" s="7">
        <v>7</v>
      </c>
      <c r="Q47" s="7">
        <v>1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24">
        <v>0</v>
      </c>
      <c r="X47" s="24">
        <v>0</v>
      </c>
      <c r="Y47" s="24">
        <v>0</v>
      </c>
      <c r="Z47" s="7">
        <v>13</v>
      </c>
      <c r="AA47" s="24">
        <v>0</v>
      </c>
      <c r="AB47" s="24">
        <v>0</v>
      </c>
      <c r="AC47" s="24">
        <v>0</v>
      </c>
      <c r="AD47" s="7">
        <v>13</v>
      </c>
      <c r="AE47" s="7">
        <v>17</v>
      </c>
    </row>
    <row r="48" spans="1:31">
      <c r="A48" s="38" t="s">
        <v>73</v>
      </c>
      <c r="B48" s="38" t="s">
        <v>261</v>
      </c>
      <c r="C48" s="38">
        <v>1</v>
      </c>
      <c r="D48" s="38">
        <v>47</v>
      </c>
      <c r="E48" s="42">
        <v>0</v>
      </c>
      <c r="F48" s="47">
        <v>19</v>
      </c>
      <c r="G48" s="47">
        <v>0</v>
      </c>
      <c r="H48" s="47">
        <f t="shared" si="1"/>
        <v>19</v>
      </c>
      <c r="I48" s="43">
        <v>0</v>
      </c>
      <c r="J48" s="43">
        <v>0</v>
      </c>
      <c r="K48" s="43">
        <v>0</v>
      </c>
      <c r="L48" s="47">
        <f t="shared" si="0"/>
        <v>0</v>
      </c>
      <c r="M48" s="43">
        <v>0</v>
      </c>
      <c r="N48" s="43">
        <v>0</v>
      </c>
      <c r="O48" s="43">
        <v>0</v>
      </c>
      <c r="P48" s="43">
        <v>3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2</v>
      </c>
      <c r="Z48" s="43">
        <v>24</v>
      </c>
      <c r="AA48" s="43">
        <v>0</v>
      </c>
      <c r="AB48" s="43">
        <v>0</v>
      </c>
      <c r="AC48" s="43">
        <v>2</v>
      </c>
      <c r="AD48" s="43">
        <v>24</v>
      </c>
      <c r="AE48" s="43">
        <v>19</v>
      </c>
    </row>
    <row r="49" spans="1:31">
      <c r="A49" s="38" t="s">
        <v>73</v>
      </c>
      <c r="B49" s="38" t="s">
        <v>261</v>
      </c>
      <c r="C49" s="38">
        <v>2</v>
      </c>
      <c r="D49" s="41">
        <v>48</v>
      </c>
      <c r="E49" s="44">
        <v>0</v>
      </c>
      <c r="F49" s="47">
        <v>9</v>
      </c>
      <c r="G49" s="47">
        <v>1</v>
      </c>
      <c r="H49" s="47">
        <f t="shared" si="1"/>
        <v>8</v>
      </c>
      <c r="I49" s="24">
        <v>0</v>
      </c>
      <c r="J49" s="24">
        <v>0</v>
      </c>
      <c r="K49" s="24">
        <v>0</v>
      </c>
      <c r="L49" s="47">
        <f t="shared" si="0"/>
        <v>0</v>
      </c>
      <c r="M49" s="24">
        <v>0</v>
      </c>
      <c r="N49" s="24">
        <v>0</v>
      </c>
      <c r="O49" s="24">
        <v>0</v>
      </c>
      <c r="P49" s="7">
        <v>20</v>
      </c>
      <c r="Q49" s="7">
        <v>1</v>
      </c>
      <c r="R49" s="24">
        <v>0</v>
      </c>
      <c r="S49" s="24">
        <v>0</v>
      </c>
      <c r="T49" s="24">
        <v>0</v>
      </c>
      <c r="U49" s="24">
        <v>0</v>
      </c>
      <c r="V49" s="7">
        <v>3</v>
      </c>
      <c r="W49" s="24">
        <v>0</v>
      </c>
      <c r="X49" s="24">
        <v>0</v>
      </c>
      <c r="Y49" s="24">
        <v>0</v>
      </c>
      <c r="Z49" s="7">
        <v>18</v>
      </c>
      <c r="AA49" s="24">
        <v>0</v>
      </c>
      <c r="AB49" s="24">
        <v>0</v>
      </c>
      <c r="AC49" s="24">
        <v>0</v>
      </c>
      <c r="AD49" s="7">
        <v>18</v>
      </c>
      <c r="AE49" s="7">
        <v>9</v>
      </c>
    </row>
    <row r="50" spans="1:31">
      <c r="A50" s="38" t="s">
        <v>73</v>
      </c>
      <c r="B50" s="38" t="s">
        <v>261</v>
      </c>
      <c r="C50" s="38">
        <v>3</v>
      </c>
      <c r="D50" s="38">
        <v>49</v>
      </c>
      <c r="E50" s="44">
        <v>0</v>
      </c>
      <c r="F50" s="47">
        <v>48</v>
      </c>
      <c r="G50" s="47">
        <v>0</v>
      </c>
      <c r="H50" s="47">
        <f t="shared" si="1"/>
        <v>48</v>
      </c>
      <c r="I50" s="24">
        <v>0</v>
      </c>
      <c r="J50" s="24">
        <v>0</v>
      </c>
      <c r="K50" s="24">
        <v>0</v>
      </c>
      <c r="L50" s="47">
        <f t="shared" si="0"/>
        <v>0</v>
      </c>
      <c r="M50" s="24">
        <v>0</v>
      </c>
      <c r="N50" s="24">
        <v>0</v>
      </c>
      <c r="O50" s="24">
        <v>0</v>
      </c>
      <c r="P50" s="7">
        <v>9</v>
      </c>
      <c r="Q50" s="7">
        <v>0</v>
      </c>
      <c r="R50" s="7">
        <v>3</v>
      </c>
      <c r="S50" s="24">
        <v>0</v>
      </c>
      <c r="T50" s="7">
        <f>R50-S50</f>
        <v>3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7">
        <v>51</v>
      </c>
    </row>
    <row r="51" spans="1:31">
      <c r="A51" s="38" t="s">
        <v>73</v>
      </c>
      <c r="B51" s="38" t="s">
        <v>261</v>
      </c>
      <c r="C51" s="38">
        <v>4</v>
      </c>
      <c r="D51" s="38">
        <v>50</v>
      </c>
      <c r="E51" s="44">
        <v>1</v>
      </c>
      <c r="F51" s="47">
        <v>31</v>
      </c>
      <c r="G51" s="47">
        <v>0</v>
      </c>
      <c r="H51" s="47">
        <f t="shared" si="1"/>
        <v>31</v>
      </c>
      <c r="I51" s="24">
        <v>0</v>
      </c>
      <c r="J51" s="7">
        <v>5</v>
      </c>
      <c r="K51" s="7">
        <v>0</v>
      </c>
      <c r="L51" s="47">
        <f t="shared" si="0"/>
        <v>5</v>
      </c>
      <c r="M51" s="24">
        <v>0</v>
      </c>
      <c r="N51" s="24">
        <v>0</v>
      </c>
      <c r="O51" s="24">
        <v>0</v>
      </c>
      <c r="P51" s="7">
        <v>11</v>
      </c>
      <c r="Q51" s="7">
        <v>0</v>
      </c>
      <c r="R51" s="7">
        <v>2</v>
      </c>
      <c r="S51" s="24">
        <v>0</v>
      </c>
      <c r="T51" s="7">
        <f t="shared" ref="T51:T52" si="5">R51-S51</f>
        <v>2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7">
        <v>1</v>
      </c>
      <c r="AC51" s="24">
        <v>0</v>
      </c>
      <c r="AD51" s="24">
        <v>0</v>
      </c>
      <c r="AE51" s="7">
        <v>38</v>
      </c>
    </row>
    <row r="52" spans="1:31">
      <c r="A52" s="38" t="s">
        <v>73</v>
      </c>
      <c r="B52" s="38" t="s">
        <v>261</v>
      </c>
      <c r="C52" s="38">
        <v>5</v>
      </c>
      <c r="D52" s="38">
        <v>51</v>
      </c>
      <c r="E52" s="44">
        <v>0</v>
      </c>
      <c r="F52" s="24">
        <v>0</v>
      </c>
      <c r="G52" s="24">
        <v>0</v>
      </c>
      <c r="H52" s="47">
        <f t="shared" si="1"/>
        <v>0</v>
      </c>
      <c r="I52" s="24">
        <v>0</v>
      </c>
      <c r="J52" s="7">
        <v>4</v>
      </c>
      <c r="K52" s="7">
        <v>0</v>
      </c>
      <c r="L52" s="47">
        <f t="shared" si="0"/>
        <v>4</v>
      </c>
      <c r="M52" s="24">
        <v>0</v>
      </c>
      <c r="N52" s="24">
        <v>0</v>
      </c>
      <c r="O52" s="24">
        <v>0</v>
      </c>
      <c r="P52" s="7">
        <v>1</v>
      </c>
      <c r="Q52" s="7">
        <v>1</v>
      </c>
      <c r="R52" s="7">
        <v>55</v>
      </c>
      <c r="S52" s="24">
        <v>0</v>
      </c>
      <c r="T52" s="7">
        <f t="shared" si="5"/>
        <v>55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7">
        <v>59</v>
      </c>
    </row>
    <row r="53" spans="1:31">
      <c r="A53" s="38" t="s">
        <v>73</v>
      </c>
      <c r="B53" s="38" t="s">
        <v>261</v>
      </c>
      <c r="C53" s="38">
        <v>6</v>
      </c>
      <c r="D53" s="41">
        <v>52</v>
      </c>
      <c r="E53" s="44">
        <v>0</v>
      </c>
      <c r="F53" s="47">
        <v>10</v>
      </c>
      <c r="G53" s="47">
        <v>7</v>
      </c>
      <c r="H53" s="47">
        <f t="shared" si="1"/>
        <v>3</v>
      </c>
      <c r="I53" s="24">
        <v>0</v>
      </c>
      <c r="J53" s="24">
        <v>0</v>
      </c>
      <c r="K53" s="24">
        <v>0</v>
      </c>
      <c r="L53" s="47">
        <f t="shared" si="0"/>
        <v>0</v>
      </c>
      <c r="M53" s="24">
        <v>0</v>
      </c>
      <c r="N53" s="24">
        <v>0</v>
      </c>
      <c r="O53" s="24">
        <v>0</v>
      </c>
      <c r="P53" s="7">
        <v>4</v>
      </c>
      <c r="Q53" s="7">
        <v>0</v>
      </c>
      <c r="R53" s="7">
        <v>0</v>
      </c>
      <c r="S53" s="24">
        <v>0</v>
      </c>
      <c r="T53" s="7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7">
        <v>1</v>
      </c>
      <c r="AB53" s="24">
        <v>0</v>
      </c>
      <c r="AC53" s="7">
        <v>1</v>
      </c>
      <c r="AD53" s="24">
        <v>0</v>
      </c>
      <c r="AE53" s="7">
        <v>10</v>
      </c>
    </row>
    <row r="54" spans="1:31">
      <c r="A54" s="38" t="s">
        <v>73</v>
      </c>
      <c r="B54" s="38" t="s">
        <v>261</v>
      </c>
      <c r="C54" s="41">
        <v>7</v>
      </c>
      <c r="D54" s="38">
        <v>53</v>
      </c>
      <c r="E54" s="44">
        <v>0</v>
      </c>
      <c r="F54" s="47">
        <v>25</v>
      </c>
      <c r="G54" s="47">
        <v>1</v>
      </c>
      <c r="H54" s="47">
        <f t="shared" si="1"/>
        <v>24</v>
      </c>
      <c r="I54" s="24">
        <v>0</v>
      </c>
      <c r="J54" s="7">
        <v>9</v>
      </c>
      <c r="K54" s="7">
        <v>0</v>
      </c>
      <c r="L54" s="47">
        <f t="shared" si="0"/>
        <v>9</v>
      </c>
      <c r="M54" s="24">
        <v>0</v>
      </c>
      <c r="N54" s="24">
        <v>0</v>
      </c>
      <c r="O54" s="24">
        <v>0</v>
      </c>
      <c r="P54" s="7">
        <v>2</v>
      </c>
      <c r="Q54" s="7">
        <v>0</v>
      </c>
      <c r="R54" s="7">
        <v>2</v>
      </c>
      <c r="S54" s="24">
        <v>0</v>
      </c>
      <c r="T54" s="7">
        <f>R54-S54</f>
        <v>2</v>
      </c>
      <c r="U54" s="24">
        <v>0</v>
      </c>
      <c r="V54" s="24">
        <v>0</v>
      </c>
      <c r="W54" s="24">
        <v>0</v>
      </c>
      <c r="X54" s="24">
        <v>0</v>
      </c>
      <c r="Y54" s="7">
        <v>1</v>
      </c>
      <c r="Z54" s="24">
        <v>0</v>
      </c>
      <c r="AA54" s="24">
        <v>0</v>
      </c>
      <c r="AB54" s="24">
        <v>0</v>
      </c>
      <c r="AC54" s="7">
        <v>1</v>
      </c>
      <c r="AD54" s="24">
        <v>0</v>
      </c>
      <c r="AE54" s="7">
        <v>36</v>
      </c>
    </row>
    <row r="55" spans="1:31">
      <c r="A55" s="38" t="s">
        <v>73</v>
      </c>
      <c r="B55" s="38" t="s">
        <v>261</v>
      </c>
      <c r="C55" s="41">
        <v>8</v>
      </c>
      <c r="D55" s="38">
        <v>54</v>
      </c>
      <c r="E55" s="44">
        <v>0</v>
      </c>
      <c r="F55" s="47">
        <v>4</v>
      </c>
      <c r="G55" s="47">
        <v>1</v>
      </c>
      <c r="H55" s="47">
        <f t="shared" si="1"/>
        <v>3</v>
      </c>
      <c r="I55" s="24">
        <v>0</v>
      </c>
      <c r="J55" s="7">
        <v>5</v>
      </c>
      <c r="K55" s="7">
        <v>0</v>
      </c>
      <c r="L55" s="47">
        <f t="shared" si="0"/>
        <v>5</v>
      </c>
      <c r="M55" s="24">
        <v>0</v>
      </c>
      <c r="N55" s="24">
        <v>0</v>
      </c>
      <c r="O55" s="24">
        <v>0</v>
      </c>
      <c r="P55" s="7">
        <v>3</v>
      </c>
      <c r="Q55" s="7">
        <v>0</v>
      </c>
      <c r="R55" s="7">
        <v>1</v>
      </c>
      <c r="S55" s="24">
        <v>0</v>
      </c>
      <c r="T55" s="7">
        <f>R55-S55</f>
        <v>1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7">
        <v>10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U55"/>
  <sheetViews>
    <sheetView tabSelected="1" topLeftCell="AI1" workbookViewId="0">
      <selection activeCell="AP21" sqref="AP21"/>
    </sheetView>
  </sheetViews>
  <sheetFormatPr baseColWidth="10" defaultRowHeight="12"/>
  <cols>
    <col min="44" max="44" width="8.83203125" customWidth="1"/>
    <col min="45" max="45" width="12.33203125" customWidth="1"/>
    <col min="59" max="59" width="12.83203125" customWidth="1"/>
    <col min="60" max="60" width="12.1640625" bestFit="1" customWidth="1"/>
  </cols>
  <sheetData>
    <row r="1" spans="1:60">
      <c r="A1" s="38" t="s">
        <v>68</v>
      </c>
      <c r="B1" s="38" t="s">
        <v>69</v>
      </c>
      <c r="C1" s="38" t="s">
        <v>70</v>
      </c>
      <c r="D1" s="41" t="s">
        <v>74</v>
      </c>
      <c r="E1" s="16" t="s">
        <v>84</v>
      </c>
      <c r="F1" s="17" t="s">
        <v>197</v>
      </c>
      <c r="G1" s="17" t="s">
        <v>154</v>
      </c>
      <c r="H1" s="17" t="s">
        <v>198</v>
      </c>
      <c r="I1" s="17" t="s">
        <v>448</v>
      </c>
      <c r="J1" s="17" t="s">
        <v>158</v>
      </c>
      <c r="K1" s="17" t="s">
        <v>157</v>
      </c>
      <c r="L1" s="17" t="s">
        <v>196</v>
      </c>
      <c r="M1" s="17" t="s">
        <v>78</v>
      </c>
      <c r="N1" s="17" t="s">
        <v>80</v>
      </c>
      <c r="O1" s="17" t="s">
        <v>108</v>
      </c>
      <c r="P1" s="17" t="s">
        <v>169</v>
      </c>
      <c r="Q1" s="17" t="s">
        <v>173</v>
      </c>
      <c r="R1" s="17" t="s">
        <v>56</v>
      </c>
      <c r="S1" s="17" t="s">
        <v>801</v>
      </c>
      <c r="T1" s="17" t="s">
        <v>802</v>
      </c>
      <c r="U1" s="17" t="s">
        <v>208</v>
      </c>
      <c r="V1" s="17" t="s">
        <v>178</v>
      </c>
      <c r="W1" s="17" t="s">
        <v>307</v>
      </c>
      <c r="X1" s="17" t="s">
        <v>110</v>
      </c>
      <c r="Y1" s="17" t="s">
        <v>176</v>
      </c>
      <c r="Z1" s="17" t="s">
        <v>171</v>
      </c>
      <c r="AA1" s="17" t="s">
        <v>205</v>
      </c>
      <c r="AB1" s="17" t="s">
        <v>264</v>
      </c>
      <c r="AC1" s="17" t="s">
        <v>63</v>
      </c>
      <c r="AD1" s="17" t="s">
        <v>297</v>
      </c>
      <c r="AE1" s="50" t="s">
        <v>814</v>
      </c>
      <c r="AF1" s="50" t="s">
        <v>815</v>
      </c>
      <c r="AG1" s="41" t="s">
        <v>189</v>
      </c>
      <c r="AH1" s="41" t="s">
        <v>190</v>
      </c>
      <c r="AI1" s="41" t="s">
        <v>191</v>
      </c>
      <c r="AJ1" s="41" t="s">
        <v>192</v>
      </c>
      <c r="AK1" s="41" t="s">
        <v>193</v>
      </c>
      <c r="AL1" s="41" t="s">
        <v>116</v>
      </c>
      <c r="AM1" s="41" t="s">
        <v>117</v>
      </c>
      <c r="AN1" s="41"/>
      <c r="AO1" s="41"/>
      <c r="AV1" t="s">
        <v>115</v>
      </c>
    </row>
    <row r="2" spans="1:60">
      <c r="A2" s="38" t="s">
        <v>71</v>
      </c>
      <c r="B2" s="38" t="s">
        <v>296</v>
      </c>
      <c r="C2" s="38">
        <v>1</v>
      </c>
      <c r="D2" s="38">
        <v>1</v>
      </c>
      <c r="E2" s="42">
        <v>0</v>
      </c>
      <c r="F2" s="43">
        <v>5701.6156250000004</v>
      </c>
      <c r="G2" s="43">
        <v>5577.9828125000004</v>
      </c>
      <c r="H2" s="43">
        <f>F2-G2</f>
        <v>123.6328125</v>
      </c>
      <c r="I2" s="43">
        <v>0</v>
      </c>
      <c r="J2" s="43">
        <v>0</v>
      </c>
      <c r="K2" s="43">
        <v>0</v>
      </c>
      <c r="L2" s="43">
        <f t="shared" ref="L2:L13" si="0">J2-K2</f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f>R2-S2</f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>
        <v>107.66139215707673</v>
      </c>
      <c r="AA2" s="43">
        <v>0</v>
      </c>
      <c r="AB2" s="43">
        <v>0</v>
      </c>
      <c r="AC2" s="43">
        <v>107.66139215707673</v>
      </c>
      <c r="AD2" s="43">
        <v>5701.6156250000004</v>
      </c>
      <c r="AE2">
        <f>E2+G2+I2+K2+P2+Q2+S2+U2+X2</f>
        <v>5577.9828125000004</v>
      </c>
      <c r="AF2">
        <f>AC2+V2+T2+L2+H2</f>
        <v>231.29420465707673</v>
      </c>
      <c r="AG2">
        <f>G2+K2+S2</f>
        <v>5577.9828125000004</v>
      </c>
      <c r="AH2">
        <f>H2+L2+T2</f>
        <v>123.6328125</v>
      </c>
      <c r="AI2">
        <f>E2+I2+Q2+X2</f>
        <v>0</v>
      </c>
      <c r="AJ2">
        <f>V2</f>
        <v>0</v>
      </c>
      <c r="AK2">
        <f>P2</f>
        <v>0</v>
      </c>
      <c r="AL2">
        <f>(V2+W2+Z2)/1000/120</f>
        <v>8.971782679756395E-4</v>
      </c>
      <c r="AM2">
        <f>(E2+F2+I2+J2+O2+P2+R2+U2)/1000/120</f>
        <v>4.7513463541666669E-2</v>
      </c>
      <c r="AV2" s="38" t="s">
        <v>625</v>
      </c>
      <c r="AW2" s="38" t="s">
        <v>626</v>
      </c>
      <c r="AX2" s="38" t="s">
        <v>828</v>
      </c>
      <c r="AY2" t="s">
        <v>627</v>
      </c>
      <c r="AZ2" s="38" t="s">
        <v>6</v>
      </c>
      <c r="BA2" s="41" t="s">
        <v>7</v>
      </c>
      <c r="BB2" s="41" t="s">
        <v>8</v>
      </c>
      <c r="BC2" s="41" t="s">
        <v>826</v>
      </c>
      <c r="BD2" s="41" t="s">
        <v>827</v>
      </c>
    </row>
    <row r="3" spans="1:60">
      <c r="A3" s="38" t="s">
        <v>71</v>
      </c>
      <c r="B3" s="38" t="s">
        <v>296</v>
      </c>
      <c r="C3" s="38">
        <v>2</v>
      </c>
      <c r="D3" s="38">
        <v>2</v>
      </c>
      <c r="E3" s="44">
        <v>0</v>
      </c>
      <c r="F3" s="7">
        <v>6423.3015625000007</v>
      </c>
      <c r="G3" s="7">
        <v>6340.8796875000007</v>
      </c>
      <c r="H3" s="47">
        <f t="shared" ref="H3:H55" si="1">F3-G3</f>
        <v>82.421875</v>
      </c>
      <c r="I3" s="24">
        <v>0</v>
      </c>
      <c r="J3" s="24">
        <v>0</v>
      </c>
      <c r="K3" s="24">
        <v>0</v>
      </c>
      <c r="L3" s="43">
        <f t="shared" si="0"/>
        <v>0</v>
      </c>
      <c r="M3" s="24">
        <v>0</v>
      </c>
      <c r="N3" s="24">
        <v>0</v>
      </c>
      <c r="O3" s="24">
        <v>0</v>
      </c>
      <c r="P3" s="7">
        <v>559.48034999999993</v>
      </c>
      <c r="Q3" s="7">
        <v>0</v>
      </c>
      <c r="R3" s="7">
        <v>0</v>
      </c>
      <c r="S3" s="7">
        <v>0</v>
      </c>
      <c r="T3" s="7">
        <f>R3-S3</f>
        <v>0</v>
      </c>
      <c r="U3" s="7">
        <v>0</v>
      </c>
      <c r="V3" s="7">
        <v>0</v>
      </c>
      <c r="W3" s="7">
        <v>0</v>
      </c>
      <c r="X3" s="7">
        <v>0</v>
      </c>
      <c r="Y3" s="7">
        <v>35.076680146717599</v>
      </c>
      <c r="Z3" s="7">
        <v>0</v>
      </c>
      <c r="AA3" s="7">
        <v>0</v>
      </c>
      <c r="AB3" s="7">
        <v>35.076680146717599</v>
      </c>
      <c r="AC3" s="7">
        <v>0</v>
      </c>
      <c r="AD3" s="7">
        <v>6423.3015625000007</v>
      </c>
      <c r="AE3">
        <f t="shared" ref="AE3:AE55" si="2">E3+G3+I3+K3+P3+Q3+S3+U3+X3</f>
        <v>6900.3600375000005</v>
      </c>
      <c r="AF3">
        <f t="shared" ref="AF3:AF33" si="3">AC3+V3+T3+L3+H3</f>
        <v>82.421875</v>
      </c>
      <c r="AG3">
        <f t="shared" ref="AG3:AG55" si="4">G3+K3+S3</f>
        <v>6340.8796875000007</v>
      </c>
      <c r="AH3">
        <f t="shared" ref="AH3:AH55" si="5">H3+L3+T3</f>
        <v>82.421875</v>
      </c>
      <c r="AI3">
        <f t="shared" ref="AI3:AI55" si="6">E3+I3+Q3+X3</f>
        <v>0</v>
      </c>
      <c r="AJ3">
        <f t="shared" ref="AJ3:AJ55" si="7">V3</f>
        <v>0</v>
      </c>
      <c r="AK3">
        <f t="shared" ref="AK3:AK55" si="8">P3</f>
        <v>559.48034999999993</v>
      </c>
      <c r="AL3">
        <f t="shared" ref="AL3:AL55" si="9">(V3+W3+Z3)/1000/120</f>
        <v>0</v>
      </c>
      <c r="AM3">
        <f t="shared" ref="AM3:AM55" si="10">(E3+F3+I3+J3+O3+P3+R3+U3)/1000/120</f>
        <v>5.8189849270833337E-2</v>
      </c>
      <c r="AV3" s="38" t="s">
        <v>610</v>
      </c>
      <c r="AW3" s="38" t="s">
        <v>611</v>
      </c>
      <c r="AX3" s="19">
        <v>5103.3524656398604</v>
      </c>
      <c r="AY3" s="19">
        <v>14.679473997210593</v>
      </c>
      <c r="AZ3" s="47">
        <v>1289.7375000000002</v>
      </c>
      <c r="BA3" s="47">
        <v>7391.5217999999995</v>
      </c>
      <c r="BB3" s="47">
        <v>23.062220187873265</v>
      </c>
      <c r="BC3" s="19">
        <v>2968.817854890015</v>
      </c>
      <c r="BD3" s="19">
        <v>2474.455421869844</v>
      </c>
    </row>
    <row r="4" spans="1:60">
      <c r="A4" s="38" t="s">
        <v>71</v>
      </c>
      <c r="B4" s="38" t="s">
        <v>296</v>
      </c>
      <c r="C4" s="38">
        <v>3</v>
      </c>
      <c r="D4" s="38">
        <v>3</v>
      </c>
      <c r="E4" s="44">
        <v>0</v>
      </c>
      <c r="F4" s="7">
        <v>0</v>
      </c>
      <c r="G4" s="24">
        <v>0</v>
      </c>
      <c r="H4" s="47">
        <f t="shared" si="1"/>
        <v>0</v>
      </c>
      <c r="I4" s="24">
        <v>0</v>
      </c>
      <c r="J4" s="24">
        <v>0</v>
      </c>
      <c r="K4" s="24">
        <v>0</v>
      </c>
      <c r="L4" s="47">
        <f t="shared" si="0"/>
        <v>0</v>
      </c>
      <c r="M4" s="24">
        <v>0</v>
      </c>
      <c r="N4" s="24">
        <v>0</v>
      </c>
      <c r="O4" s="24">
        <v>0</v>
      </c>
      <c r="P4" s="7">
        <v>334.42500000000001</v>
      </c>
      <c r="Q4" s="7">
        <v>446.265625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3.9832953736762806</v>
      </c>
      <c r="Z4" s="7">
        <v>0.22517970576739735</v>
      </c>
      <c r="AA4" s="7">
        <v>0</v>
      </c>
      <c r="AB4" s="7">
        <v>3.9832953736762806</v>
      </c>
      <c r="AC4" s="7">
        <v>0.22517970576739735</v>
      </c>
      <c r="AD4" s="7">
        <v>0</v>
      </c>
      <c r="AE4">
        <f t="shared" si="2"/>
        <v>780.69062499999995</v>
      </c>
      <c r="AF4">
        <f t="shared" si="3"/>
        <v>0.22517970576739735</v>
      </c>
      <c r="AG4">
        <f t="shared" si="4"/>
        <v>0</v>
      </c>
      <c r="AH4">
        <f t="shared" si="5"/>
        <v>0</v>
      </c>
      <c r="AI4">
        <f t="shared" si="6"/>
        <v>446.265625</v>
      </c>
      <c r="AJ4">
        <f t="shared" si="7"/>
        <v>0</v>
      </c>
      <c r="AK4">
        <f t="shared" si="8"/>
        <v>334.42500000000001</v>
      </c>
      <c r="AL4">
        <f t="shared" si="9"/>
        <v>1.8764975480616445E-6</v>
      </c>
      <c r="AM4">
        <f t="shared" si="10"/>
        <v>2.7868750000000003E-3</v>
      </c>
      <c r="AQ4" s="16" t="s">
        <v>31</v>
      </c>
      <c r="AR4" s="17"/>
      <c r="AS4" s="18"/>
      <c r="AV4" s="38" t="s">
        <v>610</v>
      </c>
      <c r="AW4" s="38" t="s">
        <v>612</v>
      </c>
      <c r="AX4" s="22">
        <v>3373.1488256818038</v>
      </c>
      <c r="AY4" s="22">
        <v>108.25829170886205</v>
      </c>
      <c r="AZ4" s="47">
        <v>11918.862500000001</v>
      </c>
      <c r="BA4" s="47">
        <v>1584.2443499999999</v>
      </c>
      <c r="BB4" s="47">
        <v>0</v>
      </c>
      <c r="BC4" s="22">
        <v>11918.862500000001</v>
      </c>
      <c r="BD4" s="22">
        <v>206.0546875</v>
      </c>
    </row>
    <row r="5" spans="1:60">
      <c r="A5" s="38" t="s">
        <v>71</v>
      </c>
      <c r="B5" s="38" t="s">
        <v>296</v>
      </c>
      <c r="C5" s="38">
        <v>4</v>
      </c>
      <c r="D5" s="41">
        <v>4</v>
      </c>
      <c r="E5" s="44">
        <v>0</v>
      </c>
      <c r="F5" s="7">
        <v>0</v>
      </c>
      <c r="G5" s="24">
        <v>0</v>
      </c>
      <c r="H5" s="47">
        <f t="shared" si="1"/>
        <v>0</v>
      </c>
      <c r="I5" s="24">
        <v>0</v>
      </c>
      <c r="J5" s="24">
        <v>0</v>
      </c>
      <c r="K5" s="24">
        <v>0</v>
      </c>
      <c r="L5" s="47">
        <f t="shared" si="0"/>
        <v>0</v>
      </c>
      <c r="M5" s="24">
        <v>0</v>
      </c>
      <c r="N5" s="24">
        <v>0</v>
      </c>
      <c r="O5" s="24">
        <v>0</v>
      </c>
      <c r="P5" s="7">
        <v>28.937999999999999</v>
      </c>
      <c r="Q5" s="7">
        <v>1625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>
        <f t="shared" si="2"/>
        <v>1653.9380000000001</v>
      </c>
      <c r="AF5">
        <f t="shared" si="3"/>
        <v>0</v>
      </c>
      <c r="AG5">
        <f t="shared" si="4"/>
        <v>0</v>
      </c>
      <c r="AH5">
        <f t="shared" si="5"/>
        <v>0</v>
      </c>
      <c r="AI5">
        <f t="shared" si="6"/>
        <v>1625</v>
      </c>
      <c r="AJ5">
        <f t="shared" si="7"/>
        <v>0</v>
      </c>
      <c r="AK5">
        <f t="shared" si="8"/>
        <v>28.937999999999999</v>
      </c>
      <c r="AL5">
        <f t="shared" si="9"/>
        <v>0</v>
      </c>
      <c r="AM5">
        <f t="shared" si="10"/>
        <v>2.4114999999999998E-4</v>
      </c>
      <c r="AQ5" s="29" t="s">
        <v>380</v>
      </c>
      <c r="AR5" s="29" t="s">
        <v>381</v>
      </c>
      <c r="AS5" s="18" t="s">
        <v>730</v>
      </c>
      <c r="AV5" s="38" t="s">
        <v>610</v>
      </c>
      <c r="AW5" s="38" t="s">
        <v>613</v>
      </c>
      <c r="AX5" s="22">
        <v>535.76503960047</v>
      </c>
      <c r="AY5" s="22">
        <v>40.242194977987964</v>
      </c>
      <c r="AZ5" s="47">
        <v>452.33125000000001</v>
      </c>
      <c r="BA5" s="47">
        <v>3017.3013000000001</v>
      </c>
      <c r="BB5" s="47">
        <v>0</v>
      </c>
      <c r="BC5" s="22">
        <v>452.33125000000001</v>
      </c>
      <c r="BD5" s="22">
        <v>1442.3828125</v>
      </c>
    </row>
    <row r="6" spans="1:60">
      <c r="A6" s="38" t="s">
        <v>71</v>
      </c>
      <c r="B6" s="38" t="s">
        <v>296</v>
      </c>
      <c r="C6" s="38">
        <v>5</v>
      </c>
      <c r="D6" s="38">
        <v>5</v>
      </c>
      <c r="E6" s="44">
        <v>117.25820068180396</v>
      </c>
      <c r="F6" s="7">
        <v>0</v>
      </c>
      <c r="G6" s="24">
        <v>0</v>
      </c>
      <c r="H6" s="47">
        <f t="shared" si="1"/>
        <v>0</v>
      </c>
      <c r="I6" s="24">
        <v>0</v>
      </c>
      <c r="J6" s="24">
        <v>0</v>
      </c>
      <c r="K6" s="24">
        <v>0</v>
      </c>
      <c r="L6" s="47">
        <f t="shared" si="0"/>
        <v>0</v>
      </c>
      <c r="M6" s="24">
        <v>0</v>
      </c>
      <c r="N6" s="24">
        <v>0</v>
      </c>
      <c r="O6" s="24">
        <v>0</v>
      </c>
      <c r="P6" s="7">
        <v>656.05020000000002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0.37171984601790925</v>
      </c>
      <c r="AA6" s="7">
        <v>0</v>
      </c>
      <c r="AB6" s="7">
        <v>0</v>
      </c>
      <c r="AC6" s="7">
        <v>0.37171984601790925</v>
      </c>
      <c r="AD6" s="7">
        <v>0</v>
      </c>
      <c r="AE6">
        <f t="shared" si="2"/>
        <v>773.30840068180396</v>
      </c>
      <c r="AF6">
        <f t="shared" si="3"/>
        <v>0.37171984601790925</v>
      </c>
      <c r="AG6">
        <f t="shared" si="4"/>
        <v>0</v>
      </c>
      <c r="AH6">
        <f t="shared" si="5"/>
        <v>0</v>
      </c>
      <c r="AI6">
        <f t="shared" si="6"/>
        <v>117.25820068180396</v>
      </c>
      <c r="AJ6">
        <f t="shared" si="7"/>
        <v>0</v>
      </c>
      <c r="AK6">
        <f t="shared" si="8"/>
        <v>656.05020000000002</v>
      </c>
      <c r="AL6">
        <f t="shared" si="9"/>
        <v>3.0976653834825774E-6</v>
      </c>
      <c r="AM6">
        <f t="shared" si="10"/>
        <v>6.4442366723483661E-3</v>
      </c>
      <c r="AQ6" s="16" t="s">
        <v>610</v>
      </c>
      <c r="AR6" s="16" t="s">
        <v>611</v>
      </c>
      <c r="AS6" s="19">
        <v>5.2419019701505354E-5</v>
      </c>
      <c r="AV6" s="38" t="s">
        <v>615</v>
      </c>
      <c r="AW6" s="38" t="s">
        <v>616</v>
      </c>
      <c r="AX6" s="19">
        <v>170.63338631495762</v>
      </c>
      <c r="AY6" s="19">
        <v>0</v>
      </c>
      <c r="AZ6" s="47">
        <v>1416.996875</v>
      </c>
      <c r="BA6" s="47">
        <v>3484.6499999999996</v>
      </c>
      <c r="BB6" s="47">
        <v>0</v>
      </c>
      <c r="BC6" s="19">
        <v>1416.996875</v>
      </c>
      <c r="BD6" s="19">
        <v>511.99812499999996</v>
      </c>
    </row>
    <row r="7" spans="1:60">
      <c r="A7" s="38" t="s">
        <v>71</v>
      </c>
      <c r="B7" s="38" t="s">
        <v>296</v>
      </c>
      <c r="C7" s="38">
        <v>6</v>
      </c>
      <c r="D7" s="38">
        <v>6</v>
      </c>
      <c r="E7" s="44">
        <v>0</v>
      </c>
      <c r="F7" s="7">
        <v>0</v>
      </c>
      <c r="G7" s="24">
        <v>0</v>
      </c>
      <c r="H7" s="47">
        <f t="shared" si="1"/>
        <v>0</v>
      </c>
      <c r="I7" s="24">
        <v>0</v>
      </c>
      <c r="J7" s="24">
        <v>0</v>
      </c>
      <c r="K7" s="24">
        <v>0</v>
      </c>
      <c r="L7" s="47">
        <f t="shared" si="0"/>
        <v>0</v>
      </c>
      <c r="M7" s="24">
        <v>0</v>
      </c>
      <c r="N7" s="24">
        <v>0</v>
      </c>
      <c r="O7" s="24">
        <v>0</v>
      </c>
      <c r="P7" s="7">
        <v>5.3507999999999996</v>
      </c>
      <c r="Q7" s="7">
        <v>1184.625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15">
        <f t="shared" si="2"/>
        <v>1189.9757999999999</v>
      </c>
      <c r="AF7" s="15">
        <f t="shared" si="3"/>
        <v>0</v>
      </c>
      <c r="AG7">
        <f t="shared" si="4"/>
        <v>0</v>
      </c>
      <c r="AH7">
        <f t="shared" si="5"/>
        <v>0</v>
      </c>
      <c r="AI7">
        <f t="shared" si="6"/>
        <v>1184.625</v>
      </c>
      <c r="AJ7">
        <f t="shared" si="7"/>
        <v>0</v>
      </c>
      <c r="AK7">
        <f t="shared" si="8"/>
        <v>5.3507999999999996</v>
      </c>
      <c r="AL7">
        <f t="shared" si="9"/>
        <v>0</v>
      </c>
      <c r="AM7">
        <f t="shared" si="10"/>
        <v>4.4589999999999992E-5</v>
      </c>
      <c r="AQ7" s="20"/>
      <c r="AR7" s="21" t="s">
        <v>612</v>
      </c>
      <c r="AS7" s="22">
        <v>1.5035873848453062E-4</v>
      </c>
      <c r="AV7" s="38" t="s">
        <v>615</v>
      </c>
      <c r="AW7" s="38" t="s">
        <v>617</v>
      </c>
      <c r="AX7" s="22">
        <v>1902.5701255945551</v>
      </c>
      <c r="AY7" s="22">
        <v>0.50079345774267114</v>
      </c>
      <c r="AZ7" s="47">
        <v>0</v>
      </c>
      <c r="BA7" s="47">
        <v>3615.7914000000001</v>
      </c>
      <c r="BB7" s="47">
        <v>0</v>
      </c>
      <c r="BC7" s="22">
        <v>0</v>
      </c>
      <c r="BD7" s="22">
        <v>0</v>
      </c>
    </row>
    <row r="8" spans="1:60">
      <c r="A8" s="38" t="s">
        <v>71</v>
      </c>
      <c r="B8" s="38" t="s">
        <v>75</v>
      </c>
      <c r="C8" s="38">
        <v>1</v>
      </c>
      <c r="D8" s="38">
        <v>7</v>
      </c>
      <c r="E8" s="42">
        <v>0</v>
      </c>
      <c r="F8" s="43">
        <v>0</v>
      </c>
      <c r="G8" s="43">
        <v>0</v>
      </c>
      <c r="H8" s="48">
        <f t="shared" si="1"/>
        <v>0</v>
      </c>
      <c r="I8" s="43">
        <v>2940.4774656398595</v>
      </c>
      <c r="J8" s="43">
        <v>0</v>
      </c>
      <c r="K8" s="43">
        <v>0</v>
      </c>
      <c r="L8" s="47">
        <f t="shared" si="0"/>
        <v>0</v>
      </c>
      <c r="M8" s="43">
        <v>0</v>
      </c>
      <c r="N8" s="43">
        <v>0</v>
      </c>
      <c r="O8" s="43">
        <v>0</v>
      </c>
      <c r="P8" s="43">
        <v>1437.1695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20.893409163700582</v>
      </c>
      <c r="Z8" s="43">
        <v>0</v>
      </c>
      <c r="AA8" s="43">
        <v>4.4819649463912077</v>
      </c>
      <c r="AB8" s="43">
        <v>25.375374110091791</v>
      </c>
      <c r="AC8" s="43">
        <v>0</v>
      </c>
      <c r="AD8" s="43">
        <v>0</v>
      </c>
      <c r="AE8">
        <f t="shared" si="2"/>
        <v>4377.6469656398594</v>
      </c>
      <c r="AF8">
        <f t="shared" si="3"/>
        <v>0</v>
      </c>
      <c r="AG8">
        <f t="shared" si="4"/>
        <v>0</v>
      </c>
      <c r="AH8">
        <f t="shared" si="5"/>
        <v>0</v>
      </c>
      <c r="AI8">
        <f t="shared" si="6"/>
        <v>2940.4774656398595</v>
      </c>
      <c r="AJ8">
        <f t="shared" si="7"/>
        <v>0</v>
      </c>
      <c r="AK8">
        <f t="shared" si="8"/>
        <v>1437.1695</v>
      </c>
      <c r="AL8">
        <f t="shared" si="9"/>
        <v>0</v>
      </c>
      <c r="AM8">
        <f t="shared" si="10"/>
        <v>3.6480391380332162E-2</v>
      </c>
      <c r="AQ8" s="20"/>
      <c r="AR8" s="21" t="s">
        <v>613</v>
      </c>
      <c r="AS8" s="22">
        <v>5.5891937469427733E-5</v>
      </c>
      <c r="AV8" s="38" t="s">
        <v>615</v>
      </c>
      <c r="AW8" s="38" t="s">
        <v>618</v>
      </c>
      <c r="AX8" s="22">
        <v>723.28413821138292</v>
      </c>
      <c r="AY8" s="22">
        <v>7.6916202008760379</v>
      </c>
      <c r="AZ8" s="47">
        <v>452.33125000000001</v>
      </c>
      <c r="BA8" s="47">
        <v>1752.6892499999999</v>
      </c>
      <c r="BB8" s="47">
        <v>9.5712083585606855</v>
      </c>
      <c r="BC8" s="22">
        <v>452.33125000000001</v>
      </c>
      <c r="BD8" s="22">
        <v>1902.9975000000002</v>
      </c>
    </row>
    <row r="9" spans="1:60">
      <c r="A9" s="38" t="s">
        <v>71</v>
      </c>
      <c r="B9" s="38" t="s">
        <v>75</v>
      </c>
      <c r="C9" s="38">
        <v>2</v>
      </c>
      <c r="D9" s="41">
        <v>8</v>
      </c>
      <c r="E9" s="44">
        <v>0</v>
      </c>
      <c r="F9" s="24">
        <v>0</v>
      </c>
      <c r="G9" s="24">
        <v>0</v>
      </c>
      <c r="H9" s="47">
        <f t="shared" si="1"/>
        <v>0</v>
      </c>
      <c r="I9" s="24">
        <v>0</v>
      </c>
      <c r="J9" s="7">
        <v>199.33593750000003</v>
      </c>
      <c r="K9" s="7">
        <v>199.33593750000003</v>
      </c>
      <c r="L9" s="47">
        <f t="shared" si="0"/>
        <v>0</v>
      </c>
      <c r="M9" s="24">
        <v>0</v>
      </c>
      <c r="N9" s="24">
        <v>0</v>
      </c>
      <c r="O9" s="24">
        <v>0</v>
      </c>
      <c r="P9" s="7">
        <v>1457.3812499999999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7">
        <v>17.431008943405651</v>
      </c>
      <c r="Z9" s="24">
        <v>0</v>
      </c>
      <c r="AA9" s="24">
        <v>0</v>
      </c>
      <c r="AB9" s="7">
        <v>17.431008943405651</v>
      </c>
      <c r="AC9" s="24">
        <v>0</v>
      </c>
      <c r="AD9" s="7">
        <v>199.33593750000003</v>
      </c>
      <c r="AE9">
        <f t="shared" si="2"/>
        <v>1656.7171874999999</v>
      </c>
      <c r="AF9">
        <f t="shared" si="3"/>
        <v>0</v>
      </c>
      <c r="AG9">
        <f t="shared" si="4"/>
        <v>199.33593750000003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1457.3812499999999</v>
      </c>
      <c r="AL9">
        <f t="shared" si="9"/>
        <v>0</v>
      </c>
      <c r="AM9">
        <f t="shared" si="10"/>
        <v>1.3805976562499999E-2</v>
      </c>
      <c r="AQ9" s="16" t="s">
        <v>614</v>
      </c>
      <c r="AR9" s="23"/>
      <c r="AS9" s="19">
        <v>8.6223231885154556E-5</v>
      </c>
      <c r="AV9" s="38" t="s">
        <v>620</v>
      </c>
      <c r="AW9" s="38" t="s">
        <v>621</v>
      </c>
      <c r="AX9" s="19">
        <v>1081.7843125198556</v>
      </c>
      <c r="AY9" s="19">
        <v>11.93975069106606</v>
      </c>
      <c r="AZ9" s="47">
        <v>6430.3067625000012</v>
      </c>
      <c r="BA9" s="47">
        <v>10710.7572</v>
      </c>
      <c r="BB9" s="47">
        <v>13562.402126294757</v>
      </c>
      <c r="BC9" s="19">
        <v>8129.4518366902957</v>
      </c>
      <c r="BD9" s="19">
        <v>7990.0499665412271</v>
      </c>
    </row>
    <row r="10" spans="1:60">
      <c r="A10" s="38" t="s">
        <v>71</v>
      </c>
      <c r="B10" s="38" t="s">
        <v>75</v>
      </c>
      <c r="C10" s="38">
        <v>3</v>
      </c>
      <c r="D10" s="38">
        <v>9</v>
      </c>
      <c r="E10" s="44">
        <v>0</v>
      </c>
      <c r="F10" s="24">
        <v>0</v>
      </c>
      <c r="G10" s="24">
        <v>0</v>
      </c>
      <c r="H10" s="47">
        <f t="shared" si="1"/>
        <v>0</v>
      </c>
      <c r="I10" s="24">
        <v>0</v>
      </c>
      <c r="J10" s="24">
        <v>0</v>
      </c>
      <c r="K10" s="24">
        <v>0</v>
      </c>
      <c r="L10" s="47">
        <f t="shared" si="0"/>
        <v>0</v>
      </c>
      <c r="M10" s="24">
        <v>0</v>
      </c>
      <c r="N10" s="24">
        <v>0</v>
      </c>
      <c r="O10" s="24">
        <v>0</v>
      </c>
      <c r="P10" s="7">
        <v>1316.1096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>
        <f t="shared" si="2"/>
        <v>1316.1096</v>
      </c>
      <c r="AF10">
        <f t="shared" si="3"/>
        <v>0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1316.1096</v>
      </c>
      <c r="AL10">
        <f t="shared" si="9"/>
        <v>0</v>
      </c>
      <c r="AM10">
        <f t="shared" si="10"/>
        <v>1.0967580000000001E-2</v>
      </c>
      <c r="AQ10" s="16" t="s">
        <v>615</v>
      </c>
      <c r="AR10" s="16" t="s">
        <v>616</v>
      </c>
      <c r="AS10" s="19">
        <v>0</v>
      </c>
      <c r="AV10" s="38" t="s">
        <v>620</v>
      </c>
      <c r="AW10" s="38" t="s">
        <v>622</v>
      </c>
      <c r="AX10" s="22">
        <v>7376.078125</v>
      </c>
      <c r="AY10" s="22">
        <v>1.0790568497005082</v>
      </c>
      <c r="AZ10" s="47">
        <v>20311.387500000001</v>
      </c>
      <c r="BA10" s="47">
        <v>19160.366549999999</v>
      </c>
      <c r="BB10" s="47">
        <v>7996.8102516721483</v>
      </c>
      <c r="BC10" s="22">
        <v>29648.190890899226</v>
      </c>
      <c r="BD10" s="22">
        <v>8449.8131901230008</v>
      </c>
    </row>
    <row r="11" spans="1:60">
      <c r="A11" s="38" t="s">
        <v>71</v>
      </c>
      <c r="B11" s="38" t="s">
        <v>75</v>
      </c>
      <c r="C11" s="38">
        <v>4</v>
      </c>
      <c r="D11" s="38">
        <v>10</v>
      </c>
      <c r="E11" s="44">
        <v>0</v>
      </c>
      <c r="F11" s="7">
        <v>349.79843749999998</v>
      </c>
      <c r="G11" s="7">
        <v>226.16562500000001</v>
      </c>
      <c r="H11" s="47">
        <f t="shared" si="1"/>
        <v>123.63281249999997</v>
      </c>
      <c r="I11" s="24">
        <v>0</v>
      </c>
      <c r="J11" s="7">
        <v>600.74218750000011</v>
      </c>
      <c r="K11" s="7">
        <v>600.74218750000011</v>
      </c>
      <c r="L11" s="47">
        <f t="shared" si="0"/>
        <v>0</v>
      </c>
      <c r="M11" s="24">
        <v>0</v>
      </c>
      <c r="N11" s="24">
        <v>0</v>
      </c>
      <c r="O11" s="24">
        <v>0</v>
      </c>
      <c r="P11" s="7">
        <v>1438.4838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7">
        <v>16.527331831867926</v>
      </c>
      <c r="W11" s="24">
        <v>0</v>
      </c>
      <c r="X11" s="24">
        <v>0</v>
      </c>
      <c r="Y11" s="24">
        <v>0</v>
      </c>
      <c r="Z11" s="7">
        <v>14.679473997210593</v>
      </c>
      <c r="AA11" s="24">
        <v>0</v>
      </c>
      <c r="AB11" s="24">
        <v>0</v>
      </c>
      <c r="AC11" s="7">
        <v>14.679473997210593</v>
      </c>
      <c r="AD11" s="7">
        <v>950.54062500000009</v>
      </c>
      <c r="AE11">
        <f t="shared" si="2"/>
        <v>2265.3916125000001</v>
      </c>
      <c r="AF11">
        <f t="shared" si="3"/>
        <v>154.83961832907849</v>
      </c>
      <c r="AG11">
        <f t="shared" si="4"/>
        <v>826.90781250000009</v>
      </c>
      <c r="AH11">
        <f t="shared" si="5"/>
        <v>123.63281249999997</v>
      </c>
      <c r="AI11">
        <f t="shared" si="6"/>
        <v>0</v>
      </c>
      <c r="AJ11">
        <f t="shared" si="7"/>
        <v>16.527331831867926</v>
      </c>
      <c r="AK11">
        <f t="shared" si="8"/>
        <v>1438.4838</v>
      </c>
      <c r="AL11">
        <f t="shared" si="9"/>
        <v>2.6005671524232098E-4</v>
      </c>
      <c r="AM11">
        <f t="shared" si="10"/>
        <v>1.9908536875000001E-2</v>
      </c>
      <c r="AQ11" s="20"/>
      <c r="AR11" s="21" t="s">
        <v>617</v>
      </c>
      <c r="AS11" s="22">
        <v>1.0433197036305648E-6</v>
      </c>
      <c r="AV11" s="38" t="s">
        <v>620</v>
      </c>
      <c r="AW11" s="38" t="s">
        <v>623</v>
      </c>
      <c r="AX11" s="22">
        <v>4651.909312519856</v>
      </c>
      <c r="AY11" s="22">
        <v>3.7744417253235145</v>
      </c>
      <c r="AZ11" s="47">
        <v>2122.1984375000002</v>
      </c>
      <c r="BA11" s="47">
        <v>13682.826300000001</v>
      </c>
      <c r="BB11" s="47">
        <v>2841.8542972152309</v>
      </c>
      <c r="BC11" s="22">
        <v>2122.1984375000002</v>
      </c>
      <c r="BD11" s="22">
        <v>4579.3223987096899</v>
      </c>
    </row>
    <row r="12" spans="1:60">
      <c r="A12" s="38" t="s">
        <v>71</v>
      </c>
      <c r="B12" s="38" t="s">
        <v>75</v>
      </c>
      <c r="C12" s="38">
        <v>5</v>
      </c>
      <c r="D12" s="38">
        <v>11</v>
      </c>
      <c r="E12" s="44">
        <v>0</v>
      </c>
      <c r="F12" s="7">
        <v>1764.1578125000001</v>
      </c>
      <c r="G12" s="7">
        <v>1063.5718750000001</v>
      </c>
      <c r="H12" s="47">
        <f t="shared" si="1"/>
        <v>700.5859375</v>
      </c>
      <c r="I12" s="24">
        <v>0</v>
      </c>
      <c r="J12" s="7">
        <v>600.74218750000011</v>
      </c>
      <c r="K12" s="7">
        <v>600.74218750000011</v>
      </c>
      <c r="L12" s="47">
        <f t="shared" si="0"/>
        <v>0</v>
      </c>
      <c r="M12" s="24">
        <v>0</v>
      </c>
      <c r="N12" s="24">
        <v>0</v>
      </c>
      <c r="O12" s="24">
        <v>0</v>
      </c>
      <c r="P12" s="7">
        <v>585.37440000000004</v>
      </c>
      <c r="Q12" s="24">
        <v>0</v>
      </c>
      <c r="R12" s="7">
        <v>698.88733925985878</v>
      </c>
      <c r="S12" s="7">
        <v>78.924104890014817</v>
      </c>
      <c r="T12" s="7">
        <f>R12-S12</f>
        <v>619.96323436984392</v>
      </c>
      <c r="U12" s="7">
        <v>442.61999999999995</v>
      </c>
      <c r="V12" s="7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7">
        <v>442.61999999999995</v>
      </c>
      <c r="AC12" s="7">
        <v>0</v>
      </c>
      <c r="AD12" s="7">
        <v>3063.787339259859</v>
      </c>
      <c r="AE12">
        <f t="shared" si="2"/>
        <v>2771.232567390015</v>
      </c>
      <c r="AF12">
        <f t="shared" si="3"/>
        <v>1320.549171869844</v>
      </c>
      <c r="AG12">
        <f t="shared" si="4"/>
        <v>1743.238167390015</v>
      </c>
      <c r="AH12">
        <f t="shared" si="5"/>
        <v>1320.549171869844</v>
      </c>
      <c r="AI12">
        <f t="shared" si="6"/>
        <v>0</v>
      </c>
      <c r="AJ12">
        <f t="shared" si="7"/>
        <v>0</v>
      </c>
      <c r="AK12">
        <f t="shared" si="8"/>
        <v>585.37440000000004</v>
      </c>
      <c r="AL12">
        <f t="shared" si="9"/>
        <v>0</v>
      </c>
      <c r="AM12">
        <f t="shared" si="10"/>
        <v>3.4098181160498821E-2</v>
      </c>
      <c r="AQ12" s="20"/>
      <c r="AR12" s="21" t="s">
        <v>618</v>
      </c>
      <c r="AS12" s="22">
        <v>2.3976150776995451E-5</v>
      </c>
    </row>
    <row r="13" spans="1:60">
      <c r="A13" s="38" t="s">
        <v>71</v>
      </c>
      <c r="B13" s="38" t="s">
        <v>75</v>
      </c>
      <c r="C13" s="38">
        <v>6</v>
      </c>
      <c r="D13" s="41">
        <v>12</v>
      </c>
      <c r="E13" s="44">
        <v>0</v>
      </c>
      <c r="F13" s="7">
        <v>1030.2734375</v>
      </c>
      <c r="G13" s="7">
        <v>0</v>
      </c>
      <c r="H13" s="49">
        <f t="shared" si="1"/>
        <v>1030.2734375</v>
      </c>
      <c r="I13" s="24">
        <v>0</v>
      </c>
      <c r="J13" s="7">
        <v>199.33593750000003</v>
      </c>
      <c r="K13" s="7">
        <v>199.33593750000003</v>
      </c>
      <c r="L13" s="47">
        <f t="shared" si="0"/>
        <v>0</v>
      </c>
      <c r="M13" s="24">
        <v>0</v>
      </c>
      <c r="N13" s="24">
        <v>0</v>
      </c>
      <c r="O13" s="24">
        <v>0</v>
      </c>
      <c r="P13" s="7">
        <v>1157.00325</v>
      </c>
      <c r="Q13" s="7">
        <v>2162.875</v>
      </c>
      <c r="R13" s="7">
        <v>0</v>
      </c>
      <c r="S13" s="7">
        <v>0</v>
      </c>
      <c r="T13" s="7">
        <v>0</v>
      </c>
      <c r="U13" s="7">
        <v>0</v>
      </c>
      <c r="V13" s="7">
        <v>6.5348883560053395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7">
        <v>1229.609375</v>
      </c>
      <c r="AE13" s="15">
        <f t="shared" si="2"/>
        <v>3519.2141874999998</v>
      </c>
      <c r="AF13" s="15">
        <f t="shared" si="3"/>
        <v>1036.8083258560052</v>
      </c>
      <c r="AG13">
        <f t="shared" si="4"/>
        <v>199.33593750000003</v>
      </c>
      <c r="AH13">
        <f t="shared" si="5"/>
        <v>1030.2734375</v>
      </c>
      <c r="AI13">
        <f t="shared" si="6"/>
        <v>2162.875</v>
      </c>
      <c r="AJ13">
        <f t="shared" si="7"/>
        <v>6.5348883560053395</v>
      </c>
      <c r="AK13">
        <f t="shared" si="8"/>
        <v>1157.00325</v>
      </c>
      <c r="AL13">
        <f t="shared" si="9"/>
        <v>5.4457402966711164E-5</v>
      </c>
      <c r="AM13">
        <f t="shared" si="10"/>
        <v>1.9888438541666664E-2</v>
      </c>
      <c r="AQ13" s="16" t="s">
        <v>619</v>
      </c>
      <c r="AR13" s="23"/>
      <c r="AS13" s="19">
        <v>9.8686788984329977E-6</v>
      </c>
    </row>
    <row r="14" spans="1:60">
      <c r="A14" s="38" t="s">
        <v>71</v>
      </c>
      <c r="B14" s="38" t="s">
        <v>255</v>
      </c>
      <c r="C14" s="38">
        <v>1</v>
      </c>
      <c r="D14" s="38">
        <v>13</v>
      </c>
      <c r="E14" s="42">
        <v>0</v>
      </c>
      <c r="F14" s="43">
        <v>1421.2828125000001</v>
      </c>
      <c r="G14" s="43">
        <v>226.16562500000001</v>
      </c>
      <c r="H14" s="47">
        <f t="shared" si="1"/>
        <v>1195.1171875</v>
      </c>
      <c r="I14" s="43">
        <v>0</v>
      </c>
      <c r="J14" s="43">
        <v>0</v>
      </c>
      <c r="K14" s="43">
        <v>0</v>
      </c>
      <c r="L14" s="47">
        <f t="shared" ref="L14:L15" si="11">J14-K14</f>
        <v>0</v>
      </c>
      <c r="M14" s="43">
        <v>0</v>
      </c>
      <c r="N14" s="43">
        <v>0</v>
      </c>
      <c r="O14" s="43">
        <v>0</v>
      </c>
      <c r="P14" s="43">
        <v>641.16584999999998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17">
        <v>1421.2828125000001</v>
      </c>
      <c r="AE14">
        <f t="shared" si="2"/>
        <v>867.33147499999995</v>
      </c>
      <c r="AF14">
        <f t="shared" si="3"/>
        <v>1195.1171875</v>
      </c>
      <c r="AG14">
        <f t="shared" si="4"/>
        <v>226.16562500000001</v>
      </c>
      <c r="AH14">
        <f t="shared" si="5"/>
        <v>1195.1171875</v>
      </c>
      <c r="AI14">
        <f t="shared" si="6"/>
        <v>0</v>
      </c>
      <c r="AJ14">
        <f t="shared" si="7"/>
        <v>0</v>
      </c>
      <c r="AK14">
        <f t="shared" si="8"/>
        <v>641.16584999999998</v>
      </c>
      <c r="AL14">
        <f t="shared" si="9"/>
        <v>0</v>
      </c>
      <c r="AM14">
        <f t="shared" si="10"/>
        <v>1.7187072187499999E-2</v>
      </c>
      <c r="AQ14" s="16" t="s">
        <v>620</v>
      </c>
      <c r="AR14" s="16" t="s">
        <v>621</v>
      </c>
      <c r="AS14" s="19">
        <v>1.8853252606924754E-2</v>
      </c>
      <c r="AU14" t="s">
        <v>628</v>
      </c>
    </row>
    <row r="15" spans="1:60">
      <c r="A15" s="38" t="s">
        <v>71</v>
      </c>
      <c r="B15" s="38" t="s">
        <v>255</v>
      </c>
      <c r="C15" s="38">
        <v>2</v>
      </c>
      <c r="D15" s="38">
        <v>14</v>
      </c>
      <c r="E15" s="44">
        <v>0</v>
      </c>
      <c r="F15" s="7">
        <v>432.22031249999998</v>
      </c>
      <c r="G15" s="7">
        <v>226.16562500000001</v>
      </c>
      <c r="H15" s="47">
        <f t="shared" si="1"/>
        <v>206.05468749999997</v>
      </c>
      <c r="I15" s="24">
        <v>0</v>
      </c>
      <c r="J15" s="24">
        <v>0</v>
      </c>
      <c r="K15" s="24">
        <v>0</v>
      </c>
      <c r="L15" s="47">
        <f t="shared" si="11"/>
        <v>0</v>
      </c>
      <c r="M15" s="24">
        <v>0</v>
      </c>
      <c r="N15" s="24">
        <v>0</v>
      </c>
      <c r="O15" s="24">
        <v>0</v>
      </c>
      <c r="P15" s="7">
        <v>71.011200000000002</v>
      </c>
      <c r="Q15" s="7">
        <v>148.078125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7">
        <v>40.242194977987964</v>
      </c>
      <c r="AA15" s="24">
        <v>0</v>
      </c>
      <c r="AB15" s="24">
        <v>0</v>
      </c>
      <c r="AC15" s="7">
        <v>40.242194977987964</v>
      </c>
      <c r="AD15">
        <v>432.22031249999998</v>
      </c>
      <c r="AE15">
        <f t="shared" si="2"/>
        <v>445.25495000000001</v>
      </c>
      <c r="AF15">
        <f t="shared" si="3"/>
        <v>246.29688247798794</v>
      </c>
      <c r="AG15">
        <f t="shared" si="4"/>
        <v>226.16562500000001</v>
      </c>
      <c r="AH15">
        <f t="shared" si="5"/>
        <v>206.05468749999997</v>
      </c>
      <c r="AI15">
        <f t="shared" si="6"/>
        <v>148.078125</v>
      </c>
      <c r="AJ15">
        <f t="shared" si="7"/>
        <v>0</v>
      </c>
      <c r="AK15">
        <f t="shared" si="8"/>
        <v>71.011200000000002</v>
      </c>
      <c r="AL15">
        <f t="shared" si="9"/>
        <v>3.3535162481656639E-4</v>
      </c>
      <c r="AM15">
        <f t="shared" si="10"/>
        <v>4.1935959375E-3</v>
      </c>
      <c r="AQ15" s="20"/>
      <c r="AR15" s="21" t="s">
        <v>622</v>
      </c>
      <c r="AS15" s="22">
        <v>9.521296795859344E-3</v>
      </c>
      <c r="AU15" s="38" t="s">
        <v>625</v>
      </c>
      <c r="AV15" s="38" t="s">
        <v>626</v>
      </c>
      <c r="AW15" s="41" t="s">
        <v>629</v>
      </c>
      <c r="AX15" s="38" t="s">
        <v>828</v>
      </c>
      <c r="AY15" t="s">
        <v>627</v>
      </c>
      <c r="AZ15" t="s">
        <v>6</v>
      </c>
      <c r="BA15" t="s">
        <v>7</v>
      </c>
      <c r="BB15" s="41" t="s">
        <v>8</v>
      </c>
      <c r="BC15" s="41" t="s">
        <v>826</v>
      </c>
      <c r="BD15" s="41" t="s">
        <v>827</v>
      </c>
      <c r="BG15" s="16" t="s">
        <v>114</v>
      </c>
      <c r="BH15" s="18"/>
    </row>
    <row r="16" spans="1:60">
      <c r="A16" s="38" t="s">
        <v>71</v>
      </c>
      <c r="B16" s="38" t="s">
        <v>255</v>
      </c>
      <c r="C16" s="38">
        <v>3</v>
      </c>
      <c r="D16" s="38">
        <v>15</v>
      </c>
      <c r="E16" s="44">
        <v>0</v>
      </c>
      <c r="F16" s="7">
        <v>41.2109375</v>
      </c>
      <c r="G16" s="7">
        <v>0</v>
      </c>
      <c r="H16" s="47">
        <f t="shared" si="1"/>
        <v>41.2109375</v>
      </c>
      <c r="I16" s="24">
        <v>0</v>
      </c>
      <c r="J16" s="24">
        <v>0</v>
      </c>
      <c r="K16" s="24">
        <v>0</v>
      </c>
      <c r="L16" s="47">
        <f>J16-K16</f>
        <v>0</v>
      </c>
      <c r="M16" s="24">
        <v>0</v>
      </c>
      <c r="N16" s="24">
        <v>0</v>
      </c>
      <c r="O16" s="24">
        <v>0</v>
      </c>
      <c r="P16" s="7">
        <v>1637.7777000000001</v>
      </c>
      <c r="Q16" s="7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>
        <v>41.2109375</v>
      </c>
      <c r="AE16">
        <f t="shared" si="2"/>
        <v>1637.7777000000001</v>
      </c>
      <c r="AF16">
        <f t="shared" si="3"/>
        <v>41.2109375</v>
      </c>
      <c r="AG16">
        <f t="shared" si="4"/>
        <v>0</v>
      </c>
      <c r="AH16">
        <f t="shared" si="5"/>
        <v>41.2109375</v>
      </c>
      <c r="AI16">
        <f t="shared" si="6"/>
        <v>0</v>
      </c>
      <c r="AJ16">
        <f t="shared" si="7"/>
        <v>0</v>
      </c>
      <c r="AK16">
        <f t="shared" si="8"/>
        <v>1637.7777000000001</v>
      </c>
      <c r="AL16">
        <f t="shared" si="9"/>
        <v>0</v>
      </c>
      <c r="AM16">
        <f t="shared" si="10"/>
        <v>1.3991571979166667E-2</v>
      </c>
      <c r="AQ16" s="20"/>
      <c r="AR16" s="21" t="s">
        <v>623</v>
      </c>
      <c r="AS16" s="22">
        <v>2.964196603063077E-3</v>
      </c>
      <c r="AU16" s="38" t="s">
        <v>610</v>
      </c>
      <c r="AV16" s="38" t="s">
        <v>611</v>
      </c>
      <c r="AW16">
        <f>120*6</f>
        <v>720</v>
      </c>
      <c r="AX16" s="47">
        <f t="shared" ref="AX16:BD16" si="12">AX3/$AW16</f>
        <v>7.0879895356109168</v>
      </c>
      <c r="AY16" s="47">
        <f t="shared" si="12"/>
        <v>2.0388158329459158E-2</v>
      </c>
      <c r="AZ16">
        <f t="shared" si="12"/>
        <v>1.7913020833333335</v>
      </c>
      <c r="BA16">
        <f t="shared" si="12"/>
        <v>10.266002499999999</v>
      </c>
      <c r="BB16">
        <f t="shared" si="12"/>
        <v>3.20308613720462E-2</v>
      </c>
      <c r="BC16">
        <f t="shared" si="12"/>
        <v>4.1233581317916874</v>
      </c>
      <c r="BD16">
        <f t="shared" si="12"/>
        <v>3.4367436414858945</v>
      </c>
      <c r="BG16" s="29" t="s">
        <v>380</v>
      </c>
      <c r="BH16" s="18" t="s">
        <v>730</v>
      </c>
    </row>
    <row r="17" spans="1:73">
      <c r="A17" s="38" t="s">
        <v>71</v>
      </c>
      <c r="B17" s="38" t="s">
        <v>255</v>
      </c>
      <c r="C17" s="38">
        <v>4</v>
      </c>
      <c r="D17" s="41">
        <v>16</v>
      </c>
      <c r="E17" s="44">
        <v>0</v>
      </c>
      <c r="F17" s="7">
        <v>0</v>
      </c>
      <c r="G17" s="24">
        <v>0</v>
      </c>
      <c r="H17" s="47">
        <f t="shared" si="1"/>
        <v>0</v>
      </c>
      <c r="I17" s="24">
        <v>0</v>
      </c>
      <c r="J17" s="24">
        <v>0</v>
      </c>
      <c r="K17" s="24">
        <v>0</v>
      </c>
      <c r="L17" s="47">
        <f t="shared" ref="L17:L55" si="13">J17-K17</f>
        <v>0</v>
      </c>
      <c r="M17" s="7">
        <v>13.660901685981113</v>
      </c>
      <c r="N17" s="24">
        <v>0</v>
      </c>
      <c r="O17" s="24">
        <v>0</v>
      </c>
      <c r="P17" s="7">
        <v>208.37504999999999</v>
      </c>
      <c r="Q17" s="7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7">
        <v>13.660901685981113</v>
      </c>
      <c r="AC17" s="24">
        <v>0</v>
      </c>
      <c r="AD17" s="24">
        <v>0</v>
      </c>
      <c r="AE17">
        <f t="shared" si="2"/>
        <v>208.37504999999999</v>
      </c>
      <c r="AF17">
        <f t="shared" si="3"/>
        <v>0</v>
      </c>
      <c r="AG17">
        <f t="shared" si="4"/>
        <v>0</v>
      </c>
      <c r="AH17">
        <f t="shared" si="5"/>
        <v>0</v>
      </c>
      <c r="AI17">
        <f t="shared" si="6"/>
        <v>0</v>
      </c>
      <c r="AJ17">
        <f t="shared" si="7"/>
        <v>0</v>
      </c>
      <c r="AK17">
        <f t="shared" si="8"/>
        <v>208.37504999999999</v>
      </c>
      <c r="AL17">
        <f t="shared" si="9"/>
        <v>0</v>
      </c>
      <c r="AM17">
        <f t="shared" si="10"/>
        <v>1.7364587499999998E-3</v>
      </c>
      <c r="AQ17" s="16" t="s">
        <v>624</v>
      </c>
      <c r="AR17" s="23"/>
      <c r="AS17" s="19">
        <v>9.6896269541461213E-3</v>
      </c>
      <c r="AU17" s="38" t="s">
        <v>610</v>
      </c>
      <c r="AV17" s="38" t="s">
        <v>612</v>
      </c>
      <c r="AW17">
        <f>120*6</f>
        <v>720</v>
      </c>
      <c r="AX17" s="47">
        <f t="shared" ref="AX17:BD24" si="14">AX4/$AW17</f>
        <v>4.6849289245580605</v>
      </c>
      <c r="AY17" s="47">
        <f t="shared" si="14"/>
        <v>0.15035873848453063</v>
      </c>
      <c r="AZ17">
        <f t="shared" si="14"/>
        <v>16.553975694444446</v>
      </c>
      <c r="BA17">
        <f t="shared" si="14"/>
        <v>2.200339375</v>
      </c>
      <c r="BB17">
        <f t="shared" si="14"/>
        <v>0</v>
      </c>
      <c r="BC17">
        <f t="shared" si="14"/>
        <v>16.553975694444446</v>
      </c>
      <c r="BD17">
        <f t="shared" si="14"/>
        <v>0.28618706597222221</v>
      </c>
      <c r="BG17" s="16" t="s">
        <v>610</v>
      </c>
      <c r="BH17" s="19">
        <v>1.5774055494841674</v>
      </c>
    </row>
    <row r="18" spans="1:73">
      <c r="A18" s="38" t="s">
        <v>71</v>
      </c>
      <c r="B18" s="38" t="s">
        <v>255</v>
      </c>
      <c r="C18" s="38">
        <v>5</v>
      </c>
      <c r="D18" s="38">
        <v>17</v>
      </c>
      <c r="E18" s="44">
        <v>0</v>
      </c>
      <c r="F18" s="7">
        <v>0</v>
      </c>
      <c r="G18" s="24">
        <v>0</v>
      </c>
      <c r="H18" s="47">
        <f t="shared" si="1"/>
        <v>0</v>
      </c>
      <c r="I18" s="7">
        <v>117.25820068180396</v>
      </c>
      <c r="J18" s="24">
        <v>0</v>
      </c>
      <c r="K18" s="24">
        <v>0</v>
      </c>
      <c r="L18" s="47">
        <f t="shared" si="13"/>
        <v>0</v>
      </c>
      <c r="M18" s="24">
        <v>0</v>
      </c>
      <c r="N18" s="24">
        <v>0</v>
      </c>
      <c r="O18" s="24">
        <v>0</v>
      </c>
      <c r="P18" s="7">
        <v>42.946799999999996</v>
      </c>
      <c r="Q18" s="7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7">
        <v>8.594578612501893</v>
      </c>
      <c r="Z18" s="24">
        <v>0</v>
      </c>
      <c r="AA18" s="24">
        <v>0</v>
      </c>
      <c r="AB18" s="7">
        <v>8.594578612501893</v>
      </c>
      <c r="AC18" s="24">
        <v>0</v>
      </c>
      <c r="AD18" s="24">
        <v>0</v>
      </c>
      <c r="AE18">
        <f t="shared" si="2"/>
        <v>160.20500068180394</v>
      </c>
      <c r="AF18">
        <f t="shared" si="3"/>
        <v>0</v>
      </c>
      <c r="AG18">
        <f t="shared" si="4"/>
        <v>0</v>
      </c>
      <c r="AH18">
        <f t="shared" si="5"/>
        <v>0</v>
      </c>
      <c r="AI18">
        <f t="shared" si="6"/>
        <v>117.25820068180396</v>
      </c>
      <c r="AJ18">
        <f t="shared" si="7"/>
        <v>0</v>
      </c>
      <c r="AK18">
        <f t="shared" si="8"/>
        <v>42.946799999999996</v>
      </c>
      <c r="AL18">
        <f t="shared" si="9"/>
        <v>0</v>
      </c>
      <c r="AM18">
        <f t="shared" si="10"/>
        <v>1.3350416723483661E-3</v>
      </c>
      <c r="AQ18" s="26" t="s">
        <v>755</v>
      </c>
      <c r="AR18" s="27"/>
      <c r="AS18" s="28">
        <v>3.7996706369347742E-3</v>
      </c>
      <c r="AU18" s="38" t="s">
        <v>610</v>
      </c>
      <c r="AV18" s="38" t="s">
        <v>613</v>
      </c>
      <c r="AW18">
        <f>120*6</f>
        <v>720</v>
      </c>
      <c r="AX18" s="47">
        <f t="shared" si="14"/>
        <v>0.74411811055620836</v>
      </c>
      <c r="AY18" s="47">
        <f t="shared" si="14"/>
        <v>5.5891937469427729E-2</v>
      </c>
      <c r="AZ18">
        <f t="shared" si="14"/>
        <v>0.6282378472222222</v>
      </c>
      <c r="BA18">
        <f t="shared" si="14"/>
        <v>4.1906962500000002</v>
      </c>
      <c r="BB18">
        <f t="shared" si="14"/>
        <v>0</v>
      </c>
      <c r="BC18">
        <f t="shared" si="14"/>
        <v>0.6282378472222222</v>
      </c>
      <c r="BD18">
        <f t="shared" si="14"/>
        <v>2.0033094618055554</v>
      </c>
      <c r="BG18" s="21" t="s">
        <v>615</v>
      </c>
      <c r="BH18" s="22">
        <v>1.3488885022813166</v>
      </c>
    </row>
    <row r="19" spans="1:73">
      <c r="A19" s="38" t="s">
        <v>71</v>
      </c>
      <c r="B19" s="38" t="s">
        <v>255</v>
      </c>
      <c r="C19" s="38">
        <v>6</v>
      </c>
      <c r="D19" s="38">
        <v>18</v>
      </c>
      <c r="E19" s="44">
        <v>0</v>
      </c>
      <c r="F19" s="7">
        <v>0</v>
      </c>
      <c r="G19" s="24">
        <v>0</v>
      </c>
      <c r="H19" s="47">
        <f t="shared" si="1"/>
        <v>0</v>
      </c>
      <c r="I19" s="7">
        <v>270.42871391866606</v>
      </c>
      <c r="J19" s="24">
        <v>0</v>
      </c>
      <c r="K19" s="24">
        <v>0</v>
      </c>
      <c r="L19" s="47">
        <f t="shared" si="13"/>
        <v>0</v>
      </c>
      <c r="M19" s="24">
        <v>0</v>
      </c>
      <c r="N19" s="7">
        <v>51.803045807752774</v>
      </c>
      <c r="O19" s="24">
        <v>0</v>
      </c>
      <c r="P19" s="7">
        <v>416.02469999999994</v>
      </c>
      <c r="Q19" s="7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7">
        <v>51.803045807752774</v>
      </c>
      <c r="AC19" s="24">
        <v>0</v>
      </c>
      <c r="AD19" s="24">
        <v>0</v>
      </c>
      <c r="AE19" s="15">
        <f t="shared" si="2"/>
        <v>686.453413918666</v>
      </c>
      <c r="AF19" s="15">
        <f t="shared" si="3"/>
        <v>0</v>
      </c>
      <c r="AG19">
        <f t="shared" si="4"/>
        <v>0</v>
      </c>
      <c r="AH19">
        <f t="shared" si="5"/>
        <v>0</v>
      </c>
      <c r="AI19">
        <f t="shared" si="6"/>
        <v>270.42871391866606</v>
      </c>
      <c r="AJ19">
        <f t="shared" si="7"/>
        <v>0</v>
      </c>
      <c r="AK19">
        <f t="shared" si="8"/>
        <v>416.02469999999994</v>
      </c>
      <c r="AL19">
        <f t="shared" si="9"/>
        <v>0</v>
      </c>
      <c r="AM19">
        <f t="shared" si="10"/>
        <v>5.7204451159888836E-3</v>
      </c>
      <c r="AU19" s="38" t="s">
        <v>615</v>
      </c>
      <c r="AV19" s="38" t="s">
        <v>616</v>
      </c>
      <c r="AW19">
        <f>120*5</f>
        <v>600</v>
      </c>
      <c r="AX19" s="47">
        <f t="shared" si="14"/>
        <v>0.284388977191596</v>
      </c>
      <c r="AY19" s="47">
        <f t="shared" si="14"/>
        <v>0</v>
      </c>
      <c r="AZ19">
        <f t="shared" si="14"/>
        <v>2.3616614583333333</v>
      </c>
      <c r="BA19">
        <f t="shared" si="14"/>
        <v>5.8077499999999995</v>
      </c>
      <c r="BB19">
        <f t="shared" si="14"/>
        <v>0</v>
      </c>
      <c r="BC19">
        <f t="shared" si="14"/>
        <v>2.3616614583333333</v>
      </c>
      <c r="BD19">
        <f t="shared" si="14"/>
        <v>0.85333020833333328</v>
      </c>
      <c r="BG19" s="21" t="s">
        <v>620</v>
      </c>
      <c r="BH19" s="22">
        <v>3.393272516311725</v>
      </c>
    </row>
    <row r="20" spans="1:73">
      <c r="A20" s="38" t="s">
        <v>72</v>
      </c>
      <c r="B20" s="38" t="s">
        <v>256</v>
      </c>
      <c r="C20" s="38">
        <v>1</v>
      </c>
      <c r="D20" s="38">
        <v>19</v>
      </c>
      <c r="E20" s="42">
        <v>0</v>
      </c>
      <c r="F20" s="43">
        <v>339.24843750000002</v>
      </c>
      <c r="G20" s="43">
        <v>339.24843750000002</v>
      </c>
      <c r="H20" s="48">
        <f t="shared" si="1"/>
        <v>0</v>
      </c>
      <c r="I20" s="43">
        <v>0</v>
      </c>
      <c r="J20" s="43">
        <v>169.9271875</v>
      </c>
      <c r="K20" s="43">
        <v>0</v>
      </c>
      <c r="L20" s="47">
        <f t="shared" si="13"/>
        <v>169.9271875</v>
      </c>
      <c r="M20" s="43">
        <v>0</v>
      </c>
      <c r="N20" s="43">
        <v>0</v>
      </c>
      <c r="O20" s="43">
        <v>0</v>
      </c>
      <c r="P20" s="43">
        <v>853.125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509.17562500000003</v>
      </c>
      <c r="AE20">
        <f t="shared" si="2"/>
        <v>1192.3734374999999</v>
      </c>
      <c r="AF20">
        <f t="shared" si="3"/>
        <v>169.9271875</v>
      </c>
      <c r="AG20">
        <f t="shared" si="4"/>
        <v>339.24843750000002</v>
      </c>
      <c r="AH20">
        <f t="shared" si="5"/>
        <v>169.9271875</v>
      </c>
      <c r="AI20">
        <f t="shared" si="6"/>
        <v>0</v>
      </c>
      <c r="AJ20">
        <f t="shared" si="7"/>
        <v>0</v>
      </c>
      <c r="AK20">
        <f t="shared" si="8"/>
        <v>853.125</v>
      </c>
      <c r="AL20">
        <f t="shared" si="9"/>
        <v>0</v>
      </c>
      <c r="AM20">
        <f t="shared" si="10"/>
        <v>1.1352505208333334E-2</v>
      </c>
      <c r="AP20" t="s">
        <v>32</v>
      </c>
      <c r="AU20" s="38" t="s">
        <v>615</v>
      </c>
      <c r="AV20" s="38" t="s">
        <v>617</v>
      </c>
      <c r="AW20">
        <f>120*4</f>
        <v>480</v>
      </c>
      <c r="AX20" s="47">
        <f t="shared" si="14"/>
        <v>3.963687761655323</v>
      </c>
      <c r="AY20" s="47">
        <f t="shared" si="14"/>
        <v>1.0433197036305649E-3</v>
      </c>
      <c r="AZ20">
        <f t="shared" si="14"/>
        <v>0</v>
      </c>
      <c r="BA20">
        <f t="shared" si="14"/>
        <v>7.5328987500000002</v>
      </c>
      <c r="BB20">
        <f t="shared" si="14"/>
        <v>0</v>
      </c>
      <c r="BC20">
        <f t="shared" si="14"/>
        <v>0</v>
      </c>
      <c r="BD20">
        <f t="shared" si="14"/>
        <v>0</v>
      </c>
      <c r="BG20" s="26" t="s">
        <v>755</v>
      </c>
      <c r="BH20" s="28">
        <v>4.0840949457271236</v>
      </c>
    </row>
    <row r="21" spans="1:73">
      <c r="A21" s="38" t="s">
        <v>72</v>
      </c>
      <c r="B21" s="38" t="s">
        <v>256</v>
      </c>
      <c r="C21" s="38">
        <v>2</v>
      </c>
      <c r="D21" s="41">
        <v>20</v>
      </c>
      <c r="E21" s="44">
        <v>0</v>
      </c>
      <c r="F21" s="24">
        <v>0</v>
      </c>
      <c r="G21" s="24">
        <v>0</v>
      </c>
      <c r="H21" s="47">
        <f t="shared" si="1"/>
        <v>0</v>
      </c>
      <c r="I21" s="24">
        <v>0</v>
      </c>
      <c r="J21" s="7">
        <v>300.86</v>
      </c>
      <c r="K21" s="7">
        <v>0</v>
      </c>
      <c r="L21" s="47">
        <f t="shared" si="13"/>
        <v>300.86</v>
      </c>
      <c r="M21" s="24">
        <v>0</v>
      </c>
      <c r="N21" s="24">
        <v>0</v>
      </c>
      <c r="O21" s="24">
        <v>0</v>
      </c>
      <c r="P21" s="7">
        <v>535.51874999999995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7">
        <v>300.86</v>
      </c>
      <c r="AE21">
        <f t="shared" si="2"/>
        <v>535.51874999999995</v>
      </c>
      <c r="AF21">
        <f t="shared" si="3"/>
        <v>300.86</v>
      </c>
      <c r="AG21">
        <f t="shared" si="4"/>
        <v>0</v>
      </c>
      <c r="AH21">
        <f t="shared" si="5"/>
        <v>300.86</v>
      </c>
      <c r="AI21">
        <f t="shared" si="6"/>
        <v>0</v>
      </c>
      <c r="AJ21">
        <f t="shared" si="7"/>
        <v>0</v>
      </c>
      <c r="AK21">
        <f t="shared" si="8"/>
        <v>535.51874999999995</v>
      </c>
      <c r="AL21">
        <f t="shared" si="9"/>
        <v>0</v>
      </c>
      <c r="AM21">
        <f t="shared" si="10"/>
        <v>6.9698229166666658E-3</v>
      </c>
      <c r="AO21" t="s">
        <v>29</v>
      </c>
      <c r="AP21" s="19">
        <v>4.1842082523009243E-2</v>
      </c>
      <c r="AU21" s="38" t="s">
        <v>615</v>
      </c>
      <c r="AV21" s="38" t="s">
        <v>618</v>
      </c>
      <c r="AW21">
        <f>120*6</f>
        <v>720</v>
      </c>
      <c r="AX21" s="47">
        <f t="shared" si="14"/>
        <v>1.0045613030713652</v>
      </c>
      <c r="AY21" s="47">
        <f t="shared" si="14"/>
        <v>1.0682805834550052E-2</v>
      </c>
      <c r="AZ21">
        <f t="shared" si="14"/>
        <v>0.6282378472222222</v>
      </c>
      <c r="BA21">
        <f t="shared" si="14"/>
        <v>2.434290625</v>
      </c>
      <c r="BB21">
        <f t="shared" si="14"/>
        <v>1.3293344942445396E-2</v>
      </c>
      <c r="BC21">
        <f t="shared" si="14"/>
        <v>0.6282378472222222</v>
      </c>
      <c r="BD21">
        <f t="shared" si="14"/>
        <v>2.6430520833333335</v>
      </c>
    </row>
    <row r="22" spans="1:73">
      <c r="A22" s="38" t="s">
        <v>72</v>
      </c>
      <c r="B22" s="38" t="s">
        <v>256</v>
      </c>
      <c r="C22" s="38">
        <v>3</v>
      </c>
      <c r="D22" s="38">
        <v>21</v>
      </c>
      <c r="E22" s="44">
        <v>0</v>
      </c>
      <c r="F22" s="7">
        <v>724.32343750000007</v>
      </c>
      <c r="G22" s="7">
        <v>724.32343750000007</v>
      </c>
      <c r="H22" s="47">
        <f t="shared" si="1"/>
        <v>0</v>
      </c>
      <c r="I22" s="24">
        <v>0</v>
      </c>
      <c r="J22" s="24">
        <v>0</v>
      </c>
      <c r="K22" s="24">
        <v>0</v>
      </c>
      <c r="L22" s="47">
        <f t="shared" si="13"/>
        <v>0</v>
      </c>
      <c r="M22" s="24">
        <v>0</v>
      </c>
      <c r="N22" s="24">
        <v>0</v>
      </c>
      <c r="O22" s="7">
        <v>0.95924364182691069</v>
      </c>
      <c r="P22" s="7">
        <v>30.46875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7">
        <v>0.95924364182691069</v>
      </c>
      <c r="AC22" s="24">
        <v>0</v>
      </c>
      <c r="AD22" s="7">
        <v>724.32343750000007</v>
      </c>
      <c r="AE22">
        <f t="shared" si="2"/>
        <v>754.79218750000007</v>
      </c>
      <c r="AF22">
        <f t="shared" si="3"/>
        <v>0</v>
      </c>
      <c r="AG22">
        <f t="shared" si="4"/>
        <v>724.32343750000007</v>
      </c>
      <c r="AH22">
        <f t="shared" si="5"/>
        <v>0</v>
      </c>
      <c r="AI22">
        <f t="shared" si="6"/>
        <v>0</v>
      </c>
      <c r="AJ22">
        <f t="shared" si="7"/>
        <v>0</v>
      </c>
      <c r="AK22">
        <f t="shared" si="8"/>
        <v>30.46875</v>
      </c>
      <c r="AL22">
        <f t="shared" si="9"/>
        <v>0</v>
      </c>
      <c r="AM22">
        <f t="shared" si="10"/>
        <v>6.297928592848558E-3</v>
      </c>
      <c r="AO22" t="s">
        <v>30</v>
      </c>
      <c r="AP22" s="19">
        <v>9.6896269541461213E-3</v>
      </c>
      <c r="AU22" s="38" t="s">
        <v>620</v>
      </c>
      <c r="AV22" s="38" t="s">
        <v>621</v>
      </c>
      <c r="AW22">
        <f>120*6</f>
        <v>720</v>
      </c>
      <c r="AX22" s="47">
        <f t="shared" si="14"/>
        <v>1.5024782118331328</v>
      </c>
      <c r="AY22" s="47">
        <f t="shared" si="14"/>
        <v>1.6582987070925082E-2</v>
      </c>
      <c r="AZ22">
        <f t="shared" si="14"/>
        <v>8.9309816145833345</v>
      </c>
      <c r="BA22">
        <f t="shared" si="14"/>
        <v>14.876051666666667</v>
      </c>
      <c r="BB22">
        <f t="shared" si="14"/>
        <v>18.836669619853829</v>
      </c>
      <c r="BC22">
        <f t="shared" si="14"/>
        <v>11.290905328736521</v>
      </c>
      <c r="BD22">
        <f t="shared" si="14"/>
        <v>11.097291620196149</v>
      </c>
    </row>
    <row r="23" spans="1:73">
      <c r="A23" s="38" t="s">
        <v>72</v>
      </c>
      <c r="B23" s="38" t="s">
        <v>256</v>
      </c>
      <c r="C23" s="38">
        <v>4</v>
      </c>
      <c r="D23" s="38">
        <v>22</v>
      </c>
      <c r="E23" s="44">
        <v>0</v>
      </c>
      <c r="F23" s="7">
        <v>0</v>
      </c>
      <c r="G23" s="24">
        <v>0</v>
      </c>
      <c r="H23" s="47">
        <f t="shared" si="1"/>
        <v>0</v>
      </c>
      <c r="I23" s="24">
        <v>0</v>
      </c>
      <c r="J23" s="24">
        <v>0</v>
      </c>
      <c r="K23" s="24">
        <v>0</v>
      </c>
      <c r="L23" s="47">
        <f t="shared" si="13"/>
        <v>0</v>
      </c>
      <c r="M23" s="24">
        <v>0</v>
      </c>
      <c r="N23" s="24">
        <v>0</v>
      </c>
      <c r="O23" s="24">
        <v>0</v>
      </c>
      <c r="P23" s="7">
        <v>177.69374999999999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>
        <f t="shared" si="2"/>
        <v>177.69374999999999</v>
      </c>
      <c r="AF23">
        <f t="shared" si="3"/>
        <v>0</v>
      </c>
      <c r="AG23">
        <f t="shared" si="4"/>
        <v>0</v>
      </c>
      <c r="AH23">
        <f t="shared" si="5"/>
        <v>0</v>
      </c>
      <c r="AI23">
        <f t="shared" si="6"/>
        <v>0</v>
      </c>
      <c r="AJ23">
        <f t="shared" si="7"/>
        <v>0</v>
      </c>
      <c r="AK23">
        <f t="shared" si="8"/>
        <v>177.69374999999999</v>
      </c>
      <c r="AL23">
        <f t="shared" si="9"/>
        <v>0</v>
      </c>
      <c r="AM23">
        <f t="shared" si="10"/>
        <v>1.4807812499999999E-3</v>
      </c>
      <c r="AU23" s="38" t="s">
        <v>620</v>
      </c>
      <c r="AV23" s="38" t="s">
        <v>622</v>
      </c>
      <c r="AW23">
        <f>120*7</f>
        <v>840</v>
      </c>
      <c r="AX23" s="47">
        <f t="shared" si="14"/>
        <v>8.7810453869047613</v>
      </c>
      <c r="AY23" s="47">
        <f t="shared" si="14"/>
        <v>1.2845914877387002E-3</v>
      </c>
      <c r="AZ23">
        <f t="shared" si="14"/>
        <v>24.180223214285714</v>
      </c>
      <c r="BA23">
        <f t="shared" si="14"/>
        <v>22.809960178571426</v>
      </c>
      <c r="BB23">
        <f t="shared" si="14"/>
        <v>9.5200122043716053</v>
      </c>
      <c r="BC23">
        <f t="shared" si="14"/>
        <v>35.295465346308603</v>
      </c>
      <c r="BD23">
        <f t="shared" si="14"/>
        <v>10.059301416813096</v>
      </c>
    </row>
    <row r="24" spans="1:73">
      <c r="A24" s="38" t="s">
        <v>72</v>
      </c>
      <c r="B24" s="38" t="s">
        <v>256</v>
      </c>
      <c r="C24" s="38">
        <v>5</v>
      </c>
      <c r="D24" s="38">
        <v>23</v>
      </c>
      <c r="E24" s="44">
        <v>0</v>
      </c>
      <c r="F24" s="7">
        <v>394.63593749999995</v>
      </c>
      <c r="G24" s="7">
        <v>353.42500000000001</v>
      </c>
      <c r="H24" s="47">
        <f t="shared" si="1"/>
        <v>41.210937499999943</v>
      </c>
      <c r="I24" s="7">
        <v>170.63338631495762</v>
      </c>
      <c r="J24" s="24">
        <v>0</v>
      </c>
      <c r="K24" s="24">
        <v>0</v>
      </c>
      <c r="L24" s="47">
        <f t="shared" si="13"/>
        <v>0</v>
      </c>
      <c r="M24" s="24">
        <v>0</v>
      </c>
      <c r="N24" s="24">
        <v>0</v>
      </c>
      <c r="O24" s="24">
        <v>0</v>
      </c>
      <c r="P24" s="7">
        <v>1887.84375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7">
        <v>394.63593749999995</v>
      </c>
      <c r="AE24">
        <f t="shared" si="2"/>
        <v>2411.9021363149577</v>
      </c>
      <c r="AF24">
        <f t="shared" si="3"/>
        <v>41.210937499999943</v>
      </c>
      <c r="AG24">
        <f t="shared" si="4"/>
        <v>353.42500000000001</v>
      </c>
      <c r="AH24">
        <f t="shared" si="5"/>
        <v>41.210937499999943</v>
      </c>
      <c r="AI24">
        <f t="shared" si="6"/>
        <v>170.63338631495762</v>
      </c>
      <c r="AJ24">
        <f t="shared" si="7"/>
        <v>0</v>
      </c>
      <c r="AK24">
        <f t="shared" si="8"/>
        <v>1887.84375</v>
      </c>
      <c r="AL24">
        <f t="shared" si="9"/>
        <v>0</v>
      </c>
      <c r="AM24">
        <f t="shared" si="10"/>
        <v>2.0442608948457983E-2</v>
      </c>
      <c r="AU24" s="38" t="s">
        <v>620</v>
      </c>
      <c r="AV24" s="38" t="s">
        <v>623</v>
      </c>
      <c r="AW24">
        <f>120*8</f>
        <v>960</v>
      </c>
      <c r="AX24" s="47">
        <f t="shared" si="14"/>
        <v>4.8457388672081834</v>
      </c>
      <c r="AY24" s="47">
        <f t="shared" si="14"/>
        <v>3.9317101305453277E-3</v>
      </c>
      <c r="AZ24">
        <f t="shared" si="14"/>
        <v>2.2106233723958337</v>
      </c>
      <c r="BA24">
        <f t="shared" si="14"/>
        <v>14.252944062500001</v>
      </c>
      <c r="BB24">
        <f t="shared" si="14"/>
        <v>2.9602648929325324</v>
      </c>
      <c r="BC24">
        <f t="shared" si="14"/>
        <v>2.2106233723958337</v>
      </c>
      <c r="BD24">
        <f t="shared" si="14"/>
        <v>4.7701274986559268</v>
      </c>
    </row>
    <row r="25" spans="1:73">
      <c r="A25" s="38" t="s">
        <v>72</v>
      </c>
      <c r="B25" s="41" t="s">
        <v>258</v>
      </c>
      <c r="C25" s="38">
        <v>1</v>
      </c>
      <c r="D25" s="41">
        <v>24</v>
      </c>
      <c r="E25" s="42">
        <v>0</v>
      </c>
      <c r="F25" s="43">
        <v>0</v>
      </c>
      <c r="G25" s="43">
        <v>0</v>
      </c>
      <c r="H25" s="48">
        <f t="shared" si="1"/>
        <v>0</v>
      </c>
      <c r="I25" s="43">
        <v>0</v>
      </c>
      <c r="J25" s="43">
        <v>0</v>
      </c>
      <c r="K25" s="43">
        <v>0</v>
      </c>
      <c r="L25" s="47">
        <f t="shared" si="13"/>
        <v>0</v>
      </c>
      <c r="M25" s="43">
        <v>0</v>
      </c>
      <c r="N25" s="43">
        <v>0</v>
      </c>
      <c r="O25" s="43">
        <v>0</v>
      </c>
      <c r="P25" s="43">
        <v>1303.33125</v>
      </c>
      <c r="Q25" s="43">
        <v>716.625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423.76118373838494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24">
        <v>0</v>
      </c>
      <c r="AE25">
        <f t="shared" si="2"/>
        <v>2443.7174337383849</v>
      </c>
      <c r="AF25">
        <f t="shared" si="3"/>
        <v>0</v>
      </c>
      <c r="AG25">
        <f t="shared" si="4"/>
        <v>0</v>
      </c>
      <c r="AH25">
        <f t="shared" si="5"/>
        <v>0</v>
      </c>
      <c r="AI25">
        <f t="shared" si="6"/>
        <v>1140.3861837383849</v>
      </c>
      <c r="AJ25">
        <f t="shared" si="7"/>
        <v>0</v>
      </c>
      <c r="AK25">
        <f t="shared" si="8"/>
        <v>1303.33125</v>
      </c>
      <c r="AL25">
        <f t="shared" si="9"/>
        <v>0</v>
      </c>
      <c r="AM25">
        <f t="shared" si="10"/>
        <v>1.086109375E-2</v>
      </c>
      <c r="BG25" t="s">
        <v>95</v>
      </c>
      <c r="BH25" t="s">
        <v>96</v>
      </c>
      <c r="BI25" t="s">
        <v>97</v>
      </c>
      <c r="BJ25" t="s">
        <v>98</v>
      </c>
      <c r="BK25" t="s">
        <v>99</v>
      </c>
      <c r="BL25" t="s">
        <v>100</v>
      </c>
      <c r="BM25" t="s">
        <v>101</v>
      </c>
      <c r="BN25" t="s">
        <v>102</v>
      </c>
      <c r="BO25" t="s">
        <v>103</v>
      </c>
      <c r="BP25" t="s">
        <v>21</v>
      </c>
      <c r="BQ25" t="s">
        <v>99</v>
      </c>
      <c r="BR25" t="s">
        <v>22</v>
      </c>
      <c r="BS25" t="s">
        <v>23</v>
      </c>
      <c r="BT25" t="s">
        <v>99</v>
      </c>
      <c r="BU25" t="s">
        <v>22</v>
      </c>
    </row>
    <row r="26" spans="1:73">
      <c r="A26" s="38" t="s">
        <v>72</v>
      </c>
      <c r="B26" s="41" t="s">
        <v>258</v>
      </c>
      <c r="C26" s="38">
        <v>2</v>
      </c>
      <c r="D26" s="38">
        <v>25</v>
      </c>
      <c r="E26" s="44">
        <v>0</v>
      </c>
      <c r="F26" s="24">
        <v>0</v>
      </c>
      <c r="G26" s="24">
        <v>0</v>
      </c>
      <c r="H26" s="47">
        <f t="shared" si="1"/>
        <v>0</v>
      </c>
      <c r="I26" s="7">
        <v>76.637066856170094</v>
      </c>
      <c r="J26" s="24">
        <v>0</v>
      </c>
      <c r="K26" s="24">
        <v>0</v>
      </c>
      <c r="L26" s="47">
        <f t="shared" si="13"/>
        <v>0</v>
      </c>
      <c r="M26" s="24">
        <v>0</v>
      </c>
      <c r="N26" s="24">
        <v>0</v>
      </c>
      <c r="O26" s="24">
        <v>0</v>
      </c>
      <c r="P26" s="7">
        <v>1110.9130499999999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7">
        <v>0.50079345774267114</v>
      </c>
      <c r="AA26" s="24">
        <v>0</v>
      </c>
      <c r="AB26" s="24">
        <v>0</v>
      </c>
      <c r="AC26" s="7">
        <v>0.50079345774267114</v>
      </c>
      <c r="AD26" s="24">
        <v>0</v>
      </c>
      <c r="AE26">
        <f t="shared" si="2"/>
        <v>1187.55011685617</v>
      </c>
      <c r="AF26">
        <f t="shared" si="3"/>
        <v>0.50079345774267114</v>
      </c>
      <c r="AG26">
        <f t="shared" si="4"/>
        <v>0</v>
      </c>
      <c r="AH26">
        <f t="shared" si="5"/>
        <v>0</v>
      </c>
      <c r="AI26">
        <f t="shared" si="6"/>
        <v>76.637066856170094</v>
      </c>
      <c r="AJ26">
        <f t="shared" si="7"/>
        <v>0</v>
      </c>
      <c r="AK26">
        <f t="shared" si="8"/>
        <v>1110.9130499999999</v>
      </c>
      <c r="AL26">
        <f t="shared" si="9"/>
        <v>4.1732788145222593E-6</v>
      </c>
      <c r="AM26">
        <f t="shared" si="10"/>
        <v>9.8962509738014168E-3</v>
      </c>
      <c r="BF26" t="s">
        <v>92</v>
      </c>
      <c r="BG26" s="19">
        <v>5.5523460416666666</v>
      </c>
      <c r="BH26" s="19">
        <v>4.2017018013961422</v>
      </c>
      <c r="BI26">
        <f>BH26/SQRT(3)</f>
        <v>2.4258536660905983</v>
      </c>
      <c r="BJ26" s="19">
        <v>1.0676953790682066E-2</v>
      </c>
      <c r="BK26" s="19">
        <v>1.8493026435526461E-2</v>
      </c>
      <c r="BL26">
        <f>BK26/SQRT(3)</f>
        <v>1.0676953790682068E-2</v>
      </c>
      <c r="BM26" s="19">
        <v>7.1018572244861184</v>
      </c>
      <c r="BN26" s="19">
        <v>8.3702373997693602</v>
      </c>
      <c r="BO26">
        <f>BN26/SQRT(3)</f>
        <v>4.8325588159379134</v>
      </c>
      <c r="BP26" s="19">
        <v>1.9087467230878907</v>
      </c>
      <c r="BQ26" s="19">
        <v>1.5774055494841674</v>
      </c>
      <c r="BR26">
        <f>BQ26/SQRT(3)</f>
        <v>0.91071551861589373</v>
      </c>
      <c r="BS26" s="19">
        <v>4.1723455235750615</v>
      </c>
      <c r="BT26" s="19">
        <v>3.2028475567264953</v>
      </c>
      <c r="BU26">
        <f>BT26/SQRT(3)</f>
        <v>1.8491648990493774</v>
      </c>
    </row>
    <row r="27" spans="1:73">
      <c r="A27" s="38" t="s">
        <v>72</v>
      </c>
      <c r="B27" s="41" t="s">
        <v>258</v>
      </c>
      <c r="C27" s="38">
        <v>3</v>
      </c>
      <c r="D27" s="38">
        <v>26</v>
      </c>
      <c r="E27" s="44">
        <v>0</v>
      </c>
      <c r="F27" s="24">
        <v>0</v>
      </c>
      <c r="G27" s="24">
        <v>0</v>
      </c>
      <c r="H27" s="47">
        <f t="shared" si="1"/>
        <v>0</v>
      </c>
      <c r="I27" s="24">
        <v>0</v>
      </c>
      <c r="J27" s="24">
        <v>0</v>
      </c>
      <c r="K27" s="24">
        <v>0</v>
      </c>
      <c r="L27" s="47">
        <f t="shared" si="13"/>
        <v>0</v>
      </c>
      <c r="M27" s="24">
        <v>0</v>
      </c>
      <c r="N27" s="24">
        <v>0</v>
      </c>
      <c r="O27" s="24">
        <v>0</v>
      </c>
      <c r="P27" s="7">
        <v>80.2971</v>
      </c>
      <c r="Q27" s="7">
        <v>685.546875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>
        <f t="shared" si="2"/>
        <v>765.843975</v>
      </c>
      <c r="AF27">
        <f t="shared" si="3"/>
        <v>0</v>
      </c>
      <c r="AG27">
        <f t="shared" si="4"/>
        <v>0</v>
      </c>
      <c r="AH27">
        <f t="shared" si="5"/>
        <v>0</v>
      </c>
      <c r="AI27">
        <f t="shared" si="6"/>
        <v>685.546875</v>
      </c>
      <c r="AJ27">
        <f t="shared" si="7"/>
        <v>0</v>
      </c>
      <c r="AK27">
        <f t="shared" si="8"/>
        <v>80.2971</v>
      </c>
      <c r="AL27">
        <f t="shared" si="9"/>
        <v>0</v>
      </c>
      <c r="AM27">
        <f t="shared" si="10"/>
        <v>6.6914250000000002E-4</v>
      </c>
      <c r="BF27" t="s">
        <v>93</v>
      </c>
      <c r="BG27" s="22">
        <v>5.2583131249999999</v>
      </c>
      <c r="BH27" s="22">
        <v>2.5933302648884382</v>
      </c>
      <c r="BI27">
        <f t="shared" ref="BI27:BI28" si="15">BH27/SQRT(3)</f>
        <v>1.4972599265309434</v>
      </c>
      <c r="BJ27" s="22">
        <v>4.4311149808151321E-3</v>
      </c>
      <c r="BK27" s="22">
        <v>7.6749162809514005E-3</v>
      </c>
      <c r="BL27">
        <f t="shared" ref="BL27:BL28" si="16">BK27/SQRT(3)</f>
        <v>4.431114980815133E-3</v>
      </c>
      <c r="BM27" s="22">
        <v>0.99663310185185183</v>
      </c>
      <c r="BN27" s="22">
        <v>1.2231710872439325</v>
      </c>
      <c r="BO27">
        <f t="shared" ref="BO27:BO28" si="17">BN27/SQRT(3)</f>
        <v>0.70619815648525175</v>
      </c>
      <c r="BP27" s="22">
        <v>1.165460763888889</v>
      </c>
      <c r="BQ27" s="22">
        <v>1.3488885022813166</v>
      </c>
      <c r="BR27">
        <f t="shared" ref="BR27:BR28" si="18">BQ27/SQRT(3)</f>
        <v>0.77878113989890929</v>
      </c>
      <c r="BS27" s="22">
        <v>1.7508793473060946</v>
      </c>
      <c r="BT27" s="22">
        <v>1.9498853437322483</v>
      </c>
      <c r="BU27">
        <f t="shared" ref="BU27:BU28" si="19">BT27/SQRT(3)</f>
        <v>1.1257668280927196</v>
      </c>
    </row>
    <row r="28" spans="1:73">
      <c r="A28" s="38" t="s">
        <v>72</v>
      </c>
      <c r="B28" s="41" t="s">
        <v>258</v>
      </c>
      <c r="C28" s="38">
        <v>4</v>
      </c>
      <c r="D28" s="38">
        <v>27</v>
      </c>
      <c r="E28" s="44">
        <v>0</v>
      </c>
      <c r="F28" s="24">
        <v>0</v>
      </c>
      <c r="G28" s="24">
        <v>0</v>
      </c>
      <c r="H28" s="47">
        <f t="shared" si="1"/>
        <v>0</v>
      </c>
      <c r="I28" s="24">
        <v>0</v>
      </c>
      <c r="J28" s="24">
        <v>0</v>
      </c>
      <c r="K28" s="24">
        <v>0</v>
      </c>
      <c r="L28" s="47">
        <f t="shared" si="13"/>
        <v>0</v>
      </c>
      <c r="M28" s="24">
        <v>0</v>
      </c>
      <c r="N28" s="24">
        <v>0</v>
      </c>
      <c r="O28" s="24">
        <v>0</v>
      </c>
      <c r="P28" s="7">
        <v>1121.2499999999998</v>
      </c>
      <c r="Q28" s="7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7">
        <v>51.803045807752774</v>
      </c>
      <c r="AB28" s="7">
        <v>51.803045807752774</v>
      </c>
      <c r="AC28" s="24">
        <v>0</v>
      </c>
      <c r="AD28" s="24">
        <v>0</v>
      </c>
      <c r="AE28" s="15">
        <f t="shared" si="2"/>
        <v>1121.2499999999998</v>
      </c>
      <c r="AF28" s="15">
        <f t="shared" si="3"/>
        <v>0</v>
      </c>
      <c r="AG28">
        <f t="shared" si="4"/>
        <v>0</v>
      </c>
      <c r="AH28">
        <f t="shared" si="5"/>
        <v>0</v>
      </c>
      <c r="AI28">
        <f t="shared" si="6"/>
        <v>0</v>
      </c>
      <c r="AJ28">
        <f t="shared" si="7"/>
        <v>0</v>
      </c>
      <c r="AK28">
        <f t="shared" si="8"/>
        <v>1121.2499999999998</v>
      </c>
      <c r="AL28">
        <f t="shared" si="9"/>
        <v>0</v>
      </c>
      <c r="AM28">
        <f t="shared" si="10"/>
        <v>9.3437499999999996E-3</v>
      </c>
      <c r="BF28" t="s">
        <v>94</v>
      </c>
      <c r="BG28" s="22">
        <v>17.312985302579364</v>
      </c>
      <c r="BH28" s="22">
        <v>4.7707038644269923</v>
      </c>
      <c r="BI28">
        <f t="shared" si="15"/>
        <v>2.7543671603509119</v>
      </c>
      <c r="BJ28" s="22">
        <v>10.438982239052654</v>
      </c>
      <c r="BK28" s="22">
        <v>7.9779970046831634</v>
      </c>
      <c r="BL28">
        <f t="shared" si="16"/>
        <v>4.6060987182478526</v>
      </c>
      <c r="BM28" s="22">
        <v>16.26566468248032</v>
      </c>
      <c r="BN28" s="22">
        <v>17.094234849224488</v>
      </c>
      <c r="BO28">
        <f t="shared" si="17"/>
        <v>9.8693610917904415</v>
      </c>
      <c r="BP28" s="22">
        <v>8.642240178555058</v>
      </c>
      <c r="BQ28" s="22">
        <v>3.393272516311725</v>
      </c>
      <c r="BR28">
        <f t="shared" si="18"/>
        <v>1.9591068007263333</v>
      </c>
      <c r="BS28" s="22">
        <v>5.0430874886486921</v>
      </c>
      <c r="BT28" s="22">
        <v>3.6432945103705108</v>
      </c>
      <c r="BU28">
        <f t="shared" si="19"/>
        <v>2.1034570662995002</v>
      </c>
    </row>
    <row r="29" spans="1:73">
      <c r="A29" s="38" t="s">
        <v>72</v>
      </c>
      <c r="B29" s="38" t="s">
        <v>257</v>
      </c>
      <c r="C29" s="38">
        <v>1</v>
      </c>
      <c r="D29" s="41">
        <v>28</v>
      </c>
      <c r="E29" s="42">
        <v>0</v>
      </c>
      <c r="F29" s="43">
        <v>0</v>
      </c>
      <c r="G29" s="43">
        <v>0</v>
      </c>
      <c r="H29" s="48">
        <f t="shared" si="1"/>
        <v>0</v>
      </c>
      <c r="I29" s="43">
        <v>0</v>
      </c>
      <c r="J29" s="43">
        <v>0</v>
      </c>
      <c r="K29" s="43">
        <v>0</v>
      </c>
      <c r="L29" s="47">
        <f t="shared" si="13"/>
        <v>0</v>
      </c>
      <c r="M29" s="43">
        <v>0</v>
      </c>
      <c r="N29" s="43">
        <v>0</v>
      </c>
      <c r="O29" s="43">
        <v>0</v>
      </c>
      <c r="P29" s="43">
        <v>386.85464999999999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323.3235356776064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>
        <f t="shared" si="2"/>
        <v>710.17818567760639</v>
      </c>
      <c r="AF29">
        <f t="shared" si="3"/>
        <v>0</v>
      </c>
      <c r="AG29">
        <f t="shared" si="4"/>
        <v>0</v>
      </c>
      <c r="AH29">
        <f t="shared" si="5"/>
        <v>0</v>
      </c>
      <c r="AI29">
        <f t="shared" si="6"/>
        <v>323.3235356776064</v>
      </c>
      <c r="AJ29">
        <f t="shared" si="7"/>
        <v>0</v>
      </c>
      <c r="AK29">
        <f t="shared" si="8"/>
        <v>386.85464999999999</v>
      </c>
      <c r="AL29">
        <f t="shared" si="9"/>
        <v>0</v>
      </c>
      <c r="AM29">
        <f t="shared" si="10"/>
        <v>3.2237887499999996E-3</v>
      </c>
    </row>
    <row r="30" spans="1:73">
      <c r="A30" s="38" t="s">
        <v>72</v>
      </c>
      <c r="B30" s="38" t="s">
        <v>257</v>
      </c>
      <c r="C30" s="38">
        <v>2</v>
      </c>
      <c r="D30" s="38">
        <v>29</v>
      </c>
      <c r="E30" s="44">
        <v>0</v>
      </c>
      <c r="F30" s="7">
        <v>113.0828125</v>
      </c>
      <c r="G30" s="7">
        <v>113.0828125</v>
      </c>
      <c r="H30" s="47">
        <f t="shared" si="1"/>
        <v>0</v>
      </c>
      <c r="I30" s="24">
        <v>0</v>
      </c>
      <c r="J30" s="7">
        <v>282.53968750000001</v>
      </c>
      <c r="K30" s="7">
        <v>0</v>
      </c>
      <c r="L30" s="47">
        <f t="shared" si="13"/>
        <v>282.53968750000001</v>
      </c>
      <c r="M30" s="24">
        <v>0</v>
      </c>
      <c r="N30" s="24">
        <v>0</v>
      </c>
      <c r="O30" s="24">
        <v>0</v>
      </c>
      <c r="P30" s="7">
        <v>408.03749999999997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7">
        <v>9.5712083585606855</v>
      </c>
      <c r="W30" s="24">
        <v>0</v>
      </c>
      <c r="X30" s="7">
        <v>399.96060253377652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7">
        <v>395.6225</v>
      </c>
      <c r="AE30">
        <f t="shared" si="2"/>
        <v>921.08091503377648</v>
      </c>
      <c r="AF30">
        <f t="shared" si="3"/>
        <v>292.1108958585607</v>
      </c>
      <c r="AG30">
        <f t="shared" si="4"/>
        <v>113.0828125</v>
      </c>
      <c r="AH30">
        <f t="shared" si="5"/>
        <v>282.53968750000001</v>
      </c>
      <c r="AI30">
        <f t="shared" si="6"/>
        <v>399.96060253377652</v>
      </c>
      <c r="AJ30">
        <f t="shared" si="7"/>
        <v>9.5712083585606855</v>
      </c>
      <c r="AK30">
        <f t="shared" si="8"/>
        <v>408.03749999999997</v>
      </c>
      <c r="AL30">
        <f t="shared" si="9"/>
        <v>7.9760069654672379E-5</v>
      </c>
      <c r="AM30">
        <f t="shared" si="10"/>
        <v>6.6971666666666664E-3</v>
      </c>
    </row>
    <row r="31" spans="1:73">
      <c r="A31" s="38" t="s">
        <v>72</v>
      </c>
      <c r="B31" s="38" t="s">
        <v>257</v>
      </c>
      <c r="C31" s="38">
        <v>3</v>
      </c>
      <c r="D31" s="38">
        <v>30</v>
      </c>
      <c r="E31" s="44">
        <v>0</v>
      </c>
      <c r="F31" s="7">
        <v>0</v>
      </c>
      <c r="G31" s="24">
        <v>0</v>
      </c>
      <c r="H31" s="47">
        <f t="shared" si="1"/>
        <v>0</v>
      </c>
      <c r="I31" s="24">
        <v>0</v>
      </c>
      <c r="J31" s="24">
        <v>0</v>
      </c>
      <c r="K31" s="24">
        <v>0</v>
      </c>
      <c r="L31" s="47">
        <f t="shared" si="13"/>
        <v>0</v>
      </c>
      <c r="M31" s="24">
        <v>0</v>
      </c>
      <c r="N31" s="7">
        <v>12.373223770999775</v>
      </c>
      <c r="O31" s="24">
        <v>0</v>
      </c>
      <c r="P31" s="7">
        <v>83.606250000000003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7">
        <v>2.6970616288786107</v>
      </c>
      <c r="X31" s="7">
        <v>0</v>
      </c>
      <c r="Y31" s="24">
        <v>0</v>
      </c>
      <c r="Z31" s="24">
        <v>0</v>
      </c>
      <c r="AA31" s="24">
        <v>0</v>
      </c>
      <c r="AB31" s="7">
        <v>12.373223770999775</v>
      </c>
      <c r="AC31" s="7">
        <v>2.6970616288786107</v>
      </c>
      <c r="AD31" s="7">
        <v>0</v>
      </c>
      <c r="AE31">
        <f t="shared" si="2"/>
        <v>83.606250000000003</v>
      </c>
      <c r="AF31">
        <f t="shared" si="3"/>
        <v>2.6970616288786107</v>
      </c>
      <c r="AG31">
        <f t="shared" si="4"/>
        <v>0</v>
      </c>
      <c r="AH31">
        <f t="shared" si="5"/>
        <v>0</v>
      </c>
      <c r="AI31">
        <f t="shared" si="6"/>
        <v>0</v>
      </c>
      <c r="AJ31">
        <f t="shared" si="7"/>
        <v>0</v>
      </c>
      <c r="AK31">
        <f t="shared" si="8"/>
        <v>83.606250000000003</v>
      </c>
      <c r="AL31">
        <f t="shared" si="9"/>
        <v>2.2475513573988425E-5</v>
      </c>
      <c r="AM31">
        <f t="shared" si="10"/>
        <v>6.9671875000000007E-4</v>
      </c>
    </row>
    <row r="32" spans="1:73">
      <c r="A32" s="38" t="s">
        <v>72</v>
      </c>
      <c r="B32" s="38" t="s">
        <v>257</v>
      </c>
      <c r="C32" s="38">
        <v>4</v>
      </c>
      <c r="D32" s="38">
        <v>31</v>
      </c>
      <c r="E32" s="44">
        <v>0</v>
      </c>
      <c r="F32" s="7">
        <v>41.2109375</v>
      </c>
      <c r="G32" s="7">
        <v>0</v>
      </c>
      <c r="H32" s="47">
        <f t="shared" si="1"/>
        <v>41.2109375</v>
      </c>
      <c r="I32" s="24">
        <v>0</v>
      </c>
      <c r="J32" s="7">
        <v>501.76000000000005</v>
      </c>
      <c r="K32" s="7">
        <v>0</v>
      </c>
      <c r="L32" s="47">
        <f t="shared" si="13"/>
        <v>501.76000000000005</v>
      </c>
      <c r="M32" s="24">
        <v>0</v>
      </c>
      <c r="N32" s="24">
        <v>0</v>
      </c>
      <c r="O32" s="24">
        <v>0</v>
      </c>
      <c r="P32" s="7">
        <v>532.59375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7">
        <v>4.9945585719974277</v>
      </c>
      <c r="AA32" s="24">
        <v>0</v>
      </c>
      <c r="AB32" s="24">
        <v>0</v>
      </c>
      <c r="AC32" s="7">
        <v>4.9945585719974277</v>
      </c>
      <c r="AD32" s="7">
        <v>542.97093749999999</v>
      </c>
      <c r="AE32">
        <f t="shared" si="2"/>
        <v>532.59375</v>
      </c>
      <c r="AF32">
        <f t="shared" si="3"/>
        <v>547.96549607199745</v>
      </c>
      <c r="AG32">
        <f t="shared" si="4"/>
        <v>0</v>
      </c>
      <c r="AH32">
        <f t="shared" si="5"/>
        <v>542.97093749999999</v>
      </c>
      <c r="AI32">
        <f t="shared" si="6"/>
        <v>0</v>
      </c>
      <c r="AJ32">
        <f t="shared" si="7"/>
        <v>0</v>
      </c>
      <c r="AK32">
        <f t="shared" si="8"/>
        <v>532.59375</v>
      </c>
      <c r="AL32">
        <f t="shared" si="9"/>
        <v>4.1621321433311893E-5</v>
      </c>
      <c r="AM32">
        <f t="shared" si="10"/>
        <v>8.9630390625000007E-3</v>
      </c>
    </row>
    <row r="33" spans="1:60">
      <c r="A33" s="38" t="s">
        <v>72</v>
      </c>
      <c r="B33" s="38" t="s">
        <v>257</v>
      </c>
      <c r="C33" s="38">
        <v>5</v>
      </c>
      <c r="D33" s="41">
        <v>32</v>
      </c>
      <c r="E33" s="44">
        <v>0</v>
      </c>
      <c r="F33" s="7">
        <v>1132.8062500000001</v>
      </c>
      <c r="G33" s="7">
        <v>226.16562500000001</v>
      </c>
      <c r="H33" s="47">
        <f t="shared" si="1"/>
        <v>906.64062500000011</v>
      </c>
      <c r="I33" s="24">
        <v>0</v>
      </c>
      <c r="J33" s="7">
        <v>6.0025000000000004</v>
      </c>
      <c r="K33" s="7">
        <v>0</v>
      </c>
      <c r="L33" s="47">
        <f t="shared" si="13"/>
        <v>6.0025000000000004</v>
      </c>
      <c r="M33" s="24">
        <v>0</v>
      </c>
      <c r="N33" s="24">
        <v>0</v>
      </c>
      <c r="O33" s="24">
        <v>0</v>
      </c>
      <c r="P33" s="7">
        <v>122.0622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7">
        <v>1138.8087500000001</v>
      </c>
      <c r="AE33">
        <f t="shared" si="2"/>
        <v>348.227825</v>
      </c>
      <c r="AF33">
        <f t="shared" si="3"/>
        <v>912.64312500000017</v>
      </c>
      <c r="AG33">
        <f t="shared" si="4"/>
        <v>226.16562500000001</v>
      </c>
      <c r="AH33">
        <f t="shared" si="5"/>
        <v>912.64312500000017</v>
      </c>
      <c r="AI33">
        <f t="shared" si="6"/>
        <v>0</v>
      </c>
      <c r="AJ33">
        <f t="shared" si="7"/>
        <v>0</v>
      </c>
      <c r="AK33">
        <f t="shared" si="8"/>
        <v>122.0622</v>
      </c>
      <c r="AL33">
        <f t="shared" si="9"/>
        <v>0</v>
      </c>
      <c r="AM33">
        <f t="shared" si="10"/>
        <v>1.0507257916666669E-2</v>
      </c>
    </row>
    <row r="34" spans="1:60">
      <c r="A34" s="38" t="s">
        <v>72</v>
      </c>
      <c r="B34" s="38" t="s">
        <v>257</v>
      </c>
      <c r="C34" s="38">
        <v>6</v>
      </c>
      <c r="D34" s="38">
        <v>33</v>
      </c>
      <c r="E34" s="44">
        <v>0</v>
      </c>
      <c r="F34" s="7">
        <v>277.92656249999999</v>
      </c>
      <c r="G34" s="7">
        <v>113.0828125</v>
      </c>
      <c r="H34" s="47">
        <f t="shared" si="1"/>
        <v>164.84375</v>
      </c>
      <c r="I34" s="24">
        <v>0</v>
      </c>
      <c r="J34" s="24">
        <v>0</v>
      </c>
      <c r="K34" s="24">
        <v>0</v>
      </c>
      <c r="L34" s="47">
        <f t="shared" si="13"/>
        <v>0</v>
      </c>
      <c r="M34" s="24">
        <v>0</v>
      </c>
      <c r="N34" s="24">
        <v>0</v>
      </c>
      <c r="O34" s="24">
        <v>0</v>
      </c>
      <c r="P34" s="7">
        <v>219.53489999999999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7">
        <v>277.92656249999999</v>
      </c>
      <c r="AE34" s="15">
        <f t="shared" si="2"/>
        <v>332.61771249999998</v>
      </c>
      <c r="AF34" s="15">
        <f t="shared" ref="AF34:AF55" si="20">AC34+V34+T34+L34+H34</f>
        <v>164.84375</v>
      </c>
      <c r="AG34">
        <f t="shared" si="4"/>
        <v>113.0828125</v>
      </c>
      <c r="AH34">
        <f t="shared" si="5"/>
        <v>164.84375</v>
      </c>
      <c r="AI34">
        <f t="shared" si="6"/>
        <v>0</v>
      </c>
      <c r="AJ34">
        <f t="shared" si="7"/>
        <v>0</v>
      </c>
      <c r="AK34">
        <f t="shared" si="8"/>
        <v>219.53489999999999</v>
      </c>
      <c r="AL34">
        <f t="shared" si="9"/>
        <v>0</v>
      </c>
      <c r="AM34">
        <f t="shared" si="10"/>
        <v>4.1455121875000004E-3</v>
      </c>
    </row>
    <row r="35" spans="1:60">
      <c r="A35" s="38" t="s">
        <v>73</v>
      </c>
      <c r="B35" s="38" t="s">
        <v>259</v>
      </c>
      <c r="C35" s="38">
        <v>1</v>
      </c>
      <c r="D35" s="38">
        <v>34</v>
      </c>
      <c r="E35" s="42">
        <v>0</v>
      </c>
      <c r="F35" s="43">
        <v>0</v>
      </c>
      <c r="G35" s="43">
        <v>0</v>
      </c>
      <c r="H35" s="48">
        <f t="shared" si="1"/>
        <v>0</v>
      </c>
      <c r="I35" s="43">
        <v>0</v>
      </c>
      <c r="J35" s="43">
        <v>0</v>
      </c>
      <c r="K35" s="43">
        <v>0</v>
      </c>
      <c r="L35" s="48">
        <f t="shared" si="13"/>
        <v>0</v>
      </c>
      <c r="M35" s="43">
        <v>0</v>
      </c>
      <c r="N35" s="43">
        <v>0</v>
      </c>
      <c r="O35" s="43">
        <v>0</v>
      </c>
      <c r="P35" s="43">
        <v>2054.4693000000002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83.831187519855675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>
        <f t="shared" si="2"/>
        <v>2138.3004875198558</v>
      </c>
      <c r="AF35">
        <f t="shared" si="20"/>
        <v>0</v>
      </c>
      <c r="AG35">
        <f t="shared" si="4"/>
        <v>0</v>
      </c>
      <c r="AH35">
        <f t="shared" si="5"/>
        <v>0</v>
      </c>
      <c r="AI35">
        <f t="shared" si="6"/>
        <v>83.831187519855675</v>
      </c>
      <c r="AJ35">
        <f t="shared" si="7"/>
        <v>0</v>
      </c>
      <c r="AK35">
        <f t="shared" si="8"/>
        <v>2054.4693000000002</v>
      </c>
      <c r="AL35">
        <f t="shared" si="9"/>
        <v>0</v>
      </c>
      <c r="AM35">
        <f t="shared" si="10"/>
        <v>1.7120577500000001E-2</v>
      </c>
    </row>
    <row r="36" spans="1:60">
      <c r="A36" s="38" t="s">
        <v>73</v>
      </c>
      <c r="B36" s="38" t="s">
        <v>259</v>
      </c>
      <c r="C36" s="38">
        <v>2</v>
      </c>
      <c r="D36" s="38">
        <v>35</v>
      </c>
      <c r="E36" s="44">
        <v>0</v>
      </c>
      <c r="F36" s="7">
        <v>6592.1015625</v>
      </c>
      <c r="G36" s="7">
        <v>3500.0442625000001</v>
      </c>
      <c r="H36" s="47">
        <f t="shared" si="1"/>
        <v>3092.0572999999999</v>
      </c>
      <c r="I36" s="24">
        <v>0</v>
      </c>
      <c r="J36" s="7">
        <v>5.6000000000000005</v>
      </c>
      <c r="K36" s="7">
        <v>0</v>
      </c>
      <c r="L36" s="47">
        <f t="shared" si="13"/>
        <v>5.6000000000000005</v>
      </c>
      <c r="M36" s="24">
        <v>0</v>
      </c>
      <c r="N36" s="24">
        <v>0</v>
      </c>
      <c r="O36" s="24">
        <v>0</v>
      </c>
      <c r="P36" s="7">
        <v>2180.8312500000002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7">
        <v>9891.7969414807721</v>
      </c>
      <c r="W36" s="24">
        <v>0</v>
      </c>
      <c r="X36" s="24">
        <v>0</v>
      </c>
      <c r="Y36" s="24">
        <v>0</v>
      </c>
      <c r="Z36" s="7">
        <v>9.0163251304029597</v>
      </c>
      <c r="AA36" s="24">
        <v>0</v>
      </c>
      <c r="AB36" s="24">
        <v>0</v>
      </c>
      <c r="AC36" s="7">
        <v>9.0163251304029597</v>
      </c>
      <c r="AD36" s="7">
        <v>6597.7015625000004</v>
      </c>
      <c r="AE36">
        <f t="shared" si="2"/>
        <v>5680.8755125000007</v>
      </c>
      <c r="AF36">
        <f t="shared" si="20"/>
        <v>12998.470566611177</v>
      </c>
      <c r="AG36">
        <f t="shared" si="4"/>
        <v>3500.0442625000001</v>
      </c>
      <c r="AH36">
        <f t="shared" si="5"/>
        <v>3097.6572999999999</v>
      </c>
      <c r="AI36">
        <f t="shared" si="6"/>
        <v>0</v>
      </c>
      <c r="AJ36">
        <f t="shared" si="7"/>
        <v>9891.7969414807721</v>
      </c>
      <c r="AK36">
        <f t="shared" si="8"/>
        <v>2180.8312500000002</v>
      </c>
      <c r="AL36">
        <f t="shared" si="9"/>
        <v>8.2506777221759794E-2</v>
      </c>
      <c r="AM36">
        <f t="shared" si="10"/>
        <v>7.3154440104166676E-2</v>
      </c>
    </row>
    <row r="37" spans="1:60">
      <c r="A37" s="38" t="s">
        <v>73</v>
      </c>
      <c r="B37" s="38" t="s">
        <v>259</v>
      </c>
      <c r="C37" s="38">
        <v>3</v>
      </c>
      <c r="D37" s="41">
        <v>36</v>
      </c>
      <c r="E37" s="44">
        <v>0</v>
      </c>
      <c r="F37" s="7">
        <v>6340.8796874999998</v>
      </c>
      <c r="G37" s="7">
        <v>2096.1531250000003</v>
      </c>
      <c r="H37" s="47">
        <f t="shared" si="1"/>
        <v>4244.7265625</v>
      </c>
      <c r="I37" s="24">
        <v>0</v>
      </c>
      <c r="J37" s="7">
        <v>3.3600000000000003</v>
      </c>
      <c r="K37" s="7">
        <v>0</v>
      </c>
      <c r="L37" s="47">
        <f t="shared" si="13"/>
        <v>3.3600000000000003</v>
      </c>
      <c r="M37" s="24">
        <v>0</v>
      </c>
      <c r="N37" s="24">
        <v>0</v>
      </c>
      <c r="O37" s="24">
        <v>0</v>
      </c>
      <c r="P37" s="7">
        <v>1147.0875000000001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7">
        <v>1275.5755960928645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7">
        <v>6344.2396874999995</v>
      </c>
      <c r="AE37">
        <f t="shared" si="2"/>
        <v>3243.2406250000004</v>
      </c>
      <c r="AF37">
        <f t="shared" si="20"/>
        <v>5523.6621585928642</v>
      </c>
      <c r="AG37">
        <f t="shared" si="4"/>
        <v>2096.1531250000003</v>
      </c>
      <c r="AH37">
        <f t="shared" si="5"/>
        <v>4248.0865624999997</v>
      </c>
      <c r="AI37">
        <f t="shared" si="6"/>
        <v>0</v>
      </c>
      <c r="AJ37">
        <f t="shared" si="7"/>
        <v>1275.5755960928645</v>
      </c>
      <c r="AK37">
        <f t="shared" si="8"/>
        <v>1147.0875000000001</v>
      </c>
      <c r="AL37">
        <f t="shared" si="9"/>
        <v>1.0629796634107205E-2</v>
      </c>
      <c r="AM37">
        <f t="shared" si="10"/>
        <v>6.2427726562499987E-2</v>
      </c>
    </row>
    <row r="38" spans="1:60">
      <c r="A38" s="38" t="s">
        <v>73</v>
      </c>
      <c r="B38" s="38" t="s">
        <v>259</v>
      </c>
      <c r="C38" s="38">
        <v>4</v>
      </c>
      <c r="D38" s="38">
        <v>37</v>
      </c>
      <c r="E38" s="44">
        <v>0</v>
      </c>
      <c r="F38" s="7">
        <v>394.63593749999995</v>
      </c>
      <c r="G38" s="7">
        <v>353.42500000000001</v>
      </c>
      <c r="H38" s="47">
        <f t="shared" si="1"/>
        <v>41.210937499999943</v>
      </c>
      <c r="I38" s="24">
        <v>0</v>
      </c>
      <c r="J38" s="7">
        <v>662.8146875000001</v>
      </c>
      <c r="K38" s="7">
        <v>600.74218750000011</v>
      </c>
      <c r="L38" s="47">
        <f t="shared" si="13"/>
        <v>62.072499999999991</v>
      </c>
      <c r="M38" s="24">
        <v>0</v>
      </c>
      <c r="N38" s="24">
        <v>0</v>
      </c>
      <c r="O38" s="24">
        <v>0</v>
      </c>
      <c r="P38" s="7">
        <v>4263.5794499999993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7">
        <v>2395.0295887211205</v>
      </c>
      <c r="W38" s="24">
        <v>0</v>
      </c>
      <c r="X38" s="24">
        <v>0</v>
      </c>
      <c r="Y38" s="24">
        <v>0</v>
      </c>
      <c r="Z38" s="7">
        <v>1.0286826803532687</v>
      </c>
      <c r="AA38" s="24">
        <v>0</v>
      </c>
      <c r="AB38" s="24">
        <v>0</v>
      </c>
      <c r="AC38" s="7">
        <v>1.0286826803532687</v>
      </c>
      <c r="AD38" s="7">
        <v>1057.4506249999999</v>
      </c>
      <c r="AE38">
        <f t="shared" si="2"/>
        <v>5217.7466374999995</v>
      </c>
      <c r="AF38">
        <f t="shared" si="20"/>
        <v>2499.3417089014738</v>
      </c>
      <c r="AG38">
        <f t="shared" si="4"/>
        <v>954.16718750000018</v>
      </c>
      <c r="AH38">
        <f t="shared" si="5"/>
        <v>103.28343749999993</v>
      </c>
      <c r="AI38">
        <f t="shared" si="6"/>
        <v>0</v>
      </c>
      <c r="AJ38">
        <f t="shared" si="7"/>
        <v>2395.0295887211205</v>
      </c>
      <c r="AK38">
        <f t="shared" si="8"/>
        <v>4263.5794499999993</v>
      </c>
      <c r="AL38">
        <f t="shared" si="9"/>
        <v>1.9967152261678948E-2</v>
      </c>
      <c r="AM38">
        <f t="shared" si="10"/>
        <v>4.4341917291666658E-2</v>
      </c>
    </row>
    <row r="39" spans="1:60">
      <c r="A39" s="38" t="s">
        <v>73</v>
      </c>
      <c r="B39" s="38" t="s">
        <v>259</v>
      </c>
      <c r="C39" s="38">
        <v>5</v>
      </c>
      <c r="D39" s="38">
        <v>38</v>
      </c>
      <c r="E39" s="44">
        <v>0</v>
      </c>
      <c r="F39" s="7">
        <v>528.81875000000002</v>
      </c>
      <c r="G39" s="7">
        <v>240.34218749999999</v>
      </c>
      <c r="H39" s="47">
        <f t="shared" si="1"/>
        <v>288.4765625</v>
      </c>
      <c r="I39" s="24">
        <v>0</v>
      </c>
      <c r="J39" s="7">
        <v>51.572500000000005</v>
      </c>
      <c r="K39" s="7">
        <v>0</v>
      </c>
      <c r="L39" s="47">
        <f t="shared" si="13"/>
        <v>51.572500000000005</v>
      </c>
      <c r="M39" s="24">
        <v>0</v>
      </c>
      <c r="N39" s="24">
        <v>0</v>
      </c>
      <c r="O39" s="24">
        <v>0</v>
      </c>
      <c r="P39" s="7">
        <v>1028.4261000000001</v>
      </c>
      <c r="Q39" s="24">
        <v>0</v>
      </c>
      <c r="R39" s="7">
        <v>1107.1802407315226</v>
      </c>
      <c r="S39" s="7">
        <v>1098.4028866902954</v>
      </c>
      <c r="T39" s="7">
        <f>R39-S39</f>
        <v>8.7773540412272268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7">
        <v>1.3939494225671596</v>
      </c>
      <c r="AA39" s="7">
        <v>4.4819649463912077</v>
      </c>
      <c r="AB39" s="7">
        <v>4.4819649463912077</v>
      </c>
      <c r="AC39" s="7">
        <v>1.3939494225671596</v>
      </c>
      <c r="AD39" s="7">
        <v>1687.5714907315228</v>
      </c>
      <c r="AE39">
        <f t="shared" si="2"/>
        <v>2367.1711741902955</v>
      </c>
      <c r="AF39">
        <f t="shared" si="20"/>
        <v>350.22036596379439</v>
      </c>
      <c r="AG39">
        <f t="shared" si="4"/>
        <v>1338.7450741902953</v>
      </c>
      <c r="AH39">
        <f t="shared" si="5"/>
        <v>348.82641654122722</v>
      </c>
      <c r="AI39">
        <f t="shared" si="6"/>
        <v>0</v>
      </c>
      <c r="AJ39">
        <f t="shared" si="7"/>
        <v>0</v>
      </c>
      <c r="AK39">
        <f t="shared" si="8"/>
        <v>1028.4261000000001</v>
      </c>
      <c r="AL39">
        <f t="shared" si="9"/>
        <v>1.1616245188059663E-5</v>
      </c>
      <c r="AM39">
        <f t="shared" si="10"/>
        <v>2.2633313256096025E-2</v>
      </c>
    </row>
    <row r="40" spans="1:60">
      <c r="A40" s="38" t="s">
        <v>73</v>
      </c>
      <c r="B40" s="38" t="s">
        <v>259</v>
      </c>
      <c r="C40" s="38">
        <v>6</v>
      </c>
      <c r="D40" s="38">
        <v>39</v>
      </c>
      <c r="E40" s="44">
        <v>0</v>
      </c>
      <c r="F40" s="7">
        <v>405.18593750000002</v>
      </c>
      <c r="G40" s="7">
        <v>240.34218749999999</v>
      </c>
      <c r="H40" s="47">
        <f t="shared" si="1"/>
        <v>164.84375000000003</v>
      </c>
      <c r="I40" s="24">
        <v>0</v>
      </c>
      <c r="J40" s="7">
        <v>27.352500000000003</v>
      </c>
      <c r="K40" s="7">
        <v>0</v>
      </c>
      <c r="L40" s="49">
        <f t="shared" si="13"/>
        <v>27.352500000000003</v>
      </c>
      <c r="M40" s="24">
        <v>0</v>
      </c>
      <c r="N40" s="24">
        <v>0</v>
      </c>
      <c r="O40" s="24">
        <v>0</v>
      </c>
      <c r="P40" s="7">
        <v>36.363599999999998</v>
      </c>
      <c r="Q40" s="7">
        <v>997.953125</v>
      </c>
      <c r="R40" s="7">
        <v>0</v>
      </c>
      <c r="S40" s="7">
        <v>0</v>
      </c>
      <c r="T40" s="7">
        <v>0</v>
      </c>
      <c r="U40" s="7">
        <v>442.61999999999995</v>
      </c>
      <c r="V40" s="24">
        <v>0</v>
      </c>
      <c r="W40" s="24">
        <v>0</v>
      </c>
      <c r="X40" s="24">
        <v>0</v>
      </c>
      <c r="Y40" s="24">
        <v>0</v>
      </c>
      <c r="Z40" s="7">
        <v>0.50079345774267114</v>
      </c>
      <c r="AA40" s="7">
        <v>0</v>
      </c>
      <c r="AB40" s="7">
        <v>442.61999999999995</v>
      </c>
      <c r="AC40" s="7">
        <v>0.50079345774267114</v>
      </c>
      <c r="AD40" s="7">
        <v>432.53843750000004</v>
      </c>
      <c r="AE40" s="15">
        <f t="shared" si="2"/>
        <v>1717.2789124999999</v>
      </c>
      <c r="AF40" s="15">
        <f t="shared" si="20"/>
        <v>192.69704345774269</v>
      </c>
      <c r="AG40">
        <f t="shared" si="4"/>
        <v>240.34218749999999</v>
      </c>
      <c r="AH40">
        <f t="shared" si="5"/>
        <v>192.19625000000002</v>
      </c>
      <c r="AI40">
        <f t="shared" si="6"/>
        <v>997.953125</v>
      </c>
      <c r="AJ40">
        <f t="shared" si="7"/>
        <v>0</v>
      </c>
      <c r="AK40">
        <f t="shared" si="8"/>
        <v>36.363599999999998</v>
      </c>
      <c r="AL40">
        <f t="shared" si="9"/>
        <v>4.1732788145222593E-6</v>
      </c>
      <c r="AM40">
        <f t="shared" si="10"/>
        <v>7.5960169791666667E-3</v>
      </c>
    </row>
    <row r="41" spans="1:60">
      <c r="A41" s="38" t="s">
        <v>73</v>
      </c>
      <c r="B41" s="38" t="s">
        <v>260</v>
      </c>
      <c r="C41" s="38">
        <v>1</v>
      </c>
      <c r="D41" s="41">
        <v>40</v>
      </c>
      <c r="E41" s="42">
        <v>0</v>
      </c>
      <c r="F41" s="43">
        <v>12015.790625</v>
      </c>
      <c r="G41" s="43">
        <v>7935.9078124999996</v>
      </c>
      <c r="H41" s="48">
        <f t="shared" si="1"/>
        <v>4079.8828125</v>
      </c>
      <c r="I41" s="43">
        <v>0</v>
      </c>
      <c r="J41" s="43">
        <v>0</v>
      </c>
      <c r="K41" s="43">
        <v>0</v>
      </c>
      <c r="L41" s="47">
        <f t="shared" si="13"/>
        <v>0</v>
      </c>
      <c r="M41" s="43">
        <v>0</v>
      </c>
      <c r="N41" s="43">
        <v>0</v>
      </c>
      <c r="O41" s="43">
        <v>0</v>
      </c>
      <c r="P41" s="43">
        <v>3716.7</v>
      </c>
      <c r="Q41" s="43">
        <v>2808</v>
      </c>
      <c r="R41" s="43">
        <v>8.8535261319409582</v>
      </c>
      <c r="S41" s="43">
        <v>0</v>
      </c>
      <c r="T41" s="48">
        <f>R41-S41</f>
        <v>8.8535261319409582</v>
      </c>
      <c r="U41" s="43">
        <v>0</v>
      </c>
      <c r="V41" s="43">
        <v>798.34319624037357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12024.644151131941</v>
      </c>
      <c r="AE41">
        <f t="shared" si="2"/>
        <v>14460.607812499999</v>
      </c>
      <c r="AF41">
        <f t="shared" si="20"/>
        <v>4887.079534872315</v>
      </c>
      <c r="AG41">
        <f t="shared" si="4"/>
        <v>7935.9078124999996</v>
      </c>
      <c r="AH41">
        <f t="shared" si="5"/>
        <v>4088.7363386319412</v>
      </c>
      <c r="AI41">
        <f t="shared" si="6"/>
        <v>2808</v>
      </c>
      <c r="AJ41">
        <f t="shared" si="7"/>
        <v>798.34319624037357</v>
      </c>
      <c r="AK41">
        <f t="shared" si="8"/>
        <v>3716.7</v>
      </c>
      <c r="AL41">
        <f t="shared" si="9"/>
        <v>6.6528599686697795E-3</v>
      </c>
      <c r="AM41">
        <f t="shared" si="10"/>
        <v>0.13117786792609951</v>
      </c>
      <c r="AZ41" s="38"/>
      <c r="BA41" s="38"/>
      <c r="BB41" s="38"/>
      <c r="BD41" s="38"/>
      <c r="BE41" s="41"/>
      <c r="BF41" s="41"/>
      <c r="BG41" s="41"/>
      <c r="BH41" s="41"/>
    </row>
    <row r="42" spans="1:60">
      <c r="A42" s="38" t="s">
        <v>73</v>
      </c>
      <c r="B42" s="38" t="s">
        <v>260</v>
      </c>
      <c r="C42" s="38">
        <v>2</v>
      </c>
      <c r="D42" s="38">
        <v>41</v>
      </c>
      <c r="E42" s="44">
        <v>0</v>
      </c>
      <c r="F42" s="7">
        <v>5914.2640624999995</v>
      </c>
      <c r="G42" s="7">
        <v>4430.0109375000002</v>
      </c>
      <c r="H42" s="47">
        <f t="shared" si="1"/>
        <v>1484.2531249999993</v>
      </c>
      <c r="I42" s="24">
        <v>0</v>
      </c>
      <c r="J42" s="7">
        <v>925.09156250000012</v>
      </c>
      <c r="K42" s="7">
        <v>922.85156250000011</v>
      </c>
      <c r="L42" s="47">
        <f t="shared" si="13"/>
        <v>2.2400000000000091</v>
      </c>
      <c r="M42" s="24">
        <v>0</v>
      </c>
      <c r="N42" s="24">
        <v>0</v>
      </c>
      <c r="O42" s="24">
        <v>0</v>
      </c>
      <c r="P42" s="7">
        <v>4235.3044499999996</v>
      </c>
      <c r="Q42" s="24">
        <v>0</v>
      </c>
      <c r="R42" s="7">
        <v>4090.1906375672297</v>
      </c>
      <c r="S42" s="7">
        <v>2717.4851014709748</v>
      </c>
      <c r="T42" s="7">
        <f>R42-S42</f>
        <v>1372.7055360962549</v>
      </c>
      <c r="U42" s="7">
        <v>442.61999999999995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7">
        <v>442.61999999999995</v>
      </c>
      <c r="AC42" s="24">
        <v>0</v>
      </c>
      <c r="AD42" s="7">
        <v>10929.54626256723</v>
      </c>
      <c r="AE42">
        <f t="shared" si="2"/>
        <v>12748.272051470974</v>
      </c>
      <c r="AF42">
        <f t="shared" si="20"/>
        <v>2859.198661096254</v>
      </c>
      <c r="AG42">
        <f t="shared" si="4"/>
        <v>8070.347601470975</v>
      </c>
      <c r="AH42">
        <f t="shared" si="5"/>
        <v>2859.198661096254</v>
      </c>
      <c r="AI42">
        <f t="shared" si="6"/>
        <v>0</v>
      </c>
      <c r="AJ42">
        <f t="shared" si="7"/>
        <v>0</v>
      </c>
      <c r="AK42">
        <f t="shared" si="8"/>
        <v>4235.3044499999996</v>
      </c>
      <c r="AL42">
        <f t="shared" si="9"/>
        <v>0</v>
      </c>
      <c r="AM42">
        <f t="shared" si="10"/>
        <v>0.13006225593806026</v>
      </c>
      <c r="AZ42" s="38"/>
      <c r="BA42" s="38"/>
      <c r="BB42" s="19"/>
      <c r="BC42" s="19"/>
      <c r="BD42" s="47"/>
      <c r="BE42" s="47"/>
      <c r="BF42" s="47"/>
      <c r="BG42" s="19"/>
      <c r="BH42" s="19"/>
    </row>
    <row r="43" spans="1:60">
      <c r="A43" s="38" t="s">
        <v>73</v>
      </c>
      <c r="B43" s="38" t="s">
        <v>260</v>
      </c>
      <c r="C43" s="38">
        <v>3</v>
      </c>
      <c r="D43" s="38">
        <v>42</v>
      </c>
      <c r="E43" s="44">
        <v>0</v>
      </c>
      <c r="F43" s="7">
        <v>1032.58125</v>
      </c>
      <c r="G43" s="7">
        <v>1032.58125</v>
      </c>
      <c r="H43" s="47">
        <f t="shared" si="1"/>
        <v>0</v>
      </c>
      <c r="I43" s="24">
        <v>0</v>
      </c>
      <c r="J43" s="24">
        <v>0</v>
      </c>
      <c r="K43" s="24">
        <v>0</v>
      </c>
      <c r="L43" s="47">
        <f t="shared" si="13"/>
        <v>0</v>
      </c>
      <c r="M43" s="24">
        <v>0</v>
      </c>
      <c r="N43" s="24">
        <v>0</v>
      </c>
      <c r="O43" s="24">
        <v>0</v>
      </c>
      <c r="P43" s="7">
        <v>2591.7391499999999</v>
      </c>
      <c r="Q43" s="7">
        <v>3570.125</v>
      </c>
      <c r="R43" s="7">
        <v>0</v>
      </c>
      <c r="S43" s="7">
        <v>0</v>
      </c>
      <c r="T43" s="7">
        <v>0</v>
      </c>
      <c r="U43" s="7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7">
        <v>1032.58125</v>
      </c>
      <c r="AE43">
        <f t="shared" si="2"/>
        <v>7194.4453999999996</v>
      </c>
      <c r="AF43">
        <f t="shared" si="20"/>
        <v>0</v>
      </c>
      <c r="AG43">
        <f t="shared" si="4"/>
        <v>1032.58125</v>
      </c>
      <c r="AH43">
        <f t="shared" si="5"/>
        <v>0</v>
      </c>
      <c r="AI43">
        <f t="shared" si="6"/>
        <v>3570.125</v>
      </c>
      <c r="AJ43">
        <f t="shared" si="7"/>
        <v>0</v>
      </c>
      <c r="AK43">
        <f t="shared" si="8"/>
        <v>2591.7391499999999</v>
      </c>
      <c r="AL43">
        <f t="shared" si="9"/>
        <v>0</v>
      </c>
      <c r="AM43">
        <f t="shared" si="10"/>
        <v>3.0202669999999997E-2</v>
      </c>
      <c r="AZ43" s="38"/>
      <c r="BA43" s="38"/>
      <c r="BB43" s="22"/>
      <c r="BC43" s="22"/>
      <c r="BD43" s="47"/>
      <c r="BE43" s="47"/>
      <c r="BF43" s="47"/>
      <c r="BG43" s="22"/>
      <c r="BH43" s="22"/>
    </row>
    <row r="44" spans="1:60">
      <c r="A44" s="38" t="s">
        <v>73</v>
      </c>
      <c r="B44" s="38" t="s">
        <v>260</v>
      </c>
      <c r="C44" s="38">
        <v>4</v>
      </c>
      <c r="D44" s="38">
        <v>43</v>
      </c>
      <c r="E44" s="44">
        <v>0</v>
      </c>
      <c r="F44" s="7">
        <v>6996.6281249999993</v>
      </c>
      <c r="G44" s="7">
        <v>6912.8875000000007</v>
      </c>
      <c r="H44" s="47">
        <f t="shared" si="1"/>
        <v>83.740624999998545</v>
      </c>
      <c r="I44" s="24">
        <v>0</v>
      </c>
      <c r="J44" s="7">
        <v>2128.7634375000002</v>
      </c>
      <c r="K44" s="7">
        <v>2124.3359375000005</v>
      </c>
      <c r="L44" s="47">
        <f t="shared" si="13"/>
        <v>4.4274999999997817</v>
      </c>
      <c r="M44" s="24">
        <v>0</v>
      </c>
      <c r="N44" s="24">
        <v>0</v>
      </c>
      <c r="O44" s="24">
        <v>0</v>
      </c>
      <c r="P44" s="7">
        <v>2218.125</v>
      </c>
      <c r="Q44" s="7">
        <v>0</v>
      </c>
      <c r="R44" s="7">
        <v>74.468581379745785</v>
      </c>
      <c r="S44" s="7">
        <v>0</v>
      </c>
      <c r="T44" s="7">
        <f t="shared" ref="T44:T50" si="21">R44-S44</f>
        <v>74.468581379745785</v>
      </c>
      <c r="U44" s="7">
        <v>0</v>
      </c>
      <c r="V44" s="7">
        <v>6169.1974466499905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7">
        <v>9199.860143879745</v>
      </c>
      <c r="AE44">
        <f t="shared" si="2"/>
        <v>11255.348437500001</v>
      </c>
      <c r="AF44">
        <f t="shared" si="20"/>
        <v>6331.8341530297348</v>
      </c>
      <c r="AG44">
        <f t="shared" si="4"/>
        <v>9037.2234375000007</v>
      </c>
      <c r="AH44">
        <f t="shared" si="5"/>
        <v>162.63670637974411</v>
      </c>
      <c r="AI44">
        <f t="shared" si="6"/>
        <v>0</v>
      </c>
      <c r="AJ44">
        <f t="shared" si="7"/>
        <v>6169.1974466499905</v>
      </c>
      <c r="AK44">
        <f t="shared" si="8"/>
        <v>2218.125</v>
      </c>
      <c r="AL44">
        <f t="shared" si="9"/>
        <v>5.1409978722083256E-2</v>
      </c>
      <c r="AM44">
        <f t="shared" si="10"/>
        <v>9.5149876198997882E-2</v>
      </c>
      <c r="AZ44" s="38"/>
      <c r="BA44" s="38"/>
      <c r="BB44" s="22"/>
      <c r="BC44" s="22"/>
      <c r="BD44" s="47"/>
      <c r="BE44" s="47"/>
      <c r="BF44" s="47"/>
      <c r="BG44" s="22"/>
      <c r="BH44" s="22"/>
    </row>
    <row r="45" spans="1:60">
      <c r="A45" s="38" t="s">
        <v>73</v>
      </c>
      <c r="B45" s="38" t="s">
        <v>260</v>
      </c>
      <c r="C45" s="38">
        <v>5</v>
      </c>
      <c r="D45" s="41">
        <v>44</v>
      </c>
      <c r="E45" s="44">
        <v>0</v>
      </c>
      <c r="F45" s="7">
        <v>370.8984375</v>
      </c>
      <c r="G45" s="7">
        <v>0</v>
      </c>
      <c r="H45" s="47">
        <f t="shared" si="1"/>
        <v>370.8984375</v>
      </c>
      <c r="I45" s="24">
        <v>0</v>
      </c>
      <c r="J45" s="7">
        <v>11.515000000000001</v>
      </c>
      <c r="K45" s="7">
        <v>0</v>
      </c>
      <c r="L45" s="47">
        <f t="shared" si="13"/>
        <v>11.515000000000001</v>
      </c>
      <c r="M45" s="24">
        <v>0</v>
      </c>
      <c r="N45" s="24">
        <v>0</v>
      </c>
      <c r="O45" s="24">
        <v>0</v>
      </c>
      <c r="P45" s="7">
        <v>2995.2039</v>
      </c>
      <c r="Q45" s="7">
        <v>0</v>
      </c>
      <c r="R45" s="7">
        <v>2989.2344609433121</v>
      </c>
      <c r="S45" s="7">
        <v>2971.3886019282509</v>
      </c>
      <c r="T45" s="7">
        <f t="shared" si="21"/>
        <v>17.845859015061251</v>
      </c>
      <c r="U45" s="7">
        <v>0</v>
      </c>
      <c r="V45" s="7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7">
        <v>3371.647898443312</v>
      </c>
      <c r="AE45">
        <f t="shared" si="2"/>
        <v>5966.5925019282513</v>
      </c>
      <c r="AF45">
        <f t="shared" si="20"/>
        <v>400.25929651506124</v>
      </c>
      <c r="AG45">
        <f t="shared" si="4"/>
        <v>2971.3886019282509</v>
      </c>
      <c r="AH45">
        <f t="shared" si="5"/>
        <v>400.25929651506124</v>
      </c>
      <c r="AI45">
        <f t="shared" si="6"/>
        <v>0</v>
      </c>
      <c r="AJ45">
        <f t="shared" si="7"/>
        <v>0</v>
      </c>
      <c r="AK45">
        <f t="shared" si="8"/>
        <v>2995.2039</v>
      </c>
      <c r="AL45">
        <f t="shared" si="9"/>
        <v>0</v>
      </c>
      <c r="AM45">
        <f t="shared" si="10"/>
        <v>5.3057098320360936E-2</v>
      </c>
      <c r="AZ45" s="38"/>
      <c r="BA45" s="38"/>
      <c r="BB45" s="19"/>
      <c r="BC45" s="19"/>
      <c r="BD45" s="47"/>
      <c r="BE45" s="47"/>
      <c r="BF45" s="47"/>
      <c r="BG45" s="19"/>
      <c r="BH45" s="19"/>
    </row>
    <row r="46" spans="1:60">
      <c r="A46" s="38" t="s">
        <v>73</v>
      </c>
      <c r="B46" s="38" t="s">
        <v>260</v>
      </c>
      <c r="C46" s="38">
        <v>6</v>
      </c>
      <c r="D46" s="38">
        <v>45</v>
      </c>
      <c r="E46" s="44">
        <v>0</v>
      </c>
      <c r="F46" s="7">
        <v>865.4296875</v>
      </c>
      <c r="G46" s="7">
        <v>0</v>
      </c>
      <c r="H46" s="47">
        <f t="shared" si="1"/>
        <v>865.4296875</v>
      </c>
      <c r="I46" s="24">
        <v>0</v>
      </c>
      <c r="J46" s="7">
        <v>654.18718750000016</v>
      </c>
      <c r="K46" s="7">
        <v>600.74218750000011</v>
      </c>
      <c r="L46" s="47">
        <f t="shared" si="13"/>
        <v>53.44500000000005</v>
      </c>
      <c r="M46" s="24">
        <v>0</v>
      </c>
      <c r="N46" s="24">
        <v>0</v>
      </c>
      <c r="O46" s="24">
        <v>0</v>
      </c>
      <c r="P46" s="7">
        <v>2711.5198500000001</v>
      </c>
      <c r="Q46" s="7">
        <v>0</v>
      </c>
      <c r="R46" s="7">
        <v>0</v>
      </c>
      <c r="S46" s="7">
        <v>0</v>
      </c>
      <c r="T46" s="7">
        <f t="shared" si="21"/>
        <v>0</v>
      </c>
      <c r="U46" s="7">
        <v>0</v>
      </c>
      <c r="V46" s="7">
        <v>1029.269608781784</v>
      </c>
      <c r="W46" s="24">
        <v>0</v>
      </c>
      <c r="X46" s="24">
        <v>0</v>
      </c>
      <c r="Y46" s="24">
        <v>0</v>
      </c>
      <c r="Z46" s="7">
        <v>0.6969747112835798</v>
      </c>
      <c r="AA46" s="24">
        <v>0</v>
      </c>
      <c r="AB46" s="24">
        <v>0</v>
      </c>
      <c r="AC46" s="7">
        <v>0.6969747112835798</v>
      </c>
      <c r="AD46" s="7">
        <v>1519.6168750000002</v>
      </c>
      <c r="AE46">
        <f t="shared" si="2"/>
        <v>3312.2620375000001</v>
      </c>
      <c r="AF46">
        <f t="shared" si="20"/>
        <v>1948.8412709930676</v>
      </c>
      <c r="AG46">
        <f t="shared" si="4"/>
        <v>600.74218750000011</v>
      </c>
      <c r="AH46">
        <f t="shared" si="5"/>
        <v>918.87468750000005</v>
      </c>
      <c r="AI46">
        <f t="shared" si="6"/>
        <v>0</v>
      </c>
      <c r="AJ46">
        <f t="shared" si="7"/>
        <v>1029.269608781784</v>
      </c>
      <c r="AK46">
        <f t="shared" si="8"/>
        <v>2711.5198500000001</v>
      </c>
      <c r="AL46">
        <f t="shared" si="9"/>
        <v>8.5830548624422284E-3</v>
      </c>
      <c r="AM46">
        <f t="shared" si="10"/>
        <v>3.5259472708333336E-2</v>
      </c>
      <c r="AZ46" s="38"/>
      <c r="BA46" s="38"/>
      <c r="BB46" s="22"/>
      <c r="BC46" s="22"/>
      <c r="BD46" s="47"/>
      <c r="BE46" s="47"/>
      <c r="BF46" s="47"/>
      <c r="BG46" s="22"/>
      <c r="BH46" s="22"/>
    </row>
    <row r="47" spans="1:60">
      <c r="A47" s="38" t="s">
        <v>73</v>
      </c>
      <c r="B47" s="38" t="s">
        <v>260</v>
      </c>
      <c r="C47" s="38">
        <v>7</v>
      </c>
      <c r="D47" s="38">
        <v>46</v>
      </c>
      <c r="E47" s="44">
        <v>0</v>
      </c>
      <c r="F47" s="7">
        <v>0</v>
      </c>
      <c r="G47" s="24">
        <v>0</v>
      </c>
      <c r="H47" s="49">
        <f t="shared" si="1"/>
        <v>0</v>
      </c>
      <c r="I47" s="24">
        <v>0</v>
      </c>
      <c r="J47" s="7">
        <v>20.107500000000002</v>
      </c>
      <c r="K47" s="7">
        <v>0</v>
      </c>
      <c r="L47" s="47">
        <f t="shared" si="13"/>
        <v>20.107500000000002</v>
      </c>
      <c r="M47" s="24">
        <v>0</v>
      </c>
      <c r="N47" s="24">
        <v>0</v>
      </c>
      <c r="O47" s="24">
        <v>0</v>
      </c>
      <c r="P47" s="7">
        <v>691.77419999999995</v>
      </c>
      <c r="Q47" s="7">
        <v>997.953125</v>
      </c>
      <c r="R47" s="7">
        <v>0</v>
      </c>
      <c r="S47" s="7">
        <v>0</v>
      </c>
      <c r="T47" s="7">
        <f t="shared" si="21"/>
        <v>0</v>
      </c>
      <c r="U47" s="7">
        <v>0</v>
      </c>
      <c r="V47" s="7">
        <v>0</v>
      </c>
      <c r="W47" s="24">
        <v>0</v>
      </c>
      <c r="X47" s="24">
        <v>0</v>
      </c>
      <c r="Y47" s="24">
        <v>0</v>
      </c>
      <c r="Z47" s="7">
        <v>0.38208213841692834</v>
      </c>
      <c r="AA47" s="24">
        <v>0</v>
      </c>
      <c r="AB47" s="24">
        <v>0</v>
      </c>
      <c r="AC47" s="7">
        <v>0.38208213841692834</v>
      </c>
      <c r="AD47" s="7">
        <v>20.107500000000002</v>
      </c>
      <c r="AE47" s="15">
        <f t="shared" si="2"/>
        <v>1689.7273249999998</v>
      </c>
      <c r="AF47" s="15">
        <f t="shared" si="20"/>
        <v>20.489582138416932</v>
      </c>
      <c r="AG47">
        <f t="shared" si="4"/>
        <v>0</v>
      </c>
      <c r="AH47">
        <f t="shared" si="5"/>
        <v>20.107500000000002</v>
      </c>
      <c r="AI47">
        <f t="shared" si="6"/>
        <v>997.953125</v>
      </c>
      <c r="AJ47">
        <f t="shared" si="7"/>
        <v>0</v>
      </c>
      <c r="AK47">
        <f t="shared" si="8"/>
        <v>691.77419999999995</v>
      </c>
      <c r="AL47">
        <f t="shared" si="9"/>
        <v>3.1840178201410693E-6</v>
      </c>
      <c r="AM47">
        <f t="shared" si="10"/>
        <v>5.9323474999999999E-3</v>
      </c>
      <c r="AZ47" s="38"/>
      <c r="BA47" s="38"/>
      <c r="BB47" s="22"/>
      <c r="BC47" s="22"/>
      <c r="BD47" s="47"/>
      <c r="BE47" s="47"/>
      <c r="BF47" s="47"/>
      <c r="BG47" s="22"/>
      <c r="BH47" s="22"/>
    </row>
    <row r="48" spans="1:60">
      <c r="A48" s="38" t="s">
        <v>73</v>
      </c>
      <c r="B48" s="38" t="s">
        <v>261</v>
      </c>
      <c r="C48" s="38">
        <v>1</v>
      </c>
      <c r="D48" s="38">
        <v>47</v>
      </c>
      <c r="E48" s="42">
        <v>0</v>
      </c>
      <c r="F48" s="43">
        <v>164.84375</v>
      </c>
      <c r="G48" s="43">
        <v>0</v>
      </c>
      <c r="H48" s="47">
        <f t="shared" si="1"/>
        <v>164.84375</v>
      </c>
      <c r="I48" s="43">
        <v>0</v>
      </c>
      <c r="J48" s="43">
        <v>0</v>
      </c>
      <c r="K48" s="48">
        <v>0</v>
      </c>
      <c r="L48" s="48">
        <f t="shared" si="13"/>
        <v>0</v>
      </c>
      <c r="M48" s="43">
        <v>0</v>
      </c>
      <c r="N48" s="43">
        <v>0</v>
      </c>
      <c r="O48" s="43">
        <v>0</v>
      </c>
      <c r="P48" s="43">
        <v>1037.64375</v>
      </c>
      <c r="Q48" s="43">
        <v>0</v>
      </c>
      <c r="R48" s="43">
        <v>0</v>
      </c>
      <c r="S48" s="43">
        <v>0</v>
      </c>
      <c r="T48" s="43">
        <f t="shared" si="21"/>
        <v>0</v>
      </c>
      <c r="U48" s="43">
        <v>0</v>
      </c>
      <c r="V48" s="43">
        <v>0</v>
      </c>
      <c r="W48" s="43">
        <v>0</v>
      </c>
      <c r="X48" s="43">
        <v>0</v>
      </c>
      <c r="Y48" s="43">
        <v>2.8452518760507912</v>
      </c>
      <c r="Z48" s="43">
        <v>1.1151595380537278</v>
      </c>
      <c r="AA48" s="43">
        <v>0</v>
      </c>
      <c r="AB48" s="43">
        <v>2.8452518760507912</v>
      </c>
      <c r="AC48" s="43">
        <v>1.1151595380537278</v>
      </c>
      <c r="AD48" s="43">
        <v>164.84375</v>
      </c>
      <c r="AE48">
        <f t="shared" si="2"/>
        <v>1037.64375</v>
      </c>
      <c r="AF48">
        <f t="shared" si="20"/>
        <v>165.95890953805372</v>
      </c>
      <c r="AG48">
        <f t="shared" si="4"/>
        <v>0</v>
      </c>
      <c r="AH48">
        <f t="shared" si="5"/>
        <v>164.84375</v>
      </c>
      <c r="AI48">
        <f t="shared" si="6"/>
        <v>0</v>
      </c>
      <c r="AJ48">
        <f t="shared" si="7"/>
        <v>0</v>
      </c>
      <c r="AK48">
        <f t="shared" si="8"/>
        <v>1037.64375</v>
      </c>
      <c r="AL48">
        <f t="shared" si="9"/>
        <v>9.2929961504477319E-6</v>
      </c>
      <c r="AM48">
        <f t="shared" si="10"/>
        <v>1.0020729166666666E-2</v>
      </c>
      <c r="AZ48" s="38"/>
      <c r="BA48" s="38"/>
      <c r="BB48" s="19"/>
      <c r="BC48" s="19"/>
      <c r="BD48" s="47"/>
      <c r="BE48" s="47"/>
      <c r="BF48" s="47"/>
      <c r="BG48" s="19"/>
      <c r="BH48" s="19"/>
    </row>
    <row r="49" spans="1:60">
      <c r="A49" s="38" t="s">
        <v>73</v>
      </c>
      <c r="B49" s="38" t="s">
        <v>261</v>
      </c>
      <c r="C49" s="38">
        <v>2</v>
      </c>
      <c r="D49" s="41">
        <v>48</v>
      </c>
      <c r="E49" s="44">
        <v>0</v>
      </c>
      <c r="F49" s="7">
        <v>360.34843749999999</v>
      </c>
      <c r="G49" s="7">
        <v>113.0828125</v>
      </c>
      <c r="H49" s="47">
        <f t="shared" si="1"/>
        <v>247.265625</v>
      </c>
      <c r="I49" s="24">
        <v>0</v>
      </c>
      <c r="J49" s="24">
        <v>0</v>
      </c>
      <c r="K49" s="7">
        <v>0</v>
      </c>
      <c r="L49" s="47">
        <f t="shared" si="13"/>
        <v>0</v>
      </c>
      <c r="M49" s="24">
        <v>0</v>
      </c>
      <c r="N49" s="24">
        <v>0</v>
      </c>
      <c r="O49" s="24">
        <v>0</v>
      </c>
      <c r="P49" s="7">
        <v>4943.9753999999994</v>
      </c>
      <c r="Q49" s="7">
        <v>997.953125</v>
      </c>
      <c r="R49" s="24">
        <v>0</v>
      </c>
      <c r="S49" s="24">
        <v>0</v>
      </c>
      <c r="T49" s="24">
        <f t="shared" si="21"/>
        <v>0</v>
      </c>
      <c r="U49" s="24">
        <v>0</v>
      </c>
      <c r="V49" s="7">
        <v>2841.8542972152309</v>
      </c>
      <c r="W49" s="24">
        <v>0</v>
      </c>
      <c r="X49" s="24">
        <v>0</v>
      </c>
      <c r="Y49" s="24">
        <v>0</v>
      </c>
      <c r="Z49" s="7">
        <v>2.6592821872697869</v>
      </c>
      <c r="AA49" s="24">
        <v>0</v>
      </c>
      <c r="AB49" s="24">
        <v>0</v>
      </c>
      <c r="AC49" s="7">
        <v>2.6592821872697869</v>
      </c>
      <c r="AD49" s="7">
        <v>360.34843749999999</v>
      </c>
      <c r="AE49">
        <f t="shared" si="2"/>
        <v>6055.0113374999992</v>
      </c>
      <c r="AF49">
        <f t="shared" si="20"/>
        <v>3091.7792044025005</v>
      </c>
      <c r="AG49">
        <f t="shared" si="4"/>
        <v>113.0828125</v>
      </c>
      <c r="AH49">
        <f t="shared" si="5"/>
        <v>247.265625</v>
      </c>
      <c r="AI49">
        <f t="shared" si="6"/>
        <v>997.953125</v>
      </c>
      <c r="AJ49">
        <f t="shared" si="7"/>
        <v>2841.8542972152309</v>
      </c>
      <c r="AK49">
        <f t="shared" si="8"/>
        <v>4943.9753999999994</v>
      </c>
      <c r="AL49">
        <f t="shared" si="9"/>
        <v>2.3704279828354168E-2</v>
      </c>
      <c r="AM49">
        <f t="shared" si="10"/>
        <v>4.420269864583333E-2</v>
      </c>
      <c r="AZ49" s="38"/>
      <c r="BA49" s="38"/>
      <c r="BB49" s="22"/>
      <c r="BC49" s="22"/>
      <c r="BD49" s="47"/>
      <c r="BE49" s="47"/>
      <c r="BF49" s="47"/>
      <c r="BG49" s="22"/>
      <c r="BH49" s="22"/>
    </row>
    <row r="50" spans="1:60">
      <c r="A50" s="38" t="s">
        <v>73</v>
      </c>
      <c r="B50" s="38" t="s">
        <v>261</v>
      </c>
      <c r="C50" s="38">
        <v>3</v>
      </c>
      <c r="D50" s="38">
        <v>49</v>
      </c>
      <c r="E50" s="44">
        <v>0</v>
      </c>
      <c r="F50" s="7">
        <v>1236.328125</v>
      </c>
      <c r="G50" s="7">
        <v>0</v>
      </c>
      <c r="H50" s="47">
        <f t="shared" si="1"/>
        <v>1236.328125</v>
      </c>
      <c r="I50" s="24">
        <v>0</v>
      </c>
      <c r="J50" s="24">
        <v>0</v>
      </c>
      <c r="K50" s="7">
        <v>0</v>
      </c>
      <c r="L50" s="47">
        <f t="shared" si="13"/>
        <v>0</v>
      </c>
      <c r="M50" s="24">
        <v>0</v>
      </c>
      <c r="N50" s="24">
        <v>0</v>
      </c>
      <c r="O50" s="24">
        <v>0</v>
      </c>
      <c r="P50" s="7">
        <v>1368.6562499999998</v>
      </c>
      <c r="Q50" s="7">
        <v>0</v>
      </c>
      <c r="R50" s="7">
        <v>92.100986023923937</v>
      </c>
      <c r="S50" s="7">
        <v>0</v>
      </c>
      <c r="T50" s="7">
        <f t="shared" si="21"/>
        <v>92.100986023923937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7">
        <v>1328.429111023924</v>
      </c>
      <c r="AE50">
        <f t="shared" si="2"/>
        <v>1368.6562499999998</v>
      </c>
      <c r="AF50">
        <f t="shared" si="20"/>
        <v>1328.429111023924</v>
      </c>
      <c r="AG50">
        <f t="shared" si="4"/>
        <v>0</v>
      </c>
      <c r="AH50">
        <f t="shared" si="5"/>
        <v>1328.429111023924</v>
      </c>
      <c r="AI50">
        <f t="shared" si="6"/>
        <v>0</v>
      </c>
      <c r="AJ50">
        <f t="shared" si="7"/>
        <v>0</v>
      </c>
      <c r="AK50">
        <f t="shared" si="8"/>
        <v>1368.6562499999998</v>
      </c>
      <c r="AL50">
        <f t="shared" si="9"/>
        <v>0</v>
      </c>
      <c r="AM50">
        <f t="shared" si="10"/>
        <v>2.2475711341866031E-2</v>
      </c>
      <c r="AZ50" s="38"/>
      <c r="BA50" s="38"/>
      <c r="BB50" s="22"/>
      <c r="BC50" s="22"/>
      <c r="BD50" s="47"/>
      <c r="BE50" s="47"/>
      <c r="BF50" s="47"/>
      <c r="BG50" s="22"/>
      <c r="BH50" s="22"/>
    </row>
    <row r="51" spans="1:60">
      <c r="A51" s="38" t="s">
        <v>73</v>
      </c>
      <c r="B51" s="38" t="s">
        <v>261</v>
      </c>
      <c r="C51" s="38">
        <v>4</v>
      </c>
      <c r="D51" s="38">
        <v>50</v>
      </c>
      <c r="E51" s="44">
        <v>83.831187519855675</v>
      </c>
      <c r="F51" s="7">
        <v>1277.5390625</v>
      </c>
      <c r="G51" s="7">
        <v>0</v>
      </c>
      <c r="H51" s="47">
        <f t="shared" si="1"/>
        <v>1277.5390625</v>
      </c>
      <c r="I51" s="24">
        <v>0</v>
      </c>
      <c r="J51" s="7">
        <v>3.6575000000000002</v>
      </c>
      <c r="K51" s="7">
        <v>0</v>
      </c>
      <c r="L51" s="47">
        <f t="shared" si="13"/>
        <v>3.6575000000000002</v>
      </c>
      <c r="M51" s="24">
        <v>0</v>
      </c>
      <c r="N51" s="24">
        <v>0</v>
      </c>
      <c r="O51" s="24">
        <v>0</v>
      </c>
      <c r="P51" s="7">
        <v>1502.6349</v>
      </c>
      <c r="Q51" s="7">
        <v>0</v>
      </c>
      <c r="R51" s="7">
        <v>23.586352454153225</v>
      </c>
      <c r="S51" s="7">
        <v>0</v>
      </c>
      <c r="T51" s="7">
        <f t="shared" ref="T51:T55" si="22">R51-S51</f>
        <v>23.586352454153225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7">
        <v>1304.7829149541533</v>
      </c>
      <c r="AE51">
        <f t="shared" si="2"/>
        <v>1586.4660875198556</v>
      </c>
      <c r="AF51">
        <f t="shared" si="20"/>
        <v>1304.7829149541533</v>
      </c>
      <c r="AG51">
        <f t="shared" si="4"/>
        <v>0</v>
      </c>
      <c r="AH51">
        <f t="shared" si="5"/>
        <v>1304.7829149541533</v>
      </c>
      <c r="AI51">
        <f t="shared" si="6"/>
        <v>83.831187519855675</v>
      </c>
      <c r="AJ51">
        <f t="shared" si="7"/>
        <v>0</v>
      </c>
      <c r="AK51">
        <f t="shared" si="8"/>
        <v>1502.6349</v>
      </c>
      <c r="AL51">
        <f t="shared" si="9"/>
        <v>0</v>
      </c>
      <c r="AM51">
        <f t="shared" si="10"/>
        <v>2.4093741687283406E-2</v>
      </c>
    </row>
    <row r="52" spans="1:60">
      <c r="A52" s="38" t="s">
        <v>73</v>
      </c>
      <c r="B52" s="38" t="s">
        <v>261</v>
      </c>
      <c r="C52" s="38">
        <v>5</v>
      </c>
      <c r="D52" s="38">
        <v>51</v>
      </c>
      <c r="E52" s="44">
        <v>0</v>
      </c>
      <c r="F52" s="7">
        <v>0</v>
      </c>
      <c r="G52" s="24">
        <v>0</v>
      </c>
      <c r="H52" s="47">
        <f t="shared" si="1"/>
        <v>0</v>
      </c>
      <c r="I52" s="24">
        <v>0</v>
      </c>
      <c r="J52" s="7">
        <v>4.4800000000000004</v>
      </c>
      <c r="K52" s="7">
        <v>0</v>
      </c>
      <c r="L52" s="47">
        <f t="shared" si="13"/>
        <v>4.4800000000000004</v>
      </c>
      <c r="M52" s="24">
        <v>0</v>
      </c>
      <c r="N52" s="24">
        <v>0</v>
      </c>
      <c r="O52" s="24">
        <v>0</v>
      </c>
      <c r="P52" s="7">
        <v>11.372399999999999</v>
      </c>
      <c r="Q52" s="7">
        <v>3570.125</v>
      </c>
      <c r="R52" s="7">
        <v>149.95752389323175</v>
      </c>
      <c r="S52" s="7">
        <v>0</v>
      </c>
      <c r="T52" s="7">
        <f t="shared" si="22"/>
        <v>149.95752389323175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7">
        <v>154.43752389323174</v>
      </c>
      <c r="AE52">
        <f t="shared" si="2"/>
        <v>3581.4974000000002</v>
      </c>
      <c r="AF52">
        <f t="shared" si="20"/>
        <v>154.43752389323174</v>
      </c>
      <c r="AG52">
        <f t="shared" si="4"/>
        <v>0</v>
      </c>
      <c r="AH52">
        <f t="shared" si="5"/>
        <v>154.43752389323174</v>
      </c>
      <c r="AI52">
        <f t="shared" si="6"/>
        <v>3570.125</v>
      </c>
      <c r="AJ52">
        <f t="shared" si="7"/>
        <v>0</v>
      </c>
      <c r="AK52">
        <f t="shared" si="8"/>
        <v>11.372399999999999</v>
      </c>
      <c r="AL52">
        <f t="shared" si="9"/>
        <v>0</v>
      </c>
      <c r="AM52">
        <f t="shared" si="10"/>
        <v>1.3817493657769311E-3</v>
      </c>
    </row>
    <row r="53" spans="1:60">
      <c r="A53" s="38" t="s">
        <v>73</v>
      </c>
      <c r="B53" s="38" t="s">
        <v>261</v>
      </c>
      <c r="C53" s="38">
        <v>6</v>
      </c>
      <c r="D53" s="41">
        <v>52</v>
      </c>
      <c r="E53" s="44">
        <v>0</v>
      </c>
      <c r="F53" s="7">
        <v>1821.1937499999999</v>
      </c>
      <c r="G53" s="7">
        <v>1697.5609374999999</v>
      </c>
      <c r="H53" s="47">
        <f t="shared" si="1"/>
        <v>123.6328125</v>
      </c>
      <c r="I53" s="24">
        <v>0</v>
      </c>
      <c r="J53" s="24">
        <v>0</v>
      </c>
      <c r="K53" s="7">
        <v>0</v>
      </c>
      <c r="L53" s="47">
        <f t="shared" si="13"/>
        <v>0</v>
      </c>
      <c r="M53" s="24">
        <v>0</v>
      </c>
      <c r="N53" s="24">
        <v>0</v>
      </c>
      <c r="O53" s="24">
        <v>0</v>
      </c>
      <c r="P53" s="7">
        <v>2201.59485</v>
      </c>
      <c r="Q53" s="7">
        <v>0</v>
      </c>
      <c r="R53" s="7">
        <v>0</v>
      </c>
      <c r="S53" s="7">
        <v>0</v>
      </c>
      <c r="T53" s="7">
        <f t="shared" si="22"/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7">
        <v>5.9757384313780317</v>
      </c>
      <c r="AB53" s="7">
        <v>5.9757384313780317</v>
      </c>
      <c r="AC53" s="24">
        <v>0</v>
      </c>
      <c r="AD53" s="7">
        <v>1821.1937499999999</v>
      </c>
      <c r="AE53">
        <f t="shared" si="2"/>
        <v>3899.1557874999999</v>
      </c>
      <c r="AF53">
        <f t="shared" si="20"/>
        <v>123.6328125</v>
      </c>
      <c r="AG53">
        <f t="shared" si="4"/>
        <v>1697.5609374999999</v>
      </c>
      <c r="AH53">
        <f t="shared" si="5"/>
        <v>123.6328125</v>
      </c>
      <c r="AI53">
        <f t="shared" si="6"/>
        <v>0</v>
      </c>
      <c r="AJ53">
        <f t="shared" si="7"/>
        <v>0</v>
      </c>
      <c r="AK53">
        <f t="shared" si="8"/>
        <v>2201.59485</v>
      </c>
      <c r="AL53">
        <f t="shared" si="9"/>
        <v>0</v>
      </c>
      <c r="AM53">
        <f t="shared" si="10"/>
        <v>3.3523238333333337E-2</v>
      </c>
    </row>
    <row r="54" spans="1:60">
      <c r="A54" s="38" t="s">
        <v>73</v>
      </c>
      <c r="B54" s="38" t="s">
        <v>261</v>
      </c>
      <c r="C54" s="41">
        <v>7</v>
      </c>
      <c r="D54" s="38">
        <v>53</v>
      </c>
      <c r="E54" s="44">
        <v>0</v>
      </c>
      <c r="F54" s="7">
        <v>1229.4046874999999</v>
      </c>
      <c r="G54" s="7">
        <v>240.34218749999999</v>
      </c>
      <c r="H54" s="47">
        <f t="shared" si="1"/>
        <v>989.06249999999989</v>
      </c>
      <c r="I54" s="24">
        <v>0</v>
      </c>
      <c r="J54" s="7">
        <v>10.080000000000002</v>
      </c>
      <c r="K54" s="7">
        <v>0</v>
      </c>
      <c r="L54" s="47">
        <f t="shared" si="13"/>
        <v>10.080000000000002</v>
      </c>
      <c r="M54" s="24">
        <v>0</v>
      </c>
      <c r="N54" s="24">
        <v>0</v>
      </c>
      <c r="O54" s="24">
        <v>0</v>
      </c>
      <c r="P54" s="7">
        <v>1231.8169500000001</v>
      </c>
      <c r="Q54" s="7">
        <v>0</v>
      </c>
      <c r="R54" s="7">
        <v>21.542583849997314</v>
      </c>
      <c r="S54" s="7">
        <v>0</v>
      </c>
      <c r="T54" s="7">
        <f t="shared" si="22"/>
        <v>21.542583849997314</v>
      </c>
      <c r="U54" s="24">
        <v>0</v>
      </c>
      <c r="V54" s="24">
        <v>0</v>
      </c>
      <c r="W54" s="24">
        <v>0</v>
      </c>
      <c r="X54" s="24">
        <v>0</v>
      </c>
      <c r="Y54" s="7">
        <v>5.9937395818191179</v>
      </c>
      <c r="Z54" s="24">
        <v>0</v>
      </c>
      <c r="AA54" s="24">
        <v>0</v>
      </c>
      <c r="AB54" s="7">
        <v>5.9937395818191179</v>
      </c>
      <c r="AC54" s="24">
        <v>0</v>
      </c>
      <c r="AD54" s="7">
        <v>1261.0272713499971</v>
      </c>
      <c r="AE54">
        <f t="shared" si="2"/>
        <v>1472.1591375</v>
      </c>
      <c r="AF54">
        <f t="shared" si="20"/>
        <v>1020.6850838499972</v>
      </c>
      <c r="AG54">
        <f t="shared" si="4"/>
        <v>240.34218749999999</v>
      </c>
      <c r="AH54">
        <f t="shared" si="5"/>
        <v>1020.6850838499972</v>
      </c>
      <c r="AI54">
        <f t="shared" si="6"/>
        <v>0</v>
      </c>
      <c r="AJ54">
        <f t="shared" si="7"/>
        <v>0</v>
      </c>
      <c r="AK54">
        <f t="shared" si="8"/>
        <v>1231.8169500000001</v>
      </c>
      <c r="AL54">
        <f t="shared" si="9"/>
        <v>0</v>
      </c>
      <c r="AM54">
        <f t="shared" si="10"/>
        <v>2.0773701844583308E-2</v>
      </c>
    </row>
    <row r="55" spans="1:60">
      <c r="A55" s="38" t="s">
        <v>73</v>
      </c>
      <c r="B55" s="38" t="s">
        <v>261</v>
      </c>
      <c r="C55" s="41">
        <v>8</v>
      </c>
      <c r="D55" s="38">
        <v>54</v>
      </c>
      <c r="E55" s="44">
        <v>0</v>
      </c>
      <c r="F55" s="7">
        <v>236.71562499999999</v>
      </c>
      <c r="G55" s="7">
        <v>71.212500000000006</v>
      </c>
      <c r="H55" s="47">
        <f t="shared" si="1"/>
        <v>165.50312499999998</v>
      </c>
      <c r="I55" s="24">
        <v>0</v>
      </c>
      <c r="J55" s="7">
        <v>4.9525000000000006</v>
      </c>
      <c r="K55" s="7">
        <v>0</v>
      </c>
      <c r="L55" s="47">
        <f t="shared" si="13"/>
        <v>4.9525000000000006</v>
      </c>
      <c r="M55" s="24">
        <v>0</v>
      </c>
      <c r="N55" s="24">
        <v>0</v>
      </c>
      <c r="O55" s="24">
        <v>0</v>
      </c>
      <c r="P55" s="7">
        <v>1385.1318000000001</v>
      </c>
      <c r="Q55" s="7">
        <v>0</v>
      </c>
      <c r="R55" s="7">
        <v>64.789952488383747</v>
      </c>
      <c r="S55" s="7">
        <v>0</v>
      </c>
      <c r="T55" s="7">
        <f t="shared" si="22"/>
        <v>64.789952488383747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7">
        <v>306.45807748838376</v>
      </c>
      <c r="AE55">
        <f t="shared" si="2"/>
        <v>1456.3443000000002</v>
      </c>
      <c r="AF55">
        <f t="shared" si="20"/>
        <v>235.24557748838373</v>
      </c>
      <c r="AG55">
        <f t="shared" si="4"/>
        <v>71.212500000000006</v>
      </c>
      <c r="AH55">
        <f t="shared" si="5"/>
        <v>235.24557748838373</v>
      </c>
      <c r="AI55">
        <f t="shared" si="6"/>
        <v>0</v>
      </c>
      <c r="AJ55">
        <f t="shared" si="7"/>
        <v>0</v>
      </c>
      <c r="AK55">
        <f t="shared" si="8"/>
        <v>1385.1318000000001</v>
      </c>
      <c r="AL55">
        <f t="shared" si="9"/>
        <v>0</v>
      </c>
      <c r="AM55">
        <f t="shared" si="10"/>
        <v>1.4096582312403199E-2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3"/>
  <legacy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V74"/>
  <sheetViews>
    <sheetView workbookViewId="0">
      <selection activeCell="A3" sqref="A3:V74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2"/>
  <cols>
    <col min="3" max="3" width="8.1640625" bestFit="1" customWidth="1"/>
    <col min="4" max="21" width="11.5" bestFit="1" customWidth="1"/>
    <col min="22" max="22" width="10" bestFit="1" customWidth="1"/>
    <col min="23" max="23" width="12.1640625" bestFit="1" customWidth="1"/>
  </cols>
  <sheetData>
    <row r="3" spans="1:22">
      <c r="A3" s="16" t="s">
        <v>853</v>
      </c>
      <c r="B3" s="17"/>
      <c r="C3" s="17"/>
      <c r="D3" s="29" t="s">
        <v>254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37"/>
    </row>
    <row r="4" spans="1:22">
      <c r="A4" s="29" t="s">
        <v>380</v>
      </c>
      <c r="B4" s="29" t="s">
        <v>381</v>
      </c>
      <c r="C4" s="29" t="s">
        <v>756</v>
      </c>
      <c r="D4" s="16" t="s">
        <v>84</v>
      </c>
      <c r="E4" s="17" t="s">
        <v>251</v>
      </c>
      <c r="F4" s="17" t="s">
        <v>448</v>
      </c>
      <c r="G4" s="17" t="s">
        <v>266</v>
      </c>
      <c r="H4" s="17" t="s">
        <v>78</v>
      </c>
      <c r="I4" s="17" t="s">
        <v>80</v>
      </c>
      <c r="J4" s="17" t="s">
        <v>108</v>
      </c>
      <c r="K4" s="17" t="s">
        <v>169</v>
      </c>
      <c r="L4" s="17" t="s">
        <v>173</v>
      </c>
      <c r="M4" s="17" t="s">
        <v>56</v>
      </c>
      <c r="N4" s="17" t="s">
        <v>208</v>
      </c>
      <c r="O4" s="17" t="s">
        <v>178</v>
      </c>
      <c r="P4" s="17" t="s">
        <v>307</v>
      </c>
      <c r="Q4" s="17" t="s">
        <v>110</v>
      </c>
      <c r="R4" s="17" t="s">
        <v>176</v>
      </c>
      <c r="S4" s="17" t="s">
        <v>171</v>
      </c>
      <c r="T4" s="17" t="s">
        <v>205</v>
      </c>
      <c r="U4" s="17" t="s">
        <v>163</v>
      </c>
      <c r="V4" s="18" t="s">
        <v>755</v>
      </c>
    </row>
    <row r="5" spans="1:22">
      <c r="A5" s="16" t="s">
        <v>276</v>
      </c>
      <c r="B5" s="16" t="s">
        <v>290</v>
      </c>
      <c r="C5" s="16">
        <v>1</v>
      </c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19"/>
    </row>
    <row r="6" spans="1:22">
      <c r="A6" s="20"/>
      <c r="B6" s="20"/>
      <c r="C6" s="21">
        <v>2</v>
      </c>
      <c r="D6" s="44"/>
      <c r="E6" s="7">
        <v>3</v>
      </c>
      <c r="F6" s="7"/>
      <c r="G6" s="7"/>
      <c r="H6" s="7"/>
      <c r="I6" s="7"/>
      <c r="J6" s="7"/>
      <c r="K6" s="7">
        <v>1</v>
      </c>
      <c r="L6" s="7"/>
      <c r="M6" s="7"/>
      <c r="N6" s="7"/>
      <c r="O6" s="7"/>
      <c r="P6" s="7"/>
      <c r="Q6" s="7"/>
      <c r="R6" s="7"/>
      <c r="S6" s="7"/>
      <c r="T6" s="7"/>
      <c r="U6" s="7"/>
      <c r="V6" s="22">
        <v>4</v>
      </c>
    </row>
    <row r="7" spans="1:22">
      <c r="A7" s="20"/>
      <c r="B7" s="20"/>
      <c r="C7" s="21">
        <v>3</v>
      </c>
      <c r="D7" s="44"/>
      <c r="E7" s="7"/>
      <c r="F7" s="7"/>
      <c r="G7" s="7"/>
      <c r="H7" s="7"/>
      <c r="I7" s="7"/>
      <c r="J7" s="7"/>
      <c r="K7" s="7"/>
      <c r="L7" s="7">
        <v>1</v>
      </c>
      <c r="M7" s="7"/>
      <c r="N7" s="7"/>
      <c r="O7" s="7"/>
      <c r="P7" s="7"/>
      <c r="Q7" s="7"/>
      <c r="R7" s="7"/>
      <c r="S7" s="7"/>
      <c r="T7" s="7"/>
      <c r="U7" s="7"/>
      <c r="V7" s="22">
        <v>1</v>
      </c>
    </row>
    <row r="8" spans="1:22">
      <c r="A8" s="20"/>
      <c r="B8" s="20"/>
      <c r="C8" s="21">
        <v>4</v>
      </c>
      <c r="D8" s="4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2"/>
    </row>
    <row r="9" spans="1:22">
      <c r="A9" s="20"/>
      <c r="B9" s="20"/>
      <c r="C9" s="21">
        <v>5</v>
      </c>
      <c r="D9" s="44"/>
      <c r="E9" s="7"/>
      <c r="F9" s="7"/>
      <c r="G9" s="7"/>
      <c r="H9" s="7"/>
      <c r="I9" s="7"/>
      <c r="J9" s="7"/>
      <c r="K9" s="7">
        <v>1</v>
      </c>
      <c r="L9" s="7"/>
      <c r="M9" s="7"/>
      <c r="N9" s="7"/>
      <c r="O9" s="7"/>
      <c r="P9" s="7"/>
      <c r="Q9" s="7"/>
      <c r="R9" s="7"/>
      <c r="S9" s="7"/>
      <c r="T9" s="7"/>
      <c r="U9" s="7"/>
      <c r="V9" s="22">
        <v>1</v>
      </c>
    </row>
    <row r="10" spans="1:22">
      <c r="A10" s="20"/>
      <c r="B10" s="20"/>
      <c r="C10" s="21">
        <v>6</v>
      </c>
      <c r="D10" s="4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22"/>
    </row>
    <row r="11" spans="1:22">
      <c r="A11" s="20"/>
      <c r="B11" s="16" t="s">
        <v>743</v>
      </c>
      <c r="C11" s="23"/>
      <c r="D11" s="42"/>
      <c r="E11" s="43">
        <v>3</v>
      </c>
      <c r="F11" s="43"/>
      <c r="G11" s="43"/>
      <c r="H11" s="43"/>
      <c r="I11" s="43"/>
      <c r="J11" s="43"/>
      <c r="K11" s="43">
        <v>2</v>
      </c>
      <c r="L11" s="43">
        <v>1</v>
      </c>
      <c r="M11" s="43"/>
      <c r="N11" s="43"/>
      <c r="O11" s="43"/>
      <c r="P11" s="43"/>
      <c r="Q11" s="43"/>
      <c r="R11" s="43"/>
      <c r="S11" s="43"/>
      <c r="T11" s="43"/>
      <c r="U11" s="43"/>
      <c r="V11" s="19">
        <v>6</v>
      </c>
    </row>
    <row r="12" spans="1:22">
      <c r="A12" s="20"/>
      <c r="B12" s="16" t="s">
        <v>234</v>
      </c>
      <c r="C12" s="16">
        <v>1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19"/>
    </row>
    <row r="13" spans="1:22">
      <c r="A13" s="20"/>
      <c r="B13" s="20"/>
      <c r="C13" s="21">
        <v>2</v>
      </c>
      <c r="D13" s="44"/>
      <c r="E13" s="7"/>
      <c r="F13" s="7"/>
      <c r="G13" s="7"/>
      <c r="H13" s="7"/>
      <c r="I13" s="7"/>
      <c r="J13" s="7"/>
      <c r="K13" s="7">
        <v>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22">
        <v>1</v>
      </c>
    </row>
    <row r="14" spans="1:22">
      <c r="A14" s="20"/>
      <c r="B14" s="20"/>
      <c r="C14" s="21">
        <v>3</v>
      </c>
      <c r="D14" s="4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2"/>
    </row>
    <row r="15" spans="1:22">
      <c r="A15" s="20"/>
      <c r="B15" s="20"/>
      <c r="C15" s="21">
        <v>4</v>
      </c>
      <c r="D15" s="44"/>
      <c r="E15" s="7"/>
      <c r="F15" s="7"/>
      <c r="G15" s="7">
        <v>1</v>
      </c>
      <c r="H15" s="7"/>
      <c r="I15" s="7"/>
      <c r="J15" s="7"/>
      <c r="K15" s="7">
        <v>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22">
        <v>2</v>
      </c>
    </row>
    <row r="16" spans="1:22">
      <c r="A16" s="20"/>
      <c r="B16" s="20"/>
      <c r="C16" s="21">
        <v>5</v>
      </c>
      <c r="D16" s="44"/>
      <c r="E16" s="7">
        <v>1</v>
      </c>
      <c r="F16" s="7"/>
      <c r="G16" s="7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2">
        <v>2</v>
      </c>
    </row>
    <row r="17" spans="1:22">
      <c r="A17" s="20"/>
      <c r="B17" s="20"/>
      <c r="C17" s="21">
        <v>6</v>
      </c>
      <c r="D17" s="4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2"/>
    </row>
    <row r="18" spans="1:22">
      <c r="A18" s="20"/>
      <c r="B18" s="16" t="s">
        <v>567</v>
      </c>
      <c r="C18" s="23"/>
      <c r="D18" s="42"/>
      <c r="E18" s="43">
        <v>1</v>
      </c>
      <c r="F18" s="43"/>
      <c r="G18" s="43">
        <v>2</v>
      </c>
      <c r="H18" s="43"/>
      <c r="I18" s="43"/>
      <c r="J18" s="43"/>
      <c r="K18" s="43">
        <v>2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19">
        <v>5</v>
      </c>
    </row>
    <row r="19" spans="1:22">
      <c r="A19" s="20"/>
      <c r="B19" s="16" t="s">
        <v>461</v>
      </c>
      <c r="C19" s="16">
        <v>1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19"/>
    </row>
    <row r="20" spans="1:22">
      <c r="A20" s="20"/>
      <c r="B20" s="20"/>
      <c r="C20" s="21">
        <v>2</v>
      </c>
      <c r="D20" s="4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22"/>
    </row>
    <row r="21" spans="1:22">
      <c r="A21" s="20"/>
      <c r="B21" s="20"/>
      <c r="C21" s="21">
        <v>3</v>
      </c>
      <c r="D21" s="44"/>
      <c r="E21" s="7"/>
      <c r="F21" s="7"/>
      <c r="G21" s="7"/>
      <c r="H21" s="7"/>
      <c r="I21" s="7"/>
      <c r="J21" s="7"/>
      <c r="K21" s="7">
        <v>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22">
        <v>1</v>
      </c>
    </row>
    <row r="22" spans="1:22">
      <c r="A22" s="20"/>
      <c r="B22" s="20"/>
      <c r="C22" s="21">
        <v>4</v>
      </c>
      <c r="D22" s="4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22"/>
    </row>
    <row r="23" spans="1:22">
      <c r="A23" s="20"/>
      <c r="B23" s="20"/>
      <c r="C23" s="21">
        <v>5</v>
      </c>
      <c r="D23" s="4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22"/>
    </row>
    <row r="24" spans="1:22">
      <c r="A24" s="20"/>
      <c r="B24" s="20"/>
      <c r="C24" s="21">
        <v>6</v>
      </c>
      <c r="D24" s="4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2"/>
    </row>
    <row r="25" spans="1:22">
      <c r="A25" s="20"/>
      <c r="B25" s="16" t="s">
        <v>746</v>
      </c>
      <c r="C25" s="23"/>
      <c r="D25" s="42"/>
      <c r="E25" s="43"/>
      <c r="F25" s="43"/>
      <c r="G25" s="43"/>
      <c r="H25" s="43"/>
      <c r="I25" s="43"/>
      <c r="J25" s="43"/>
      <c r="K25" s="43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19">
        <v>1</v>
      </c>
    </row>
    <row r="26" spans="1:22">
      <c r="A26" s="16" t="s">
        <v>823</v>
      </c>
      <c r="B26" s="23"/>
      <c r="C26" s="23"/>
      <c r="D26" s="42"/>
      <c r="E26" s="43">
        <v>4</v>
      </c>
      <c r="F26" s="43"/>
      <c r="G26" s="43">
        <v>2</v>
      </c>
      <c r="H26" s="43"/>
      <c r="I26" s="43"/>
      <c r="J26" s="43"/>
      <c r="K26" s="43">
        <v>5</v>
      </c>
      <c r="L26" s="43">
        <v>1</v>
      </c>
      <c r="M26" s="43"/>
      <c r="N26" s="43"/>
      <c r="O26" s="43"/>
      <c r="P26" s="43"/>
      <c r="Q26" s="43"/>
      <c r="R26" s="43"/>
      <c r="S26" s="43"/>
      <c r="T26" s="43"/>
      <c r="U26" s="43"/>
      <c r="V26" s="19">
        <v>12</v>
      </c>
    </row>
    <row r="27" spans="1:22">
      <c r="A27" s="16" t="s">
        <v>502</v>
      </c>
      <c r="B27" s="16" t="s">
        <v>503</v>
      </c>
      <c r="C27" s="16">
        <v>1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19"/>
    </row>
    <row r="28" spans="1:22">
      <c r="A28" s="20"/>
      <c r="B28" s="20"/>
      <c r="C28" s="21">
        <v>2</v>
      </c>
      <c r="D28" s="44"/>
      <c r="E28" s="7"/>
      <c r="F28" s="7"/>
      <c r="G28" s="7"/>
      <c r="H28" s="7"/>
      <c r="I28" s="7"/>
      <c r="J28" s="7"/>
      <c r="K28" s="7">
        <v>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22">
        <v>1</v>
      </c>
    </row>
    <row r="29" spans="1:22">
      <c r="A29" s="20"/>
      <c r="B29" s="20"/>
      <c r="C29" s="21">
        <v>3</v>
      </c>
      <c r="D29" s="44"/>
      <c r="E29" s="7">
        <v>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2">
        <v>1</v>
      </c>
    </row>
    <row r="30" spans="1:22">
      <c r="A30" s="20"/>
      <c r="B30" s="20"/>
      <c r="C30" s="21">
        <v>4</v>
      </c>
      <c r="D30" s="4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22"/>
    </row>
    <row r="31" spans="1:22">
      <c r="A31" s="20"/>
      <c r="B31" s="20"/>
      <c r="C31" s="21">
        <v>5</v>
      </c>
      <c r="D31" s="4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22"/>
    </row>
    <row r="32" spans="1:22">
      <c r="A32" s="20"/>
      <c r="B32" s="16" t="s">
        <v>824</v>
      </c>
      <c r="C32" s="23"/>
      <c r="D32" s="42"/>
      <c r="E32" s="43">
        <v>1</v>
      </c>
      <c r="F32" s="43"/>
      <c r="G32" s="43"/>
      <c r="H32" s="43"/>
      <c r="I32" s="43"/>
      <c r="J32" s="43"/>
      <c r="K32" s="43">
        <v>1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19">
        <v>2</v>
      </c>
    </row>
    <row r="33" spans="1:22">
      <c r="A33" s="20"/>
      <c r="B33" s="16" t="s">
        <v>186</v>
      </c>
      <c r="C33" s="16">
        <v>1</v>
      </c>
      <c r="D33" s="42"/>
      <c r="E33" s="43"/>
      <c r="F33" s="43"/>
      <c r="G33" s="43"/>
      <c r="H33" s="43"/>
      <c r="I33" s="43"/>
      <c r="J33" s="43"/>
      <c r="K33" s="43"/>
      <c r="L33" s="43">
        <v>1</v>
      </c>
      <c r="M33" s="43"/>
      <c r="N33" s="43"/>
      <c r="O33" s="43"/>
      <c r="P33" s="43"/>
      <c r="Q33" s="43"/>
      <c r="R33" s="43"/>
      <c r="S33" s="43"/>
      <c r="T33" s="43"/>
      <c r="U33" s="43"/>
      <c r="V33" s="19">
        <v>1</v>
      </c>
    </row>
    <row r="34" spans="1:22">
      <c r="A34" s="20"/>
      <c r="B34" s="20"/>
      <c r="C34" s="21">
        <v>2</v>
      </c>
      <c r="D34" s="4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22"/>
    </row>
    <row r="35" spans="1:22">
      <c r="A35" s="20"/>
      <c r="B35" s="20"/>
      <c r="C35" s="21">
        <v>3</v>
      </c>
      <c r="D35" s="4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22"/>
    </row>
    <row r="36" spans="1:22">
      <c r="A36" s="20"/>
      <c r="B36" s="20"/>
      <c r="C36" s="21">
        <v>4</v>
      </c>
      <c r="D36" s="44"/>
      <c r="E36" s="7"/>
      <c r="F36" s="7"/>
      <c r="G36" s="7"/>
      <c r="H36" s="7"/>
      <c r="I36" s="7"/>
      <c r="J36" s="7"/>
      <c r="K36" s="7">
        <v>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22">
        <v>1</v>
      </c>
    </row>
    <row r="37" spans="1:22">
      <c r="A37" s="20"/>
      <c r="B37" s="16" t="s">
        <v>363</v>
      </c>
      <c r="C37" s="23"/>
      <c r="D37" s="42"/>
      <c r="E37" s="43"/>
      <c r="F37" s="43"/>
      <c r="G37" s="43"/>
      <c r="H37" s="43"/>
      <c r="I37" s="43"/>
      <c r="J37" s="43"/>
      <c r="K37" s="43">
        <v>1</v>
      </c>
      <c r="L37" s="43">
        <v>1</v>
      </c>
      <c r="M37" s="43"/>
      <c r="N37" s="43"/>
      <c r="O37" s="43"/>
      <c r="P37" s="43"/>
      <c r="Q37" s="43"/>
      <c r="R37" s="43"/>
      <c r="S37" s="43"/>
      <c r="T37" s="43"/>
      <c r="U37" s="43"/>
      <c r="V37" s="19">
        <v>2</v>
      </c>
    </row>
    <row r="38" spans="1:22">
      <c r="A38" s="20"/>
      <c r="B38" s="16" t="s">
        <v>302</v>
      </c>
      <c r="C38" s="16">
        <v>1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19"/>
    </row>
    <row r="39" spans="1:22">
      <c r="A39" s="20"/>
      <c r="B39" s="20"/>
      <c r="C39" s="21">
        <v>2</v>
      </c>
      <c r="D39" s="4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2"/>
    </row>
    <row r="40" spans="1:22">
      <c r="A40" s="20"/>
      <c r="B40" s="20"/>
      <c r="C40" s="21">
        <v>3</v>
      </c>
      <c r="D40" s="4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22"/>
    </row>
    <row r="41" spans="1:22">
      <c r="A41" s="20"/>
      <c r="B41" s="20"/>
      <c r="C41" s="21">
        <v>4</v>
      </c>
      <c r="D41" s="4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2"/>
    </row>
    <row r="42" spans="1:22">
      <c r="A42" s="20"/>
      <c r="B42" s="20"/>
      <c r="C42" s="21">
        <v>5</v>
      </c>
      <c r="D42" s="4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2"/>
    </row>
    <row r="43" spans="1:22">
      <c r="A43" s="20"/>
      <c r="B43" s="20"/>
      <c r="C43" s="21">
        <v>6</v>
      </c>
      <c r="D43" s="4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2"/>
    </row>
    <row r="44" spans="1:22">
      <c r="A44" s="20"/>
      <c r="B44" s="16" t="s">
        <v>825</v>
      </c>
      <c r="C44" s="2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19"/>
    </row>
    <row r="45" spans="1:22">
      <c r="A45" s="16" t="s">
        <v>752</v>
      </c>
      <c r="B45" s="23"/>
      <c r="C45" s="23"/>
      <c r="D45" s="42"/>
      <c r="E45" s="43">
        <v>1</v>
      </c>
      <c r="F45" s="43"/>
      <c r="G45" s="43"/>
      <c r="H45" s="43"/>
      <c r="I45" s="43"/>
      <c r="J45" s="43"/>
      <c r="K45" s="43">
        <v>2</v>
      </c>
      <c r="L45" s="43">
        <v>1</v>
      </c>
      <c r="M45" s="43"/>
      <c r="N45" s="43"/>
      <c r="O45" s="43"/>
      <c r="P45" s="43"/>
      <c r="Q45" s="43"/>
      <c r="R45" s="43"/>
      <c r="S45" s="43"/>
      <c r="T45" s="43"/>
      <c r="U45" s="43"/>
      <c r="V45" s="19">
        <v>4</v>
      </c>
    </row>
    <row r="46" spans="1:22">
      <c r="A46" s="16" t="s">
        <v>670</v>
      </c>
      <c r="B46" s="16" t="s">
        <v>400</v>
      </c>
      <c r="C46" s="16">
        <v>1</v>
      </c>
      <c r="D46" s="42"/>
      <c r="E46" s="43"/>
      <c r="F46" s="43"/>
      <c r="G46" s="43"/>
      <c r="H46" s="43"/>
      <c r="I46" s="43"/>
      <c r="J46" s="43"/>
      <c r="K46" s="43">
        <v>1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19">
        <v>1</v>
      </c>
    </row>
    <row r="47" spans="1:22">
      <c r="A47" s="20"/>
      <c r="B47" s="20"/>
      <c r="C47" s="21">
        <v>2</v>
      </c>
      <c r="D47" s="44"/>
      <c r="E47" s="7">
        <v>2</v>
      </c>
      <c r="F47" s="7"/>
      <c r="G47" s="7"/>
      <c r="H47" s="7"/>
      <c r="I47" s="7"/>
      <c r="J47" s="7"/>
      <c r="K47" s="7">
        <v>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22">
        <v>3</v>
      </c>
    </row>
    <row r="48" spans="1:22">
      <c r="A48" s="20"/>
      <c r="B48" s="20"/>
      <c r="C48" s="21">
        <v>3</v>
      </c>
      <c r="D48" s="44"/>
      <c r="E48" s="7">
        <v>1</v>
      </c>
      <c r="F48" s="7"/>
      <c r="G48" s="7"/>
      <c r="H48" s="7"/>
      <c r="I48" s="7"/>
      <c r="J48" s="7"/>
      <c r="K48" s="7"/>
      <c r="L48" s="7"/>
      <c r="M48" s="7"/>
      <c r="N48" s="7"/>
      <c r="O48" s="7">
        <v>0</v>
      </c>
      <c r="P48" s="7"/>
      <c r="Q48" s="7"/>
      <c r="R48" s="7"/>
      <c r="S48" s="7"/>
      <c r="T48" s="7"/>
      <c r="U48" s="7"/>
      <c r="V48" s="22">
        <v>1</v>
      </c>
    </row>
    <row r="49" spans="1:22">
      <c r="A49" s="20"/>
      <c r="B49" s="20"/>
      <c r="C49" s="21">
        <v>4</v>
      </c>
      <c r="D49" s="44"/>
      <c r="E49" s="7"/>
      <c r="F49" s="7"/>
      <c r="G49" s="7">
        <v>1</v>
      </c>
      <c r="H49" s="7"/>
      <c r="I49" s="7"/>
      <c r="J49" s="7"/>
      <c r="K49" s="7">
        <v>1</v>
      </c>
      <c r="L49" s="7"/>
      <c r="M49" s="7"/>
      <c r="N49" s="7"/>
      <c r="O49" s="7">
        <v>0</v>
      </c>
      <c r="P49" s="7"/>
      <c r="Q49" s="7"/>
      <c r="R49" s="7"/>
      <c r="S49" s="7"/>
      <c r="T49" s="7"/>
      <c r="U49" s="7"/>
      <c r="V49" s="22">
        <v>2</v>
      </c>
    </row>
    <row r="50" spans="1:22">
      <c r="A50" s="20"/>
      <c r="B50" s="20"/>
      <c r="C50" s="21">
        <v>5</v>
      </c>
      <c r="D50" s="44"/>
      <c r="E50" s="7"/>
      <c r="F50" s="7"/>
      <c r="G50" s="7"/>
      <c r="H50" s="7"/>
      <c r="I50" s="7"/>
      <c r="J50" s="7"/>
      <c r="K50" s="7"/>
      <c r="L50" s="7"/>
      <c r="M50" s="7">
        <v>1</v>
      </c>
      <c r="N50" s="7"/>
      <c r="O50" s="7"/>
      <c r="P50" s="7"/>
      <c r="Q50" s="7"/>
      <c r="R50" s="7"/>
      <c r="S50" s="7"/>
      <c r="T50" s="7"/>
      <c r="U50" s="7"/>
      <c r="V50" s="22">
        <v>1</v>
      </c>
    </row>
    <row r="51" spans="1:22">
      <c r="A51" s="20"/>
      <c r="B51" s="20"/>
      <c r="C51" s="21">
        <v>6</v>
      </c>
      <c r="D51" s="4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22"/>
    </row>
    <row r="52" spans="1:22">
      <c r="A52" s="20"/>
      <c r="B52" s="16" t="s">
        <v>731</v>
      </c>
      <c r="C52" s="23"/>
      <c r="D52" s="42"/>
      <c r="E52" s="43">
        <v>3</v>
      </c>
      <c r="F52" s="43"/>
      <c r="G52" s="43">
        <v>1</v>
      </c>
      <c r="H52" s="43"/>
      <c r="I52" s="43"/>
      <c r="J52" s="43"/>
      <c r="K52" s="43">
        <v>3</v>
      </c>
      <c r="L52" s="43"/>
      <c r="M52" s="43">
        <v>1</v>
      </c>
      <c r="N52" s="43"/>
      <c r="O52" s="43">
        <v>0</v>
      </c>
      <c r="P52" s="43"/>
      <c r="Q52" s="43"/>
      <c r="R52" s="43"/>
      <c r="S52" s="43"/>
      <c r="T52" s="43"/>
      <c r="U52" s="43"/>
      <c r="V52" s="19">
        <v>8</v>
      </c>
    </row>
    <row r="53" spans="1:22">
      <c r="A53" s="20"/>
      <c r="B53" s="16" t="s">
        <v>671</v>
      </c>
      <c r="C53" s="16">
        <v>1</v>
      </c>
      <c r="D53" s="42"/>
      <c r="E53" s="43"/>
      <c r="F53" s="43"/>
      <c r="G53" s="43"/>
      <c r="H53" s="43"/>
      <c r="I53" s="43"/>
      <c r="J53" s="43"/>
      <c r="K53" s="43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19">
        <v>2</v>
      </c>
    </row>
    <row r="54" spans="1:22">
      <c r="A54" s="20"/>
      <c r="B54" s="20"/>
      <c r="C54" s="21">
        <v>2</v>
      </c>
      <c r="D54" s="44"/>
      <c r="E54" s="7"/>
      <c r="F54" s="7"/>
      <c r="G54" s="7"/>
      <c r="H54" s="7"/>
      <c r="I54" s="7"/>
      <c r="J54" s="7"/>
      <c r="K54" s="7">
        <v>1</v>
      </c>
      <c r="L54" s="7"/>
      <c r="M54" s="7">
        <v>3</v>
      </c>
      <c r="N54" s="7"/>
      <c r="O54" s="7"/>
      <c r="P54" s="7"/>
      <c r="Q54" s="7"/>
      <c r="R54" s="7"/>
      <c r="S54" s="7"/>
      <c r="T54" s="7"/>
      <c r="U54" s="7"/>
      <c r="V54" s="22">
        <v>4</v>
      </c>
    </row>
    <row r="55" spans="1:22">
      <c r="A55" s="20"/>
      <c r="B55" s="20"/>
      <c r="C55" s="21">
        <v>3</v>
      </c>
      <c r="D55" s="44"/>
      <c r="E55" s="7"/>
      <c r="F55" s="7"/>
      <c r="G55" s="7"/>
      <c r="H55" s="7"/>
      <c r="I55" s="7"/>
      <c r="J55" s="7"/>
      <c r="K55" s="7">
        <v>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22">
        <v>3</v>
      </c>
    </row>
    <row r="56" spans="1:22">
      <c r="A56" s="20"/>
      <c r="B56" s="20"/>
      <c r="C56" s="21">
        <v>4</v>
      </c>
      <c r="D56" s="44"/>
      <c r="E56" s="7">
        <v>3</v>
      </c>
      <c r="F56" s="7"/>
      <c r="G56" s="7">
        <v>2</v>
      </c>
      <c r="H56" s="7"/>
      <c r="I56" s="7"/>
      <c r="J56" s="7"/>
      <c r="K56" s="7">
        <v>2</v>
      </c>
      <c r="L56" s="7"/>
      <c r="M56" s="7"/>
      <c r="N56" s="7"/>
      <c r="O56" s="7">
        <v>0</v>
      </c>
      <c r="P56" s="7"/>
      <c r="Q56" s="7"/>
      <c r="R56" s="7"/>
      <c r="S56" s="7"/>
      <c r="T56" s="7"/>
      <c r="U56" s="7"/>
      <c r="V56" s="22">
        <v>7</v>
      </c>
    </row>
    <row r="57" spans="1:22">
      <c r="A57" s="20"/>
      <c r="B57" s="20"/>
      <c r="C57" s="21">
        <v>5</v>
      </c>
      <c r="D57" s="4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2"/>
    </row>
    <row r="58" spans="1:22">
      <c r="A58" s="20"/>
      <c r="B58" s="20"/>
      <c r="C58" s="21">
        <v>6</v>
      </c>
      <c r="D58" s="44"/>
      <c r="E58" s="7"/>
      <c r="F58" s="7"/>
      <c r="G58" s="7"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22">
        <v>1</v>
      </c>
    </row>
    <row r="59" spans="1:22">
      <c r="A59" s="20"/>
      <c r="B59" s="20"/>
      <c r="C59" s="21">
        <v>7</v>
      </c>
      <c r="D59" s="4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2"/>
    </row>
    <row r="60" spans="1:22">
      <c r="A60" s="20"/>
      <c r="B60" s="16" t="s">
        <v>753</v>
      </c>
      <c r="C60" s="23"/>
      <c r="D60" s="42"/>
      <c r="E60" s="43">
        <v>3</v>
      </c>
      <c r="F60" s="43"/>
      <c r="G60" s="43">
        <v>3</v>
      </c>
      <c r="H60" s="43"/>
      <c r="I60" s="43"/>
      <c r="J60" s="43"/>
      <c r="K60" s="43">
        <v>8</v>
      </c>
      <c r="L60" s="43"/>
      <c r="M60" s="43">
        <v>3</v>
      </c>
      <c r="N60" s="43"/>
      <c r="O60" s="43">
        <v>0</v>
      </c>
      <c r="P60" s="43"/>
      <c r="Q60" s="43"/>
      <c r="R60" s="43"/>
      <c r="S60" s="43"/>
      <c r="T60" s="43"/>
      <c r="U60" s="43"/>
      <c r="V60" s="19">
        <v>17</v>
      </c>
    </row>
    <row r="61" spans="1:22">
      <c r="A61" s="20"/>
      <c r="B61" s="16" t="s">
        <v>41</v>
      </c>
      <c r="C61" s="16">
        <v>1</v>
      </c>
      <c r="D61" s="42"/>
      <c r="E61" s="43"/>
      <c r="F61" s="43"/>
      <c r="G61" s="43"/>
      <c r="H61" s="43"/>
      <c r="I61" s="43"/>
      <c r="J61" s="43"/>
      <c r="K61" s="43">
        <v>1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19">
        <v>1</v>
      </c>
    </row>
    <row r="62" spans="1:22">
      <c r="A62" s="20"/>
      <c r="B62" s="20"/>
      <c r="C62" s="21">
        <v>2</v>
      </c>
      <c r="D62" s="44"/>
      <c r="E62" s="7"/>
      <c r="F62" s="7"/>
      <c r="G62" s="7"/>
      <c r="H62" s="7"/>
      <c r="I62" s="7"/>
      <c r="J62" s="7"/>
      <c r="K62" s="7">
        <v>2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22">
        <v>2</v>
      </c>
    </row>
    <row r="63" spans="1:22">
      <c r="A63" s="20"/>
      <c r="B63" s="20"/>
      <c r="C63" s="21">
        <v>3</v>
      </c>
      <c r="D63" s="4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22"/>
    </row>
    <row r="64" spans="1:22">
      <c r="A64" s="20"/>
      <c r="B64" s="20"/>
      <c r="C64" s="21">
        <v>4</v>
      </c>
      <c r="D64" s="4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22"/>
    </row>
    <row r="65" spans="1:22">
      <c r="A65" s="20"/>
      <c r="B65" s="20"/>
      <c r="C65" s="21">
        <v>5</v>
      </c>
      <c r="D65" s="4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22"/>
    </row>
    <row r="66" spans="1:22">
      <c r="A66" s="20"/>
      <c r="B66" s="20"/>
      <c r="C66" s="21">
        <v>6</v>
      </c>
      <c r="D66" s="44"/>
      <c r="E66" s="7"/>
      <c r="F66" s="7"/>
      <c r="G66" s="7"/>
      <c r="H66" s="7"/>
      <c r="I66" s="7"/>
      <c r="J66" s="7"/>
      <c r="K66" s="7">
        <v>1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22">
        <v>1</v>
      </c>
    </row>
    <row r="67" spans="1:22">
      <c r="A67" s="20"/>
      <c r="B67" s="20"/>
      <c r="C67" s="21">
        <v>7</v>
      </c>
      <c r="D67" s="4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22"/>
    </row>
    <row r="68" spans="1:22">
      <c r="A68" s="20"/>
      <c r="B68" s="20"/>
      <c r="C68" s="21">
        <v>8</v>
      </c>
      <c r="D68" s="44"/>
      <c r="E68" s="7"/>
      <c r="F68" s="7"/>
      <c r="G68" s="7"/>
      <c r="H68" s="7"/>
      <c r="I68" s="7"/>
      <c r="J68" s="7"/>
      <c r="K68" s="7">
        <v>1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22">
        <v>1</v>
      </c>
    </row>
    <row r="69" spans="1:22">
      <c r="A69" s="20"/>
      <c r="B69" s="16" t="s">
        <v>659</v>
      </c>
      <c r="C69" s="23"/>
      <c r="D69" s="42"/>
      <c r="E69" s="43"/>
      <c r="F69" s="43"/>
      <c r="G69" s="43"/>
      <c r="H69" s="43"/>
      <c r="I69" s="43"/>
      <c r="J69" s="43"/>
      <c r="K69" s="43">
        <v>5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19">
        <v>5</v>
      </c>
    </row>
    <row r="70" spans="1:22">
      <c r="A70" s="16" t="s">
        <v>754</v>
      </c>
      <c r="B70" s="23"/>
      <c r="C70" s="23"/>
      <c r="D70" s="42"/>
      <c r="E70" s="43">
        <v>6</v>
      </c>
      <c r="F70" s="43"/>
      <c r="G70" s="43">
        <v>4</v>
      </c>
      <c r="H70" s="43"/>
      <c r="I70" s="43"/>
      <c r="J70" s="43"/>
      <c r="K70" s="43">
        <v>16</v>
      </c>
      <c r="L70" s="43"/>
      <c r="M70" s="43">
        <v>4</v>
      </c>
      <c r="N70" s="43"/>
      <c r="O70" s="43">
        <v>0</v>
      </c>
      <c r="P70" s="43"/>
      <c r="Q70" s="43"/>
      <c r="R70" s="43"/>
      <c r="S70" s="43"/>
      <c r="T70" s="43"/>
      <c r="U70" s="43"/>
      <c r="V70" s="19">
        <v>30</v>
      </c>
    </row>
    <row r="71" spans="1:22">
      <c r="A71" s="16" t="s">
        <v>163</v>
      </c>
      <c r="B71" s="16" t="s">
        <v>163</v>
      </c>
      <c r="C71" s="16" t="s">
        <v>163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19"/>
    </row>
    <row r="72" spans="1:22">
      <c r="A72" s="20"/>
      <c r="B72" s="16" t="s">
        <v>368</v>
      </c>
      <c r="C72" s="23"/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19"/>
    </row>
    <row r="73" spans="1:22">
      <c r="A73" s="16" t="s">
        <v>368</v>
      </c>
      <c r="B73" s="23"/>
      <c r="C73" s="23"/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19"/>
    </row>
    <row r="74" spans="1:22">
      <c r="A74" s="26" t="s">
        <v>755</v>
      </c>
      <c r="B74" s="27"/>
      <c r="C74" s="27"/>
      <c r="D74" s="45"/>
      <c r="E74" s="46">
        <v>11</v>
      </c>
      <c r="F74" s="46"/>
      <c r="G74" s="46">
        <v>6</v>
      </c>
      <c r="H74" s="46"/>
      <c r="I74" s="46"/>
      <c r="J74" s="46"/>
      <c r="K74" s="46">
        <v>23</v>
      </c>
      <c r="L74" s="46">
        <v>2</v>
      </c>
      <c r="M74" s="46">
        <v>4</v>
      </c>
      <c r="N74" s="46"/>
      <c r="O74" s="46">
        <v>0</v>
      </c>
      <c r="P74" s="46"/>
      <c r="Q74" s="46"/>
      <c r="R74" s="46"/>
      <c r="S74" s="46"/>
      <c r="T74" s="46"/>
      <c r="U74" s="46"/>
      <c r="V74" s="28">
        <v>46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750"/>
  <sheetViews>
    <sheetView topLeftCell="F1" workbookViewId="0">
      <pane ySplit="980" topLeftCell="A210" activePane="bottomLeft"/>
      <selection activeCell="S1" sqref="S1:X1048576"/>
      <selection pane="bottomLeft" activeCell="N320" sqref="N320"/>
    </sheetView>
  </sheetViews>
  <sheetFormatPr baseColWidth="10" defaultRowHeight="12"/>
  <sheetData>
    <row r="1" spans="1:24">
      <c r="D1" t="s">
        <v>847</v>
      </c>
      <c r="E1" s="8" t="s">
        <v>630</v>
      </c>
      <c r="F1" t="s">
        <v>429</v>
      </c>
      <c r="G1" t="s">
        <v>431</v>
      </c>
      <c r="H1" t="s">
        <v>840</v>
      </c>
      <c r="I1" t="s">
        <v>842</v>
      </c>
      <c r="J1" t="s">
        <v>844</v>
      </c>
      <c r="K1" t="s">
        <v>846</v>
      </c>
      <c r="L1" t="s">
        <v>429</v>
      </c>
      <c r="M1" t="s">
        <v>431</v>
      </c>
      <c r="N1" t="s">
        <v>840</v>
      </c>
      <c r="O1" t="s">
        <v>842</v>
      </c>
      <c r="P1" t="s">
        <v>844</v>
      </c>
      <c r="Q1" t="s">
        <v>846</v>
      </c>
    </row>
    <row r="2" spans="1:24">
      <c r="D2" s="17" t="s">
        <v>169</v>
      </c>
      <c r="E2" s="17" t="s">
        <v>169</v>
      </c>
      <c r="F2" s="17" t="s">
        <v>169</v>
      </c>
      <c r="G2" s="17" t="s">
        <v>169</v>
      </c>
      <c r="H2" s="17" t="s">
        <v>169</v>
      </c>
      <c r="I2" s="17" t="s">
        <v>169</v>
      </c>
      <c r="J2" s="17" t="s">
        <v>169</v>
      </c>
      <c r="K2" s="17" t="s">
        <v>169</v>
      </c>
      <c r="L2" s="17" t="s">
        <v>251</v>
      </c>
      <c r="M2" s="17" t="s">
        <v>251</v>
      </c>
      <c r="N2" s="17" t="s">
        <v>251</v>
      </c>
      <c r="O2" s="17" t="s">
        <v>251</v>
      </c>
      <c r="P2" s="17" t="s">
        <v>251</v>
      </c>
      <c r="Q2" s="17" t="s">
        <v>251</v>
      </c>
      <c r="S2" t="s">
        <v>854</v>
      </c>
      <c r="T2" t="s">
        <v>69</v>
      </c>
      <c r="U2" t="s">
        <v>859</v>
      </c>
      <c r="V2" t="s">
        <v>855</v>
      </c>
      <c r="W2" t="s">
        <v>856</v>
      </c>
      <c r="X2" t="s">
        <v>860</v>
      </c>
    </row>
    <row r="3" spans="1:24">
      <c r="A3" s="16" t="s">
        <v>276</v>
      </c>
      <c r="B3" s="16" t="s">
        <v>290</v>
      </c>
      <c r="C3" s="16">
        <v>1</v>
      </c>
      <c r="D3" s="17"/>
      <c r="E3" s="43"/>
      <c r="F3" s="43"/>
      <c r="G3" s="43"/>
      <c r="H3" s="43"/>
      <c r="I3" s="43"/>
      <c r="J3" s="43"/>
      <c r="K3" s="43"/>
      <c r="L3" s="43">
        <v>1</v>
      </c>
      <c r="M3" s="43"/>
      <c r="N3" s="43"/>
      <c r="O3" s="43"/>
      <c r="P3" s="43">
        <v>2</v>
      </c>
      <c r="Q3" s="43">
        <v>2</v>
      </c>
      <c r="S3" t="s">
        <v>857</v>
      </c>
      <c r="T3" t="s">
        <v>858</v>
      </c>
      <c r="U3" s="38">
        <v>1</v>
      </c>
      <c r="V3" t="s">
        <v>170</v>
      </c>
      <c r="W3" t="s">
        <v>847</v>
      </c>
    </row>
    <row r="4" spans="1:24">
      <c r="A4" s="20"/>
      <c r="B4" s="20"/>
      <c r="C4" s="21">
        <v>2</v>
      </c>
      <c r="D4" s="38"/>
      <c r="E4" s="7"/>
      <c r="F4" s="7"/>
      <c r="G4" s="7"/>
      <c r="H4" s="7"/>
      <c r="I4" s="7">
        <v>1</v>
      </c>
      <c r="J4" s="7"/>
      <c r="K4" s="7"/>
      <c r="L4" s="7">
        <v>9</v>
      </c>
      <c r="M4" s="7">
        <v>3</v>
      </c>
      <c r="N4" s="7">
        <v>3</v>
      </c>
      <c r="O4" s="7">
        <v>3</v>
      </c>
      <c r="P4" s="7">
        <v>1</v>
      </c>
      <c r="Q4" s="7"/>
      <c r="S4" t="s">
        <v>857</v>
      </c>
      <c r="T4" t="s">
        <v>858</v>
      </c>
      <c r="U4" s="38">
        <v>1</v>
      </c>
      <c r="V4" t="s">
        <v>170</v>
      </c>
      <c r="W4" t="s">
        <v>866</v>
      </c>
    </row>
    <row r="5" spans="1:24">
      <c r="A5" s="20"/>
      <c r="B5" s="20"/>
      <c r="C5" s="21">
        <v>3</v>
      </c>
      <c r="D5" s="38">
        <v>8</v>
      </c>
      <c r="E5" s="7"/>
      <c r="F5" s="7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S5" t="s">
        <v>857</v>
      </c>
      <c r="T5" t="s">
        <v>858</v>
      </c>
      <c r="U5" s="38">
        <v>1</v>
      </c>
      <c r="V5" t="s">
        <v>170</v>
      </c>
      <c r="W5" t="s">
        <v>631</v>
      </c>
    </row>
    <row r="6" spans="1:24">
      <c r="A6" s="20"/>
      <c r="B6" s="20"/>
      <c r="C6" s="21">
        <v>3</v>
      </c>
      <c r="D6" s="38">
        <v>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S6" t="s">
        <v>857</v>
      </c>
      <c r="T6" t="s">
        <v>858</v>
      </c>
      <c r="U6" s="38">
        <v>1</v>
      </c>
      <c r="V6" t="s">
        <v>170</v>
      </c>
      <c r="W6" s="38" t="s">
        <v>430</v>
      </c>
    </row>
    <row r="7" spans="1:24">
      <c r="A7" s="20"/>
      <c r="B7" s="20"/>
      <c r="C7" s="21">
        <v>3</v>
      </c>
      <c r="D7" s="38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S7" t="s">
        <v>857</v>
      </c>
      <c r="T7" t="s">
        <v>858</v>
      </c>
      <c r="U7" s="38">
        <v>1</v>
      </c>
      <c r="V7" t="s">
        <v>170</v>
      </c>
      <c r="W7" s="38" t="s">
        <v>432</v>
      </c>
    </row>
    <row r="8" spans="1:24">
      <c r="A8" s="20"/>
      <c r="B8" s="20"/>
      <c r="C8" s="21">
        <v>4</v>
      </c>
      <c r="D8" s="41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S8" t="s">
        <v>857</v>
      </c>
      <c r="T8" t="s">
        <v>858</v>
      </c>
      <c r="U8" s="38">
        <v>1</v>
      </c>
      <c r="V8" t="s">
        <v>170</v>
      </c>
      <c r="W8" s="38" t="s">
        <v>841</v>
      </c>
    </row>
    <row r="9" spans="1:24">
      <c r="A9" s="20"/>
      <c r="B9" s="20"/>
      <c r="C9" s="21">
        <v>4</v>
      </c>
      <c r="D9" s="9">
        <v>8</v>
      </c>
      <c r="E9" s="9" t="s">
        <v>447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S9" t="s">
        <v>857</v>
      </c>
      <c r="T9" t="s">
        <v>858</v>
      </c>
      <c r="U9" s="38">
        <v>1</v>
      </c>
      <c r="V9" t="s">
        <v>170</v>
      </c>
      <c r="W9" t="s">
        <v>843</v>
      </c>
    </row>
    <row r="10" spans="1:24">
      <c r="A10" s="20"/>
      <c r="B10" s="20"/>
      <c r="C10" s="21">
        <v>5</v>
      </c>
      <c r="D10" s="9">
        <v>8</v>
      </c>
      <c r="E10" s="9" t="s">
        <v>447</v>
      </c>
      <c r="F10" s="7">
        <v>1</v>
      </c>
      <c r="G10" s="7"/>
      <c r="H10" s="7"/>
      <c r="I10" s="7">
        <v>1</v>
      </c>
      <c r="J10" s="7"/>
      <c r="K10" s="7"/>
      <c r="L10" s="7"/>
      <c r="M10" s="7"/>
      <c r="N10" s="7"/>
      <c r="O10" s="7"/>
      <c r="P10" s="7"/>
      <c r="Q10" s="7"/>
      <c r="S10" t="s">
        <v>857</v>
      </c>
      <c r="T10" t="s">
        <v>858</v>
      </c>
      <c r="U10" s="38">
        <v>1</v>
      </c>
      <c r="V10" t="s">
        <v>170</v>
      </c>
      <c r="W10" t="s">
        <v>845</v>
      </c>
    </row>
    <row r="11" spans="1:24">
      <c r="A11" s="20"/>
      <c r="B11" s="20"/>
      <c r="C11" s="21">
        <v>5</v>
      </c>
      <c r="D11" s="9">
        <v>7</v>
      </c>
      <c r="E11" s="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S11" t="s">
        <v>857</v>
      </c>
      <c r="T11" t="s">
        <v>858</v>
      </c>
      <c r="U11" s="41">
        <v>2</v>
      </c>
      <c r="V11" t="s">
        <v>170</v>
      </c>
      <c r="W11" t="s">
        <v>631</v>
      </c>
    </row>
    <row r="12" spans="1:24">
      <c r="A12" s="20"/>
      <c r="B12" s="20"/>
      <c r="C12" s="21">
        <v>5</v>
      </c>
      <c r="D12" s="9">
        <v>8</v>
      </c>
      <c r="E12" s="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S12" t="s">
        <v>857</v>
      </c>
      <c r="T12" t="s">
        <v>858</v>
      </c>
      <c r="U12" s="41">
        <v>2</v>
      </c>
      <c r="V12" t="s">
        <v>170</v>
      </c>
      <c r="W12" s="38" t="s">
        <v>430</v>
      </c>
    </row>
    <row r="13" spans="1:24">
      <c r="A13" s="20"/>
      <c r="B13" s="20"/>
      <c r="C13" s="21"/>
      <c r="D13" s="9"/>
      <c r="E13" s="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S13" t="s">
        <v>857</v>
      </c>
      <c r="T13" t="s">
        <v>858</v>
      </c>
      <c r="U13" s="41">
        <v>2</v>
      </c>
      <c r="V13" t="s">
        <v>170</v>
      </c>
      <c r="W13" s="38" t="s">
        <v>432</v>
      </c>
    </row>
    <row r="14" spans="1:24">
      <c r="A14" s="20"/>
      <c r="B14" s="20"/>
      <c r="C14" s="21">
        <v>6</v>
      </c>
      <c r="D14" s="9" t="s">
        <v>501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 t="s">
        <v>857</v>
      </c>
      <c r="T14" t="s">
        <v>858</v>
      </c>
      <c r="U14" s="41">
        <v>2</v>
      </c>
      <c r="V14" t="s">
        <v>170</v>
      </c>
      <c r="W14" s="38" t="s">
        <v>841</v>
      </c>
    </row>
    <row r="15" spans="1:24">
      <c r="A15" s="20"/>
      <c r="B15" s="16" t="s">
        <v>743</v>
      </c>
      <c r="C15" s="23"/>
      <c r="D15" s="17"/>
      <c r="E15" s="43">
        <v>2</v>
      </c>
      <c r="F15" s="43">
        <v>5</v>
      </c>
      <c r="G15" s="43"/>
      <c r="H15" s="43"/>
      <c r="I15" s="43">
        <v>2</v>
      </c>
      <c r="J15" s="43"/>
      <c r="K15" s="43"/>
      <c r="L15" s="43">
        <v>10</v>
      </c>
      <c r="M15" s="43">
        <v>3</v>
      </c>
      <c r="N15" s="43">
        <v>3</v>
      </c>
      <c r="O15" s="43">
        <v>3</v>
      </c>
      <c r="P15" s="43">
        <v>3</v>
      </c>
      <c r="Q15" s="43">
        <v>2</v>
      </c>
      <c r="S15" t="s">
        <v>857</v>
      </c>
      <c r="T15" t="s">
        <v>858</v>
      </c>
      <c r="U15" s="41">
        <v>2</v>
      </c>
      <c r="V15" t="s">
        <v>170</v>
      </c>
      <c r="W15" t="s">
        <v>843</v>
      </c>
    </row>
    <row r="16" spans="1:24">
      <c r="A16" s="20"/>
      <c r="B16" s="16" t="s">
        <v>234</v>
      </c>
      <c r="C16" s="16">
        <v>1</v>
      </c>
      <c r="D16" s="17" t="s">
        <v>848</v>
      </c>
      <c r="E16" t="s">
        <v>444</v>
      </c>
      <c r="F16" s="43"/>
      <c r="G16" s="43">
        <v>1</v>
      </c>
      <c r="H16" s="43"/>
      <c r="I16" s="43"/>
      <c r="J16" s="43"/>
      <c r="K16" s="43">
        <v>1</v>
      </c>
      <c r="L16" s="43"/>
      <c r="M16" s="43"/>
      <c r="N16" s="43"/>
      <c r="O16" s="43"/>
      <c r="P16" s="43"/>
      <c r="Q16" s="43"/>
      <c r="S16" t="s">
        <v>857</v>
      </c>
      <c r="T16" t="s">
        <v>858</v>
      </c>
      <c r="U16" s="41">
        <v>2</v>
      </c>
      <c r="V16" t="s">
        <v>170</v>
      </c>
      <c r="W16" t="s">
        <v>845</v>
      </c>
    </row>
    <row r="17" spans="1:24">
      <c r="A17" s="20"/>
      <c r="B17" s="20"/>
      <c r="C17" s="21">
        <v>2</v>
      </c>
      <c r="D17" s="38"/>
      <c r="E17" t="s">
        <v>447</v>
      </c>
      <c r="F17" s="7">
        <v>1</v>
      </c>
      <c r="G17" s="7"/>
      <c r="H17" s="7"/>
      <c r="I17" s="7">
        <v>1</v>
      </c>
      <c r="J17" s="7">
        <v>1</v>
      </c>
      <c r="K17" s="7"/>
      <c r="L17" s="7"/>
      <c r="M17" s="7"/>
      <c r="N17" s="7"/>
      <c r="O17" s="7"/>
      <c r="P17" s="7"/>
      <c r="Q17" s="7"/>
      <c r="S17" t="s">
        <v>857</v>
      </c>
      <c r="T17" t="s">
        <v>858</v>
      </c>
      <c r="U17" s="38">
        <v>3</v>
      </c>
      <c r="V17" t="s">
        <v>170</v>
      </c>
      <c r="W17" t="s">
        <v>847</v>
      </c>
      <c r="X17" t="s">
        <v>784</v>
      </c>
    </row>
    <row r="18" spans="1:24">
      <c r="A18" s="20"/>
      <c r="B18" s="20"/>
      <c r="C18" s="21">
        <v>3</v>
      </c>
      <c r="D18" s="38" t="s">
        <v>849</v>
      </c>
      <c r="E18" t="s">
        <v>447</v>
      </c>
      <c r="F18" s="7">
        <v>1</v>
      </c>
      <c r="G18" s="7"/>
      <c r="H18" s="7"/>
      <c r="I18" s="7"/>
      <c r="J18" s="7"/>
      <c r="K18" s="7">
        <v>1</v>
      </c>
      <c r="L18" s="7"/>
      <c r="M18" s="7"/>
      <c r="N18" s="7"/>
      <c r="O18" s="7"/>
      <c r="P18" s="7"/>
      <c r="Q18" s="7"/>
      <c r="S18" t="s">
        <v>857</v>
      </c>
      <c r="T18" t="s">
        <v>858</v>
      </c>
      <c r="U18" s="38">
        <v>3</v>
      </c>
      <c r="V18" t="s">
        <v>170</v>
      </c>
      <c r="W18" t="s">
        <v>866</v>
      </c>
    </row>
    <row r="19" spans="1:24">
      <c r="A19" s="20"/>
      <c r="B19" s="20"/>
      <c r="C19" s="21">
        <v>4</v>
      </c>
      <c r="D19" t="s">
        <v>850</v>
      </c>
      <c r="E19" t="s">
        <v>447</v>
      </c>
      <c r="F19" s="7"/>
      <c r="G19" s="7"/>
      <c r="H19" s="7"/>
      <c r="I19" s="7">
        <v>1</v>
      </c>
      <c r="J19" s="7">
        <v>1</v>
      </c>
      <c r="K19" s="7"/>
      <c r="L19" s="7">
        <v>2</v>
      </c>
      <c r="M19" s="7"/>
      <c r="N19" s="7"/>
      <c r="O19" s="7"/>
      <c r="P19" s="7"/>
      <c r="Q19" s="7"/>
      <c r="S19" t="s">
        <v>857</v>
      </c>
      <c r="T19" t="s">
        <v>858</v>
      </c>
      <c r="U19" s="41">
        <v>3</v>
      </c>
      <c r="V19" t="s">
        <v>170</v>
      </c>
      <c r="W19" t="s">
        <v>631</v>
      </c>
      <c r="X19" s="7">
        <v>4</v>
      </c>
    </row>
    <row r="20" spans="1:24">
      <c r="A20" s="20"/>
      <c r="B20" s="20"/>
      <c r="C20" s="21">
        <v>5</v>
      </c>
      <c r="D20" t="s">
        <v>244</v>
      </c>
      <c r="E20" t="s">
        <v>245</v>
      </c>
      <c r="F20" s="7">
        <v>2</v>
      </c>
      <c r="G20" s="7">
        <v>2</v>
      </c>
      <c r="H20" s="7"/>
      <c r="I20" s="7"/>
      <c r="J20" s="7"/>
      <c r="K20" s="7"/>
      <c r="L20" s="7">
        <v>3</v>
      </c>
      <c r="M20" s="7"/>
      <c r="N20" s="7"/>
      <c r="O20" s="7">
        <v>1</v>
      </c>
      <c r="P20" s="7"/>
      <c r="Q20" s="7"/>
      <c r="S20" t="s">
        <v>857</v>
      </c>
      <c r="T20" t="s">
        <v>858</v>
      </c>
      <c r="U20" s="41">
        <v>3</v>
      </c>
      <c r="V20" t="s">
        <v>170</v>
      </c>
      <c r="W20" s="38" t="s">
        <v>430</v>
      </c>
      <c r="X20" s="7"/>
    </row>
    <row r="21" spans="1:24">
      <c r="A21" s="20"/>
      <c r="B21" s="20"/>
      <c r="C21" s="21">
        <v>6</v>
      </c>
      <c r="D21" t="s">
        <v>460</v>
      </c>
      <c r="E21" s="7"/>
      <c r="F21" s="7">
        <v>3</v>
      </c>
      <c r="G21" s="7">
        <v>3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  <c r="S21" t="s">
        <v>857</v>
      </c>
      <c r="T21" t="s">
        <v>858</v>
      </c>
      <c r="U21" s="30">
        <v>3</v>
      </c>
      <c r="V21" t="s">
        <v>170</v>
      </c>
      <c r="W21" s="38" t="s">
        <v>432</v>
      </c>
      <c r="X21" s="7"/>
    </row>
    <row r="22" spans="1:24">
      <c r="A22" s="20"/>
      <c r="B22" s="16" t="s">
        <v>567</v>
      </c>
      <c r="C22" s="23"/>
      <c r="D22" s="17"/>
      <c r="E22" s="43">
        <v>5</v>
      </c>
      <c r="F22" s="43">
        <v>7</v>
      </c>
      <c r="G22" s="43">
        <v>6</v>
      </c>
      <c r="H22" s="43">
        <v>1</v>
      </c>
      <c r="I22" s="43">
        <v>2</v>
      </c>
      <c r="J22" s="43">
        <v>2</v>
      </c>
      <c r="K22" s="43">
        <v>2</v>
      </c>
      <c r="L22" s="43">
        <v>5</v>
      </c>
      <c r="M22" s="43"/>
      <c r="N22" s="43"/>
      <c r="O22" s="43">
        <v>1</v>
      </c>
      <c r="P22" s="43"/>
      <c r="Q22" s="43"/>
      <c r="S22" t="s">
        <v>857</v>
      </c>
      <c r="T22" t="s">
        <v>858</v>
      </c>
      <c r="U22" s="30">
        <v>3</v>
      </c>
      <c r="V22" t="s">
        <v>170</v>
      </c>
      <c r="W22" s="38" t="s">
        <v>841</v>
      </c>
      <c r="X22" s="7"/>
    </row>
    <row r="23" spans="1:24">
      <c r="A23" s="20"/>
      <c r="B23" s="16" t="s">
        <v>461</v>
      </c>
      <c r="C23" s="16">
        <v>1</v>
      </c>
      <c r="D23" s="9" t="s">
        <v>143</v>
      </c>
      <c r="E23" s="9" t="s">
        <v>341</v>
      </c>
      <c r="F23" s="43">
        <v>1</v>
      </c>
      <c r="G23" s="43">
        <v>2</v>
      </c>
      <c r="H23" s="43"/>
      <c r="I23" s="43"/>
      <c r="J23" s="43"/>
      <c r="K23" s="43"/>
      <c r="L23" s="43">
        <v>2</v>
      </c>
      <c r="M23" s="43"/>
      <c r="N23" s="43"/>
      <c r="O23" s="43"/>
      <c r="P23" s="43"/>
      <c r="Q23" s="43"/>
      <c r="S23" t="s">
        <v>857</v>
      </c>
      <c r="T23" t="s">
        <v>858</v>
      </c>
      <c r="U23" s="30">
        <v>3</v>
      </c>
      <c r="V23" t="s">
        <v>170</v>
      </c>
      <c r="W23" t="s">
        <v>843</v>
      </c>
      <c r="X23" s="7"/>
    </row>
    <row r="24" spans="1:24">
      <c r="A24" s="20"/>
      <c r="B24" s="20"/>
      <c r="C24" s="21">
        <v>2</v>
      </c>
      <c r="D24" t="s">
        <v>244</v>
      </c>
      <c r="E24" t="s">
        <v>851</v>
      </c>
      <c r="F24" s="7"/>
      <c r="G24" s="7"/>
      <c r="H24" s="7"/>
      <c r="I24" s="7"/>
      <c r="J24" s="7"/>
      <c r="K24" s="7"/>
      <c r="L24" s="7">
        <v>2</v>
      </c>
      <c r="M24" s="7"/>
      <c r="N24" s="7"/>
      <c r="O24" s="7"/>
      <c r="P24" s="7"/>
      <c r="Q24" s="7"/>
      <c r="S24" t="s">
        <v>857</v>
      </c>
      <c r="T24" t="s">
        <v>858</v>
      </c>
      <c r="U24" s="30">
        <v>3</v>
      </c>
      <c r="V24" t="s">
        <v>170</v>
      </c>
      <c r="W24" t="s">
        <v>845</v>
      </c>
      <c r="X24" s="7"/>
    </row>
    <row r="25" spans="1:24">
      <c r="A25" s="20"/>
      <c r="B25" s="20"/>
      <c r="C25" s="21">
        <v>3</v>
      </c>
      <c r="D25" s="9" t="s">
        <v>244</v>
      </c>
      <c r="E25" s="9" t="s">
        <v>551</v>
      </c>
      <c r="F25" s="7">
        <v>3</v>
      </c>
      <c r="G25" s="7">
        <v>4</v>
      </c>
      <c r="H25" s="7"/>
      <c r="I25" s="7">
        <v>1</v>
      </c>
      <c r="J25" s="7"/>
      <c r="K25" s="7"/>
      <c r="L25" s="7"/>
      <c r="M25" s="7"/>
      <c r="N25" s="7"/>
      <c r="O25" s="7"/>
      <c r="P25" s="7"/>
      <c r="Q25" s="7"/>
      <c r="S25" t="s">
        <v>857</v>
      </c>
      <c r="T25" t="s">
        <v>858</v>
      </c>
      <c r="U25" s="38">
        <v>4</v>
      </c>
      <c r="V25" t="s">
        <v>170</v>
      </c>
      <c r="W25" t="s">
        <v>847</v>
      </c>
      <c r="X25" t="s">
        <v>829</v>
      </c>
    </row>
    <row r="26" spans="1:24">
      <c r="A26" s="20"/>
      <c r="B26" s="20"/>
      <c r="C26" s="21">
        <v>4</v>
      </c>
      <c r="D26" s="9" t="s">
        <v>343</v>
      </c>
      <c r="E26" s="9" t="s">
        <v>484</v>
      </c>
      <c r="F26" s="7">
        <v>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S26" t="s">
        <v>857</v>
      </c>
      <c r="T26" t="s">
        <v>858</v>
      </c>
      <c r="U26" s="38">
        <v>4</v>
      </c>
      <c r="V26" t="s">
        <v>170</v>
      </c>
      <c r="W26" t="s">
        <v>866</v>
      </c>
      <c r="X26" t="s">
        <v>789</v>
      </c>
    </row>
    <row r="27" spans="1:24">
      <c r="A27" s="20"/>
      <c r="B27" s="20"/>
      <c r="C27" s="21">
        <v>5</v>
      </c>
      <c r="D27" s="9" t="s">
        <v>487</v>
      </c>
      <c r="E27" s="9" t="s">
        <v>447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S27" t="s">
        <v>857</v>
      </c>
      <c r="T27" t="s">
        <v>858</v>
      </c>
      <c r="U27" s="30">
        <v>4</v>
      </c>
      <c r="V27" t="s">
        <v>170</v>
      </c>
      <c r="W27" t="s">
        <v>631</v>
      </c>
    </row>
    <row r="28" spans="1:24">
      <c r="A28" s="20"/>
      <c r="B28" s="20"/>
      <c r="C28" s="21">
        <v>6</v>
      </c>
      <c r="D28" s="9" t="s">
        <v>490</v>
      </c>
      <c r="E28" s="7"/>
      <c r="F28" s="7">
        <v>1</v>
      </c>
      <c r="G28" s="7"/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  <c r="S28" t="s">
        <v>857</v>
      </c>
      <c r="T28" t="s">
        <v>858</v>
      </c>
      <c r="U28" s="30">
        <v>4</v>
      </c>
      <c r="V28" t="s">
        <v>170</v>
      </c>
      <c r="W28" s="38" t="s">
        <v>430</v>
      </c>
    </row>
    <row r="29" spans="1:24">
      <c r="A29" s="20"/>
      <c r="B29" s="16" t="s">
        <v>746</v>
      </c>
      <c r="C29" s="23"/>
      <c r="D29" s="17"/>
      <c r="E29" s="43">
        <v>6</v>
      </c>
      <c r="F29" s="43">
        <v>6</v>
      </c>
      <c r="G29" s="43">
        <v>6</v>
      </c>
      <c r="H29" s="43">
        <v>1</v>
      </c>
      <c r="I29" s="43">
        <v>1</v>
      </c>
      <c r="J29" s="43"/>
      <c r="K29" s="43"/>
      <c r="L29" s="43">
        <v>4</v>
      </c>
      <c r="M29" s="43"/>
      <c r="N29" s="43"/>
      <c r="O29" s="43"/>
      <c r="P29" s="43"/>
      <c r="Q29" s="43"/>
      <c r="S29" t="s">
        <v>857</v>
      </c>
      <c r="T29" t="s">
        <v>858</v>
      </c>
      <c r="U29" s="30">
        <v>4</v>
      </c>
      <c r="V29" t="s">
        <v>170</v>
      </c>
      <c r="W29" s="38" t="s">
        <v>432</v>
      </c>
    </row>
    <row r="30" spans="1:24">
      <c r="A30" s="16" t="s">
        <v>823</v>
      </c>
      <c r="B30" s="23"/>
      <c r="C30" s="23"/>
      <c r="D30" s="17"/>
      <c r="E30" s="43">
        <v>13</v>
      </c>
      <c r="F30" s="43">
        <v>18</v>
      </c>
      <c r="G30" s="43">
        <v>12</v>
      </c>
      <c r="H30" s="43">
        <v>2</v>
      </c>
      <c r="I30" s="43">
        <v>5</v>
      </c>
      <c r="J30" s="43">
        <v>2</v>
      </c>
      <c r="K30" s="43">
        <v>2</v>
      </c>
      <c r="L30" s="43">
        <v>19</v>
      </c>
      <c r="M30" s="43">
        <v>3</v>
      </c>
      <c r="N30" s="43">
        <v>3</v>
      </c>
      <c r="O30" s="43">
        <v>4</v>
      </c>
      <c r="P30" s="43">
        <v>3</v>
      </c>
      <c r="Q30" s="43">
        <v>2</v>
      </c>
      <c r="S30" t="s">
        <v>857</v>
      </c>
      <c r="T30" t="s">
        <v>858</v>
      </c>
      <c r="U30" s="30">
        <v>4</v>
      </c>
      <c r="V30" t="s">
        <v>170</v>
      </c>
      <c r="W30" s="38" t="s">
        <v>841</v>
      </c>
    </row>
    <row r="31" spans="1:24">
      <c r="A31" s="16" t="s">
        <v>502</v>
      </c>
      <c r="B31" s="16" t="s">
        <v>503</v>
      </c>
      <c r="C31" s="16">
        <v>1</v>
      </c>
      <c r="D31" s="17"/>
      <c r="E31" s="43">
        <v>1</v>
      </c>
      <c r="F31" s="43"/>
      <c r="G31" s="43"/>
      <c r="H31" s="43"/>
      <c r="I31" s="43"/>
      <c r="J31" s="43">
        <v>1</v>
      </c>
      <c r="K31" s="43"/>
      <c r="L31" s="43">
        <v>3</v>
      </c>
      <c r="M31" s="43"/>
      <c r="N31" s="43"/>
      <c r="O31" s="43"/>
      <c r="P31" s="43"/>
      <c r="Q31" s="43"/>
      <c r="S31" t="s">
        <v>857</v>
      </c>
      <c r="T31" t="s">
        <v>858</v>
      </c>
      <c r="U31" s="30">
        <v>4</v>
      </c>
      <c r="V31" t="s">
        <v>170</v>
      </c>
      <c r="W31" t="s">
        <v>843</v>
      </c>
    </row>
    <row r="32" spans="1:24">
      <c r="A32" s="20"/>
      <c r="B32" s="20"/>
      <c r="C32" s="21">
        <v>2</v>
      </c>
      <c r="D32" s="38"/>
      <c r="E32" s="7"/>
      <c r="F32" s="7"/>
      <c r="G32" s="7"/>
      <c r="H32" s="7"/>
      <c r="I32" s="7">
        <v>1</v>
      </c>
      <c r="J32" s="7"/>
      <c r="K32" s="7"/>
      <c r="L32" s="7"/>
      <c r="M32" s="7"/>
      <c r="N32" s="7"/>
      <c r="O32" s="7"/>
      <c r="P32" s="7"/>
      <c r="Q32" s="7"/>
      <c r="S32" t="s">
        <v>857</v>
      </c>
      <c r="T32" t="s">
        <v>858</v>
      </c>
      <c r="U32" s="30">
        <v>4</v>
      </c>
      <c r="V32" t="s">
        <v>170</v>
      </c>
      <c r="W32" t="s">
        <v>845</v>
      </c>
    </row>
    <row r="33" spans="1:24">
      <c r="A33" s="20"/>
      <c r="B33" s="20"/>
      <c r="C33" s="21">
        <v>3</v>
      </c>
      <c r="D33" s="38"/>
      <c r="E33" s="7">
        <v>1</v>
      </c>
      <c r="F33" s="7"/>
      <c r="G33" s="7"/>
      <c r="H33" s="7"/>
      <c r="I33" s="7"/>
      <c r="J33" s="7"/>
      <c r="K33" s="7"/>
      <c r="L33" s="7"/>
      <c r="M33" s="7"/>
      <c r="N33" s="7"/>
      <c r="O33" s="7">
        <v>1</v>
      </c>
      <c r="P33" s="7"/>
      <c r="Q33" s="7"/>
      <c r="S33" t="s">
        <v>857</v>
      </c>
      <c r="T33" t="s">
        <v>858</v>
      </c>
      <c r="U33" s="38">
        <v>5</v>
      </c>
      <c r="V33" t="s">
        <v>170</v>
      </c>
      <c r="W33" t="s">
        <v>847</v>
      </c>
      <c r="X33" t="s">
        <v>790</v>
      </c>
    </row>
    <row r="34" spans="1:24">
      <c r="A34" s="20"/>
      <c r="B34" s="20"/>
      <c r="C34" s="21">
        <v>4</v>
      </c>
      <c r="D34" s="38"/>
      <c r="E34" s="7"/>
      <c r="F34" s="7"/>
      <c r="G34" s="7"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S34" t="s">
        <v>857</v>
      </c>
      <c r="T34" t="s">
        <v>858</v>
      </c>
      <c r="U34" s="38">
        <v>5</v>
      </c>
      <c r="V34" t="s">
        <v>170</v>
      </c>
      <c r="W34" t="s">
        <v>866</v>
      </c>
      <c r="X34" t="s">
        <v>791</v>
      </c>
    </row>
    <row r="35" spans="1:24">
      <c r="A35" s="20"/>
      <c r="B35" s="20"/>
      <c r="C35" s="21">
        <v>5</v>
      </c>
      <c r="D35" s="38"/>
      <c r="E35">
        <v>2</v>
      </c>
      <c r="F35" s="7"/>
      <c r="G35" s="7">
        <v>2</v>
      </c>
      <c r="H35" s="7">
        <v>2</v>
      </c>
      <c r="I35" s="7"/>
      <c r="J35" s="7">
        <v>1</v>
      </c>
      <c r="K35" s="7"/>
      <c r="L35" s="7">
        <v>1</v>
      </c>
      <c r="M35" s="7">
        <v>1</v>
      </c>
      <c r="N35" s="7"/>
      <c r="O35" s="7"/>
      <c r="P35" s="7"/>
      <c r="Q35" s="7"/>
      <c r="S35" t="s">
        <v>857</v>
      </c>
      <c r="T35" t="s">
        <v>858</v>
      </c>
      <c r="U35" s="30">
        <v>5</v>
      </c>
      <c r="V35" t="s">
        <v>170</v>
      </c>
      <c r="W35" t="s">
        <v>631</v>
      </c>
      <c r="X35" s="7">
        <v>1</v>
      </c>
    </row>
    <row r="36" spans="1:24">
      <c r="A36" s="20"/>
      <c r="B36" s="16" t="s">
        <v>824</v>
      </c>
      <c r="C36" s="23"/>
      <c r="D36" s="17"/>
      <c r="E36" s="43">
        <v>3</v>
      </c>
      <c r="F36" s="43"/>
      <c r="G36" s="43">
        <v>3</v>
      </c>
      <c r="H36" s="43">
        <v>2</v>
      </c>
      <c r="I36" s="43">
        <v>1</v>
      </c>
      <c r="J36" s="43">
        <v>2</v>
      </c>
      <c r="K36" s="43"/>
      <c r="L36" s="43">
        <v>4</v>
      </c>
      <c r="M36" s="43">
        <v>1</v>
      </c>
      <c r="N36" s="43"/>
      <c r="O36" s="43">
        <v>1</v>
      </c>
      <c r="P36" s="43"/>
      <c r="Q36" s="43"/>
      <c r="S36" t="s">
        <v>857</v>
      </c>
      <c r="T36" t="s">
        <v>858</v>
      </c>
      <c r="U36" s="30">
        <v>5</v>
      </c>
      <c r="V36" t="s">
        <v>170</v>
      </c>
      <c r="W36" s="38" t="s">
        <v>430</v>
      </c>
      <c r="X36" s="7"/>
    </row>
    <row r="37" spans="1:24">
      <c r="A37" s="20"/>
      <c r="B37" s="16" t="s">
        <v>186</v>
      </c>
      <c r="C37" s="16">
        <v>1</v>
      </c>
      <c r="D37" s="17"/>
      <c r="E37">
        <v>5</v>
      </c>
      <c r="F37" s="43"/>
      <c r="G37" s="43">
        <v>1</v>
      </c>
      <c r="H37" s="43">
        <v>3</v>
      </c>
      <c r="I37" s="43"/>
      <c r="J37" s="43"/>
      <c r="K37" s="43"/>
      <c r="L37" s="43"/>
      <c r="M37" s="43"/>
      <c r="N37" s="43"/>
      <c r="O37" s="43"/>
      <c r="P37" s="43"/>
      <c r="Q37" s="43"/>
      <c r="S37" t="s">
        <v>857</v>
      </c>
      <c r="T37" t="s">
        <v>858</v>
      </c>
      <c r="U37" s="30">
        <v>5</v>
      </c>
      <c r="V37" t="s">
        <v>170</v>
      </c>
      <c r="W37" s="38" t="s">
        <v>432</v>
      </c>
      <c r="X37" s="7"/>
    </row>
    <row r="38" spans="1:24">
      <c r="A38" s="20"/>
      <c r="B38" s="20"/>
      <c r="C38" s="21">
        <v>2</v>
      </c>
      <c r="D38" t="s">
        <v>16</v>
      </c>
      <c r="E38" t="s">
        <v>447</v>
      </c>
      <c r="F38" s="7">
        <v>1</v>
      </c>
      <c r="G38" s="7">
        <v>1</v>
      </c>
      <c r="H38" s="7"/>
      <c r="I38" s="7"/>
      <c r="J38" s="7">
        <v>1</v>
      </c>
      <c r="K38" s="7"/>
      <c r="L38" s="7"/>
      <c r="M38" s="7"/>
      <c r="N38" s="7"/>
      <c r="O38" s="7"/>
      <c r="P38" s="7"/>
      <c r="Q38" s="7"/>
      <c r="S38" t="s">
        <v>857</v>
      </c>
      <c r="T38" t="s">
        <v>858</v>
      </c>
      <c r="U38" s="30">
        <v>5</v>
      </c>
      <c r="V38" t="s">
        <v>170</v>
      </c>
      <c r="W38" s="38" t="s">
        <v>841</v>
      </c>
      <c r="X38" s="7">
        <v>1</v>
      </c>
    </row>
    <row r="39" spans="1:24">
      <c r="A39" s="20"/>
      <c r="B39" s="20"/>
      <c r="C39" s="21">
        <v>3</v>
      </c>
      <c r="D39" s="11" t="s">
        <v>143</v>
      </c>
      <c r="E39">
        <v>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S39" t="s">
        <v>857</v>
      </c>
      <c r="T39" t="s">
        <v>858</v>
      </c>
      <c r="U39" s="30">
        <v>5</v>
      </c>
      <c r="V39" t="s">
        <v>170</v>
      </c>
      <c r="W39" t="s">
        <v>843</v>
      </c>
      <c r="X39" s="7"/>
    </row>
    <row r="40" spans="1:24">
      <c r="A40" s="20"/>
      <c r="B40" s="20"/>
      <c r="C40" s="21">
        <v>4</v>
      </c>
      <c r="D40" s="38"/>
      <c r="E40" s="7"/>
      <c r="F40" s="7">
        <v>1</v>
      </c>
      <c r="G40" s="7">
        <v>1</v>
      </c>
      <c r="H40" s="7">
        <v>1</v>
      </c>
      <c r="I40" s="7">
        <v>1</v>
      </c>
      <c r="J40" s="7"/>
      <c r="K40" s="7"/>
      <c r="L40" s="7"/>
      <c r="M40" s="7"/>
      <c r="N40" s="7"/>
      <c r="O40" s="7"/>
      <c r="P40" s="7"/>
      <c r="Q40" s="7"/>
      <c r="S40" t="s">
        <v>857</v>
      </c>
      <c r="T40" t="s">
        <v>858</v>
      </c>
      <c r="U40" s="30">
        <v>5</v>
      </c>
      <c r="V40" t="s">
        <v>170</v>
      </c>
      <c r="W40" t="s">
        <v>845</v>
      </c>
      <c r="X40" s="7"/>
    </row>
    <row r="41" spans="1:24">
      <c r="A41" s="20"/>
      <c r="B41" s="16" t="s">
        <v>363</v>
      </c>
      <c r="C41" s="23"/>
      <c r="D41" s="17"/>
      <c r="E41" s="43">
        <v>3</v>
      </c>
      <c r="F41" s="43">
        <v>2</v>
      </c>
      <c r="G41" s="43">
        <v>3</v>
      </c>
      <c r="H41" s="43">
        <v>4</v>
      </c>
      <c r="I41" s="43">
        <v>1</v>
      </c>
      <c r="J41" s="43">
        <v>1</v>
      </c>
      <c r="K41" s="43"/>
      <c r="L41" s="43"/>
      <c r="M41" s="43"/>
      <c r="N41" s="43"/>
      <c r="O41" s="43"/>
      <c r="P41" s="43"/>
      <c r="Q41" s="43"/>
      <c r="S41" t="s">
        <v>857</v>
      </c>
      <c r="T41" t="s">
        <v>858</v>
      </c>
      <c r="U41" s="30">
        <v>6</v>
      </c>
      <c r="V41" t="s">
        <v>170</v>
      </c>
      <c r="W41" t="s">
        <v>847</v>
      </c>
      <c r="X41" s="7" t="s">
        <v>792</v>
      </c>
    </row>
    <row r="42" spans="1:24">
      <c r="A42" s="20"/>
      <c r="B42" s="16" t="s">
        <v>302</v>
      </c>
      <c r="C42" s="16">
        <v>1</v>
      </c>
      <c r="D42">
        <v>4</v>
      </c>
      <c r="E42" s="43">
        <v>1</v>
      </c>
      <c r="F42" s="43"/>
      <c r="G42" s="43">
        <v>2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S42" t="s">
        <v>857</v>
      </c>
      <c r="T42" t="s">
        <v>858</v>
      </c>
      <c r="U42" s="30">
        <v>6</v>
      </c>
      <c r="V42" t="s">
        <v>170</v>
      </c>
      <c r="W42" t="s">
        <v>866</v>
      </c>
      <c r="X42" s="7"/>
    </row>
    <row r="43" spans="1:24">
      <c r="A43" s="20"/>
      <c r="B43" s="20"/>
      <c r="C43" s="21">
        <v>2</v>
      </c>
      <c r="D43" s="38"/>
      <c r="E43" s="7"/>
      <c r="F43" s="7">
        <v>1</v>
      </c>
      <c r="G43" s="7"/>
      <c r="H43" s="7">
        <v>1</v>
      </c>
      <c r="I43" s="7"/>
      <c r="J43" s="7"/>
      <c r="K43" s="7"/>
      <c r="L43" s="7">
        <v>1</v>
      </c>
      <c r="M43" s="7"/>
      <c r="N43" s="7"/>
      <c r="O43" s="7"/>
      <c r="P43" s="7"/>
      <c r="Q43" s="7"/>
      <c r="S43" t="s">
        <v>857</v>
      </c>
      <c r="T43" t="s">
        <v>858</v>
      </c>
      <c r="U43" s="30">
        <v>6</v>
      </c>
      <c r="V43" t="s">
        <v>170</v>
      </c>
      <c r="W43" t="s">
        <v>631</v>
      </c>
    </row>
    <row r="44" spans="1:24">
      <c r="A44" s="20"/>
      <c r="B44" s="20"/>
      <c r="C44" s="21">
        <v>3</v>
      </c>
      <c r="D44" s="38"/>
      <c r="E44" s="7"/>
      <c r="F44" s="7">
        <v>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S44" t="s">
        <v>857</v>
      </c>
      <c r="T44" t="s">
        <v>858</v>
      </c>
      <c r="U44" s="30">
        <v>6</v>
      </c>
      <c r="V44" t="s">
        <v>170</v>
      </c>
      <c r="W44" s="38" t="s">
        <v>430</v>
      </c>
    </row>
    <row r="45" spans="1:24">
      <c r="A45" s="20"/>
      <c r="B45" s="20"/>
      <c r="C45" s="21">
        <v>4</v>
      </c>
      <c r="D45" s="38"/>
      <c r="E45" s="9">
        <v>1</v>
      </c>
      <c r="F45" s="7"/>
      <c r="G45" s="7">
        <v>1</v>
      </c>
      <c r="H45" s="7">
        <v>1</v>
      </c>
      <c r="I45" s="7"/>
      <c r="J45" s="7"/>
      <c r="K45" s="7"/>
      <c r="L45" s="7"/>
      <c r="M45" s="7"/>
      <c r="N45" s="7"/>
      <c r="O45" s="7"/>
      <c r="P45" s="7"/>
      <c r="Q45" s="7"/>
      <c r="S45" t="s">
        <v>857</v>
      </c>
      <c r="T45" t="s">
        <v>858</v>
      </c>
      <c r="U45" s="30">
        <v>6</v>
      </c>
      <c r="V45" t="s">
        <v>170</v>
      </c>
      <c r="W45" s="38" t="s">
        <v>432</v>
      </c>
    </row>
    <row r="46" spans="1:24">
      <c r="A46" s="20"/>
      <c r="B46" s="20"/>
      <c r="C46" s="21">
        <v>5</v>
      </c>
      <c r="D46" s="12" t="s">
        <v>490</v>
      </c>
      <c r="E46" s="9">
        <v>1</v>
      </c>
      <c r="F46" s="7">
        <v>1</v>
      </c>
      <c r="G46" s="7"/>
      <c r="H46" s="7"/>
      <c r="I46" s="7"/>
      <c r="J46" s="7"/>
      <c r="K46" s="7"/>
      <c r="L46" s="7">
        <v>2</v>
      </c>
      <c r="M46" s="7"/>
      <c r="N46" s="7"/>
      <c r="O46" s="7"/>
      <c r="P46" s="7"/>
      <c r="Q46" s="7"/>
      <c r="S46" t="s">
        <v>857</v>
      </c>
      <c r="T46" t="s">
        <v>858</v>
      </c>
      <c r="U46" s="30">
        <v>6</v>
      </c>
      <c r="V46" t="s">
        <v>170</v>
      </c>
      <c r="W46" s="38" t="s">
        <v>841</v>
      </c>
    </row>
    <row r="47" spans="1:24">
      <c r="A47" s="20"/>
      <c r="B47" s="20"/>
      <c r="C47" s="21">
        <v>6</v>
      </c>
      <c r="D47" s="38">
        <v>9</v>
      </c>
      <c r="E47" s="7">
        <v>1</v>
      </c>
      <c r="F47" s="7"/>
      <c r="G47" s="7">
        <v>1</v>
      </c>
      <c r="H47" s="7"/>
      <c r="I47" s="7"/>
      <c r="J47" s="7"/>
      <c r="K47" s="7"/>
      <c r="L47" s="7">
        <v>1</v>
      </c>
      <c r="M47" s="7"/>
      <c r="N47" s="7"/>
      <c r="O47" s="7"/>
      <c r="P47" s="7"/>
      <c r="Q47" s="7"/>
      <c r="S47" t="s">
        <v>857</v>
      </c>
      <c r="T47" t="s">
        <v>858</v>
      </c>
      <c r="U47" s="30">
        <v>6</v>
      </c>
      <c r="V47" t="s">
        <v>170</v>
      </c>
      <c r="W47" t="s">
        <v>843</v>
      </c>
    </row>
    <row r="48" spans="1:24">
      <c r="A48" s="20"/>
      <c r="B48" s="16" t="s">
        <v>825</v>
      </c>
      <c r="C48" s="23"/>
      <c r="D48" s="17"/>
      <c r="E48" s="43">
        <v>4</v>
      </c>
      <c r="F48" s="43">
        <v>3</v>
      </c>
      <c r="G48" s="43">
        <v>4</v>
      </c>
      <c r="H48" s="43">
        <v>2</v>
      </c>
      <c r="I48" s="43"/>
      <c r="J48" s="43"/>
      <c r="K48" s="43"/>
      <c r="L48" s="43">
        <v>4</v>
      </c>
      <c r="M48" s="43"/>
      <c r="N48" s="43"/>
      <c r="O48" s="43"/>
      <c r="P48" s="43"/>
      <c r="Q48" s="43"/>
      <c r="S48" t="s">
        <v>857</v>
      </c>
      <c r="T48" t="s">
        <v>858</v>
      </c>
      <c r="U48" s="30">
        <v>6</v>
      </c>
      <c r="V48" t="s">
        <v>170</v>
      </c>
      <c r="W48" t="s">
        <v>845</v>
      </c>
    </row>
    <row r="49" spans="1:24">
      <c r="A49" s="16" t="s">
        <v>752</v>
      </c>
      <c r="B49" s="23"/>
      <c r="C49" s="23"/>
      <c r="D49" s="17"/>
      <c r="E49" s="43">
        <v>10</v>
      </c>
      <c r="F49" s="43">
        <v>5</v>
      </c>
      <c r="G49" s="43">
        <v>10</v>
      </c>
      <c r="H49" s="43">
        <v>8</v>
      </c>
      <c r="I49" s="43">
        <v>2</v>
      </c>
      <c r="J49" s="43">
        <v>3</v>
      </c>
      <c r="K49" s="43"/>
      <c r="L49" s="43">
        <v>8</v>
      </c>
      <c r="M49" s="43">
        <v>1</v>
      </c>
      <c r="N49" s="43"/>
      <c r="O49" s="43">
        <v>1</v>
      </c>
      <c r="P49" s="43"/>
      <c r="Q49" s="43"/>
      <c r="S49" t="s">
        <v>857</v>
      </c>
      <c r="T49" t="s">
        <v>861</v>
      </c>
      <c r="U49" s="38">
        <v>1</v>
      </c>
      <c r="V49" t="s">
        <v>170</v>
      </c>
      <c r="W49" t="s">
        <v>847</v>
      </c>
      <c r="X49" s="17" t="s">
        <v>848</v>
      </c>
    </row>
    <row r="50" spans="1:24">
      <c r="A50" s="16" t="s">
        <v>670</v>
      </c>
      <c r="B50" s="16" t="s">
        <v>400</v>
      </c>
      <c r="C50" s="16">
        <v>1</v>
      </c>
      <c r="D50" s="17"/>
      <c r="E50" t="s">
        <v>478</v>
      </c>
      <c r="F50" s="43">
        <v>2</v>
      </c>
      <c r="G50" s="43">
        <v>1</v>
      </c>
      <c r="H50" s="43">
        <v>1</v>
      </c>
      <c r="I50" s="43">
        <v>1</v>
      </c>
      <c r="J50" s="43">
        <v>1</v>
      </c>
      <c r="K50" s="43"/>
      <c r="L50" s="43"/>
      <c r="M50" s="43"/>
      <c r="N50" s="43"/>
      <c r="O50" s="43"/>
      <c r="P50" s="43"/>
      <c r="Q50" s="43"/>
      <c r="S50" t="s">
        <v>857</v>
      </c>
      <c r="T50" t="s">
        <v>861</v>
      </c>
      <c r="U50" s="38">
        <v>1</v>
      </c>
      <c r="V50" t="s">
        <v>170</v>
      </c>
      <c r="W50" t="s">
        <v>866</v>
      </c>
      <c r="X50" t="s">
        <v>444</v>
      </c>
    </row>
    <row r="51" spans="1:24">
      <c r="A51" s="20"/>
      <c r="B51" s="20"/>
      <c r="C51" s="21">
        <v>2</v>
      </c>
      <c r="D51" s="38"/>
      <c r="E51" s="7"/>
      <c r="F51" s="7"/>
      <c r="G51" s="7"/>
      <c r="H51" s="7"/>
      <c r="I51" s="7">
        <v>1</v>
      </c>
      <c r="J51" s="7">
        <v>2</v>
      </c>
      <c r="K51" s="7"/>
      <c r="L51" s="7"/>
      <c r="M51" t="s">
        <v>483</v>
      </c>
      <c r="N51" t="s">
        <v>559</v>
      </c>
      <c r="O51" s="7">
        <v>2</v>
      </c>
      <c r="P51" s="7"/>
      <c r="Q51" s="7"/>
      <c r="S51" t="s">
        <v>857</v>
      </c>
      <c r="T51" t="s">
        <v>861</v>
      </c>
      <c r="U51" s="38">
        <v>1</v>
      </c>
      <c r="V51" t="s">
        <v>170</v>
      </c>
      <c r="W51" t="s">
        <v>631</v>
      </c>
      <c r="X51" s="43"/>
    </row>
    <row r="52" spans="1:24">
      <c r="A52" s="20"/>
      <c r="B52" s="20"/>
      <c r="C52" s="21">
        <v>3</v>
      </c>
      <c r="D52" s="38"/>
      <c r="E52" s="7"/>
      <c r="F52" s="7"/>
      <c r="G52" s="7"/>
      <c r="H52" s="7">
        <v>1</v>
      </c>
      <c r="I52" s="7"/>
      <c r="J52" s="7">
        <v>1</v>
      </c>
      <c r="K52" s="7"/>
      <c r="L52" s="7">
        <v>4</v>
      </c>
      <c r="M52" s="7">
        <v>2</v>
      </c>
      <c r="N52" s="7">
        <v>1</v>
      </c>
      <c r="O52" s="7">
        <v>1</v>
      </c>
      <c r="P52" s="7"/>
      <c r="Q52" s="7"/>
      <c r="S52" t="s">
        <v>857</v>
      </c>
      <c r="T52" t="s">
        <v>861</v>
      </c>
      <c r="U52" s="38">
        <v>1</v>
      </c>
      <c r="V52" t="s">
        <v>170</v>
      </c>
      <c r="W52" s="38" t="s">
        <v>430</v>
      </c>
      <c r="X52" s="43">
        <v>1</v>
      </c>
    </row>
    <row r="53" spans="1:24">
      <c r="A53" s="20"/>
      <c r="B53" s="20"/>
      <c r="C53" s="21">
        <v>4</v>
      </c>
      <c r="D53" s="38"/>
      <c r="E53" t="s">
        <v>667</v>
      </c>
      <c r="F53" s="7">
        <v>2</v>
      </c>
      <c r="G53" s="7">
        <v>3</v>
      </c>
      <c r="H53" s="7">
        <v>3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/>
      <c r="O53" s="7"/>
      <c r="P53" s="7"/>
      <c r="Q53" s="7"/>
      <c r="S53" t="s">
        <v>857</v>
      </c>
      <c r="T53" t="s">
        <v>861</v>
      </c>
      <c r="U53" s="38">
        <v>1</v>
      </c>
      <c r="V53" t="s">
        <v>170</v>
      </c>
      <c r="W53" s="38" t="s">
        <v>432</v>
      </c>
      <c r="X53" s="43"/>
    </row>
    <row r="54" spans="1:24">
      <c r="A54" s="20"/>
      <c r="B54" s="20"/>
      <c r="C54" s="21">
        <v>5</v>
      </c>
      <c r="D54" t="s">
        <v>569</v>
      </c>
      <c r="E54" s="9" t="s">
        <v>514</v>
      </c>
      <c r="F54" s="7">
        <v>1</v>
      </c>
      <c r="G54" s="7"/>
      <c r="H54" s="7"/>
      <c r="I54" s="7"/>
      <c r="J54" s="7">
        <v>1</v>
      </c>
      <c r="K54" s="7"/>
      <c r="L54" s="7"/>
      <c r="M54" s="7">
        <v>1</v>
      </c>
      <c r="N54" s="7"/>
      <c r="O54" s="7"/>
      <c r="P54" s="7"/>
      <c r="Q54" s="7"/>
      <c r="S54" t="s">
        <v>857</v>
      </c>
      <c r="T54" t="s">
        <v>861</v>
      </c>
      <c r="U54" s="38">
        <v>1</v>
      </c>
      <c r="V54" t="s">
        <v>170</v>
      </c>
      <c r="W54" s="38" t="s">
        <v>841</v>
      </c>
      <c r="X54" s="43"/>
    </row>
    <row r="55" spans="1:24">
      <c r="A55" s="20"/>
      <c r="B55" s="20"/>
      <c r="C55" s="21">
        <v>6</v>
      </c>
      <c r="D55" s="38"/>
      <c r="E55" s="9" t="s">
        <v>311</v>
      </c>
      <c r="F55" s="7"/>
      <c r="G55" s="7"/>
      <c r="H55" s="7"/>
      <c r="I55" s="7"/>
      <c r="J55" s="7"/>
      <c r="K55" s="7"/>
      <c r="L55" s="7"/>
      <c r="M55" s="7">
        <v>1</v>
      </c>
      <c r="N55" s="7"/>
      <c r="O55" s="7"/>
      <c r="P55" s="7"/>
      <c r="Q55" s="7"/>
      <c r="S55" t="s">
        <v>857</v>
      </c>
      <c r="T55" t="s">
        <v>861</v>
      </c>
      <c r="U55" s="38">
        <v>1</v>
      </c>
      <c r="V55" t="s">
        <v>170</v>
      </c>
      <c r="W55" t="s">
        <v>843</v>
      </c>
      <c r="X55" s="43"/>
    </row>
    <row r="56" spans="1:24">
      <c r="A56" s="20"/>
      <c r="B56" s="16" t="s">
        <v>731</v>
      </c>
      <c r="C56" s="23"/>
      <c r="D56" s="17"/>
      <c r="E56" s="43">
        <v>4</v>
      </c>
      <c r="F56" s="43">
        <v>5</v>
      </c>
      <c r="G56" s="43">
        <v>4</v>
      </c>
      <c r="H56" s="43">
        <v>5</v>
      </c>
      <c r="I56" s="43">
        <v>3</v>
      </c>
      <c r="J56" s="43">
        <v>6</v>
      </c>
      <c r="K56" s="43">
        <v>1</v>
      </c>
      <c r="L56" s="43">
        <v>5</v>
      </c>
      <c r="M56" s="43">
        <v>5</v>
      </c>
      <c r="N56" s="43">
        <v>1</v>
      </c>
      <c r="O56" s="43">
        <v>3</v>
      </c>
      <c r="P56" s="43"/>
      <c r="Q56" s="43"/>
      <c r="S56" t="s">
        <v>857</v>
      </c>
      <c r="T56" t="s">
        <v>861</v>
      </c>
      <c r="U56" s="38">
        <v>1</v>
      </c>
      <c r="V56" t="s">
        <v>170</v>
      </c>
      <c r="W56" t="s">
        <v>845</v>
      </c>
      <c r="X56" s="43">
        <v>1</v>
      </c>
    </row>
    <row r="57" spans="1:24">
      <c r="A57" s="20"/>
      <c r="B57" s="16" t="s">
        <v>671</v>
      </c>
      <c r="C57" s="16">
        <v>1</v>
      </c>
      <c r="D57" s="17"/>
      <c r="E57" s="43"/>
      <c r="F57" s="43"/>
      <c r="G57" s="43">
        <v>1</v>
      </c>
      <c r="H57" s="43"/>
      <c r="I57" s="43">
        <v>2</v>
      </c>
      <c r="J57" s="43">
        <v>3</v>
      </c>
      <c r="K57" s="43"/>
      <c r="L57" s="43"/>
      <c r="M57" s="43">
        <v>2</v>
      </c>
      <c r="N57" s="43">
        <v>2</v>
      </c>
      <c r="O57" s="43"/>
      <c r="P57" s="43">
        <v>3</v>
      </c>
      <c r="Q57" s="43">
        <v>2</v>
      </c>
      <c r="S57" t="s">
        <v>857</v>
      </c>
      <c r="T57" t="s">
        <v>861</v>
      </c>
      <c r="U57" s="38">
        <v>2</v>
      </c>
      <c r="V57" t="s">
        <v>170</v>
      </c>
      <c r="W57" t="s">
        <v>847</v>
      </c>
      <c r="X57" s="38"/>
    </row>
    <row r="58" spans="1:24">
      <c r="A58" s="20"/>
      <c r="B58" s="20"/>
      <c r="C58" s="21">
        <v>2</v>
      </c>
      <c r="D58" s="38"/>
      <c r="E58" t="s">
        <v>584</v>
      </c>
      <c r="F58" s="7"/>
      <c r="G58" s="7"/>
      <c r="H58" s="7"/>
      <c r="I58" s="7">
        <v>1</v>
      </c>
      <c r="J58" s="7">
        <v>3</v>
      </c>
      <c r="K58" s="7">
        <v>1</v>
      </c>
      <c r="L58" t="s">
        <v>583</v>
      </c>
      <c r="M58" s="7">
        <v>4</v>
      </c>
      <c r="N58" s="7">
        <v>1</v>
      </c>
      <c r="O58" s="7"/>
      <c r="P58" s="7">
        <v>1</v>
      </c>
      <c r="Q58" s="7">
        <v>1</v>
      </c>
      <c r="S58" t="s">
        <v>857</v>
      </c>
      <c r="T58" t="s">
        <v>861</v>
      </c>
      <c r="U58" s="38">
        <v>2</v>
      </c>
      <c r="V58" t="s">
        <v>170</v>
      </c>
      <c r="W58" t="s">
        <v>866</v>
      </c>
      <c r="X58" t="s">
        <v>447</v>
      </c>
    </row>
    <row r="59" spans="1:24">
      <c r="A59" s="20"/>
      <c r="B59" s="20"/>
      <c r="C59" s="21">
        <v>3</v>
      </c>
      <c r="D59" s="38"/>
      <c r="E59" t="s">
        <v>393</v>
      </c>
      <c r="F59" s="7">
        <v>1</v>
      </c>
      <c r="G59" s="7"/>
      <c r="H59" s="7"/>
      <c r="I59" s="7">
        <v>3</v>
      </c>
      <c r="J59" s="7">
        <v>1</v>
      </c>
      <c r="K59" s="7"/>
      <c r="L59" s="7">
        <v>1</v>
      </c>
      <c r="M59" s="7">
        <v>2</v>
      </c>
      <c r="N59" s="7">
        <v>1</v>
      </c>
      <c r="O59" s="7"/>
      <c r="P59" s="7"/>
      <c r="Q59" s="7"/>
      <c r="S59" t="s">
        <v>857</v>
      </c>
      <c r="T59" t="s">
        <v>861</v>
      </c>
      <c r="U59" s="41">
        <v>2</v>
      </c>
      <c r="V59" t="s">
        <v>170</v>
      </c>
      <c r="W59" t="s">
        <v>631</v>
      </c>
      <c r="X59" s="7">
        <v>1</v>
      </c>
    </row>
    <row r="60" spans="1:24">
      <c r="A60" s="20"/>
      <c r="B60" s="20"/>
      <c r="C60" s="21">
        <v>4</v>
      </c>
      <c r="D60" s="38"/>
      <c r="E60" s="7"/>
      <c r="F60" s="7"/>
      <c r="G60" s="7"/>
      <c r="H60" s="7">
        <v>1</v>
      </c>
      <c r="I60" s="7">
        <v>2</v>
      </c>
      <c r="J60" s="7">
        <v>1</v>
      </c>
      <c r="K60" s="7"/>
      <c r="L60" t="s">
        <v>596</v>
      </c>
      <c r="M60" s="7">
        <v>10</v>
      </c>
      <c r="N60" s="7">
        <v>5</v>
      </c>
      <c r="O60" s="7">
        <v>3</v>
      </c>
      <c r="P60" s="7"/>
      <c r="Q60" s="7"/>
      <c r="S60" t="s">
        <v>857</v>
      </c>
      <c r="T60" t="s">
        <v>861</v>
      </c>
      <c r="U60" s="41">
        <v>2</v>
      </c>
      <c r="V60" t="s">
        <v>170</v>
      </c>
      <c r="W60" s="38" t="s">
        <v>430</v>
      </c>
      <c r="X60" s="7"/>
    </row>
    <row r="61" spans="1:24">
      <c r="A61" s="20"/>
      <c r="B61" s="20"/>
      <c r="C61" s="21">
        <v>5</v>
      </c>
      <c r="D61" s="38"/>
      <c r="E61" s="9" t="s">
        <v>673</v>
      </c>
      <c r="F61" s="7">
        <v>2</v>
      </c>
      <c r="G61" s="7">
        <v>1</v>
      </c>
      <c r="H61" s="7">
        <v>1</v>
      </c>
      <c r="I61" s="7"/>
      <c r="J61" s="7">
        <v>1</v>
      </c>
      <c r="K61" s="7">
        <v>1</v>
      </c>
      <c r="L61" s="7"/>
      <c r="M61" s="7"/>
      <c r="N61" s="7"/>
      <c r="O61" s="7"/>
      <c r="P61" s="7"/>
      <c r="Q61" s="7"/>
      <c r="S61" t="s">
        <v>857</v>
      </c>
      <c r="T61" t="s">
        <v>861</v>
      </c>
      <c r="U61" s="41">
        <v>2</v>
      </c>
      <c r="V61" t="s">
        <v>170</v>
      </c>
      <c r="W61" s="38" t="s">
        <v>432</v>
      </c>
      <c r="X61" s="7"/>
    </row>
    <row r="62" spans="1:24">
      <c r="A62" s="20"/>
      <c r="B62" s="20"/>
      <c r="C62" s="21">
        <v>6</v>
      </c>
      <c r="D62" s="38"/>
      <c r="E62" s="9" t="s">
        <v>681</v>
      </c>
      <c r="F62" s="7">
        <v>3</v>
      </c>
      <c r="G62" s="7">
        <v>2</v>
      </c>
      <c r="H62" s="7"/>
      <c r="I62" s="7"/>
      <c r="J62" s="7">
        <v>1</v>
      </c>
      <c r="K62" s="7">
        <v>1</v>
      </c>
      <c r="L62" s="7"/>
      <c r="M62" s="7"/>
      <c r="N62" s="7"/>
      <c r="O62" s="7"/>
      <c r="P62" s="7"/>
      <c r="Q62" s="7"/>
      <c r="S62" t="s">
        <v>857</v>
      </c>
      <c r="T62" t="s">
        <v>861</v>
      </c>
      <c r="U62" s="41">
        <v>2</v>
      </c>
      <c r="V62" t="s">
        <v>170</v>
      </c>
      <c r="W62" s="38" t="s">
        <v>841</v>
      </c>
      <c r="X62" s="7">
        <v>1</v>
      </c>
    </row>
    <row r="63" spans="1:24">
      <c r="A63" s="20"/>
      <c r="B63" s="20"/>
      <c r="C63" s="21">
        <v>7</v>
      </c>
      <c r="D63" s="38"/>
      <c r="E63" s="9" t="s">
        <v>852</v>
      </c>
      <c r="F63" s="7"/>
      <c r="G63" s="7">
        <v>1</v>
      </c>
      <c r="H63" s="7">
        <v>1</v>
      </c>
      <c r="I63" s="7"/>
      <c r="J63" s="7"/>
      <c r="K63" s="7"/>
      <c r="L63" s="7"/>
      <c r="M63" s="7"/>
      <c r="N63" s="7"/>
      <c r="O63" s="7"/>
      <c r="P63" s="7"/>
      <c r="Q63" s="7"/>
      <c r="S63" t="s">
        <v>857</v>
      </c>
      <c r="T63" t="s">
        <v>861</v>
      </c>
      <c r="U63" s="41">
        <v>2</v>
      </c>
      <c r="V63" t="s">
        <v>170</v>
      </c>
      <c r="W63" t="s">
        <v>843</v>
      </c>
      <c r="X63" s="7">
        <v>1</v>
      </c>
    </row>
    <row r="64" spans="1:24">
      <c r="A64" s="20"/>
      <c r="B64" s="16" t="s">
        <v>753</v>
      </c>
      <c r="C64" s="23"/>
      <c r="D64" s="17"/>
      <c r="E64" s="43">
        <v>6</v>
      </c>
      <c r="F64" s="43">
        <v>6</v>
      </c>
      <c r="G64" s="43">
        <v>5</v>
      </c>
      <c r="H64" s="43">
        <v>3</v>
      </c>
      <c r="I64" s="43">
        <v>8</v>
      </c>
      <c r="J64" s="43">
        <v>10</v>
      </c>
      <c r="K64" s="43">
        <v>3</v>
      </c>
      <c r="L64" s="43">
        <v>1</v>
      </c>
      <c r="M64" s="43">
        <v>18</v>
      </c>
      <c r="N64" s="43">
        <v>9</v>
      </c>
      <c r="O64" s="43">
        <v>3</v>
      </c>
      <c r="P64" s="43">
        <v>4</v>
      </c>
      <c r="Q64" s="43">
        <v>3</v>
      </c>
      <c r="S64" t="s">
        <v>857</v>
      </c>
      <c r="T64" t="s">
        <v>861</v>
      </c>
      <c r="U64" s="41">
        <v>2</v>
      </c>
      <c r="V64" t="s">
        <v>170</v>
      </c>
      <c r="W64" t="s">
        <v>845</v>
      </c>
      <c r="X64" s="7"/>
    </row>
    <row r="65" spans="1:24">
      <c r="A65" s="20"/>
      <c r="B65" s="16" t="s">
        <v>41</v>
      </c>
      <c r="C65" s="16">
        <v>1</v>
      </c>
      <c r="D65" s="17"/>
      <c r="E65" s="43"/>
      <c r="F65" s="43"/>
      <c r="G65" s="43">
        <v>1</v>
      </c>
      <c r="H65" s="43">
        <v>1</v>
      </c>
      <c r="I65" s="43">
        <v>1</v>
      </c>
      <c r="J65" s="43"/>
      <c r="K65" s="43"/>
      <c r="L65" s="43"/>
      <c r="M65" s="43"/>
      <c r="N65" s="43"/>
      <c r="O65" s="43"/>
      <c r="P65" s="43"/>
      <c r="Q65" s="43"/>
      <c r="S65" t="s">
        <v>857</v>
      </c>
      <c r="T65" t="s">
        <v>861</v>
      </c>
      <c r="U65" s="38">
        <v>3</v>
      </c>
      <c r="V65" t="s">
        <v>170</v>
      </c>
      <c r="W65" t="s">
        <v>847</v>
      </c>
      <c r="X65" s="38" t="s">
        <v>849</v>
      </c>
    </row>
    <row r="66" spans="1:24">
      <c r="A66" s="20"/>
      <c r="B66" s="20"/>
      <c r="C66" s="21">
        <v>2</v>
      </c>
      <c r="D66" s="38"/>
      <c r="E66" t="s">
        <v>214</v>
      </c>
      <c r="F66" s="7">
        <v>7</v>
      </c>
      <c r="G66" s="7">
        <v>4</v>
      </c>
      <c r="H66" s="7"/>
      <c r="I66" s="7">
        <v>2</v>
      </c>
      <c r="J66" s="7">
        <v>3</v>
      </c>
      <c r="K66" s="7"/>
      <c r="L66" s="7">
        <v>1</v>
      </c>
      <c r="M66" s="7"/>
      <c r="N66" s="7"/>
      <c r="O66" s="7"/>
      <c r="P66" s="7"/>
      <c r="Q66" s="7"/>
      <c r="S66" t="s">
        <v>857</v>
      </c>
      <c r="T66" t="s">
        <v>861</v>
      </c>
      <c r="U66" s="38">
        <v>3</v>
      </c>
      <c r="V66" t="s">
        <v>170</v>
      </c>
      <c r="W66" t="s">
        <v>866</v>
      </c>
      <c r="X66" t="s">
        <v>447</v>
      </c>
    </row>
    <row r="67" spans="1:24">
      <c r="A67" s="20"/>
      <c r="B67" s="20"/>
      <c r="C67" s="21">
        <v>3</v>
      </c>
      <c r="D67" s="38"/>
      <c r="E67">
        <v>2</v>
      </c>
      <c r="F67" s="7">
        <v>4</v>
      </c>
      <c r="G67" s="7"/>
      <c r="H67" s="7">
        <v>3</v>
      </c>
      <c r="I67" s="7"/>
      <c r="J67" s="7"/>
      <c r="K67" s="7"/>
      <c r="L67" s="7"/>
      <c r="M67" s="7"/>
      <c r="N67" s="7"/>
      <c r="O67" s="7"/>
      <c r="P67" s="7"/>
      <c r="Q67" s="7"/>
      <c r="S67" t="s">
        <v>857</v>
      </c>
      <c r="T67" t="s">
        <v>861</v>
      </c>
      <c r="U67" s="41">
        <v>3</v>
      </c>
      <c r="V67" t="s">
        <v>170</v>
      </c>
      <c r="W67" t="s">
        <v>631</v>
      </c>
      <c r="X67" s="7">
        <v>1</v>
      </c>
    </row>
    <row r="68" spans="1:24">
      <c r="A68" s="20"/>
      <c r="B68" s="20"/>
      <c r="C68" s="21">
        <v>4</v>
      </c>
      <c r="D68" t="s">
        <v>662</v>
      </c>
      <c r="E68" t="s">
        <v>663</v>
      </c>
      <c r="F68" s="7">
        <v>3</v>
      </c>
      <c r="G68" s="7">
        <v>2</v>
      </c>
      <c r="H68" s="7"/>
      <c r="I68" s="7"/>
      <c r="J68" s="7">
        <v>1</v>
      </c>
      <c r="K68" s="7"/>
      <c r="L68" s="7"/>
      <c r="M68" s="7"/>
      <c r="N68" s="7"/>
      <c r="O68" s="7"/>
      <c r="P68" s="7"/>
      <c r="Q68" s="7"/>
      <c r="S68" t="s">
        <v>857</v>
      </c>
      <c r="T68" t="s">
        <v>861</v>
      </c>
      <c r="U68" s="41">
        <v>3</v>
      </c>
      <c r="V68" t="s">
        <v>170</v>
      </c>
      <c r="W68" s="38" t="s">
        <v>430</v>
      </c>
      <c r="X68" s="7"/>
    </row>
    <row r="69" spans="1:24">
      <c r="A69" s="20"/>
      <c r="B69" s="20"/>
      <c r="C69" s="21">
        <v>5</v>
      </c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S69" t="s">
        <v>857</v>
      </c>
      <c r="T69" t="s">
        <v>861</v>
      </c>
      <c r="U69" s="30">
        <v>3</v>
      </c>
      <c r="V69" t="s">
        <v>170</v>
      </c>
      <c r="W69" s="38" t="s">
        <v>432</v>
      </c>
      <c r="X69" s="7"/>
    </row>
    <row r="70" spans="1:24">
      <c r="A70" s="20"/>
      <c r="B70" s="20"/>
      <c r="C70" s="21">
        <v>6</v>
      </c>
      <c r="D70" s="38"/>
      <c r="E70" s="7">
        <v>11</v>
      </c>
      <c r="F70" s="7"/>
      <c r="G70" s="7"/>
      <c r="H70" s="7"/>
      <c r="I70" s="7">
        <v>1</v>
      </c>
      <c r="J70" s="7">
        <v>2</v>
      </c>
      <c r="K70" s="7"/>
      <c r="L70" s="7">
        <v>3</v>
      </c>
      <c r="M70" s="7">
        <v>2</v>
      </c>
      <c r="N70" s="7">
        <v>2</v>
      </c>
      <c r="O70" s="7"/>
      <c r="P70" s="7"/>
      <c r="Q70" s="7"/>
      <c r="S70" t="s">
        <v>857</v>
      </c>
      <c r="T70" t="s">
        <v>861</v>
      </c>
      <c r="U70" s="30">
        <v>3</v>
      </c>
      <c r="V70" t="s">
        <v>170</v>
      </c>
      <c r="W70" s="38" t="s">
        <v>841</v>
      </c>
      <c r="X70" s="7"/>
    </row>
    <row r="71" spans="1:24">
      <c r="A71" s="20"/>
      <c r="B71" s="20"/>
      <c r="C71" s="21">
        <v>7</v>
      </c>
      <c r="D71" s="38"/>
      <c r="E71" t="s">
        <v>584</v>
      </c>
      <c r="F71" s="7"/>
      <c r="G71" s="7"/>
      <c r="H71" s="7"/>
      <c r="I71" s="7"/>
      <c r="J71" s="7"/>
      <c r="K71" s="7">
        <v>1</v>
      </c>
      <c r="L71" s="7"/>
      <c r="M71" s="7">
        <v>1</v>
      </c>
      <c r="N71" s="7"/>
      <c r="O71" s="7"/>
      <c r="P71" s="7"/>
      <c r="Q71" s="7"/>
      <c r="S71" t="s">
        <v>857</v>
      </c>
      <c r="T71" t="s">
        <v>861</v>
      </c>
      <c r="U71" s="30">
        <v>3</v>
      </c>
      <c r="V71" t="s">
        <v>170</v>
      </c>
      <c r="W71" t="s">
        <v>843</v>
      </c>
      <c r="X71" s="7"/>
    </row>
    <row r="72" spans="1:24">
      <c r="A72" s="20"/>
      <c r="B72" s="20"/>
      <c r="C72" s="21">
        <v>8</v>
      </c>
      <c r="D72" s="38"/>
      <c r="E72" t="s">
        <v>478</v>
      </c>
      <c r="F72" s="7"/>
      <c r="G72" s="7"/>
      <c r="H72" s="7"/>
      <c r="I72" s="7">
        <v>1</v>
      </c>
      <c r="J72" s="7">
        <v>1</v>
      </c>
      <c r="K72" s="7"/>
      <c r="L72" t="s">
        <v>699</v>
      </c>
      <c r="M72" s="7"/>
      <c r="N72" s="7"/>
      <c r="O72" s="7"/>
      <c r="P72" s="7"/>
      <c r="Q72" s="7"/>
      <c r="S72" t="s">
        <v>857</v>
      </c>
      <c r="T72" t="s">
        <v>861</v>
      </c>
      <c r="U72" s="30">
        <v>3</v>
      </c>
      <c r="V72" t="s">
        <v>170</v>
      </c>
      <c r="W72" t="s">
        <v>845</v>
      </c>
      <c r="X72" s="7">
        <v>1</v>
      </c>
    </row>
    <row r="73" spans="1:24">
      <c r="S73" t="s">
        <v>857</v>
      </c>
      <c r="T73" t="s">
        <v>861</v>
      </c>
      <c r="U73" s="38">
        <v>4</v>
      </c>
      <c r="V73" t="s">
        <v>170</v>
      </c>
      <c r="W73" t="s">
        <v>847</v>
      </c>
      <c r="X73" t="s">
        <v>850</v>
      </c>
    </row>
    <row r="74" spans="1:24">
      <c r="S74" t="s">
        <v>857</v>
      </c>
      <c r="T74" t="s">
        <v>861</v>
      </c>
      <c r="U74" s="38">
        <v>4</v>
      </c>
      <c r="V74" t="s">
        <v>170</v>
      </c>
      <c r="W74" t="s">
        <v>866</v>
      </c>
      <c r="X74" t="s">
        <v>447</v>
      </c>
    </row>
    <row r="75" spans="1:24">
      <c r="S75" t="s">
        <v>857</v>
      </c>
      <c r="T75" t="s">
        <v>861</v>
      </c>
      <c r="U75" s="30">
        <v>4</v>
      </c>
      <c r="V75" t="s">
        <v>170</v>
      </c>
      <c r="W75" t="s">
        <v>631</v>
      </c>
      <c r="X75" s="7"/>
    </row>
    <row r="76" spans="1:24">
      <c r="S76" t="s">
        <v>857</v>
      </c>
      <c r="T76" t="s">
        <v>861</v>
      </c>
      <c r="U76" s="30">
        <v>4</v>
      </c>
      <c r="V76" t="s">
        <v>170</v>
      </c>
      <c r="W76" s="38" t="s">
        <v>430</v>
      </c>
      <c r="X76" s="7"/>
    </row>
    <row r="77" spans="1:24">
      <c r="S77" t="s">
        <v>857</v>
      </c>
      <c r="T77" t="s">
        <v>861</v>
      </c>
      <c r="U77" s="30">
        <v>4</v>
      </c>
      <c r="V77" t="s">
        <v>170</v>
      </c>
      <c r="W77" s="38" t="s">
        <v>432</v>
      </c>
      <c r="X77" s="7"/>
    </row>
    <row r="78" spans="1:24">
      <c r="S78" t="s">
        <v>857</v>
      </c>
      <c r="T78" t="s">
        <v>861</v>
      </c>
      <c r="U78" s="30">
        <v>4</v>
      </c>
      <c r="V78" t="s">
        <v>170</v>
      </c>
      <c r="W78" s="38" t="s">
        <v>841</v>
      </c>
      <c r="X78" s="7">
        <v>1</v>
      </c>
    </row>
    <row r="79" spans="1:24">
      <c r="S79" t="s">
        <v>857</v>
      </c>
      <c r="T79" t="s">
        <v>861</v>
      </c>
      <c r="U79" s="30">
        <v>4</v>
      </c>
      <c r="V79" t="s">
        <v>170</v>
      </c>
      <c r="W79" t="s">
        <v>843</v>
      </c>
      <c r="X79" s="7">
        <v>1</v>
      </c>
    </row>
    <row r="80" spans="1:24">
      <c r="S80" t="s">
        <v>857</v>
      </c>
      <c r="T80" t="s">
        <v>861</v>
      </c>
      <c r="U80" s="30">
        <v>4</v>
      </c>
      <c r="V80" t="s">
        <v>170</v>
      </c>
      <c r="W80" t="s">
        <v>845</v>
      </c>
      <c r="X80" s="7"/>
    </row>
    <row r="81" spans="19:24">
      <c r="S81" t="s">
        <v>857</v>
      </c>
      <c r="T81" t="s">
        <v>861</v>
      </c>
      <c r="U81" s="38">
        <v>5</v>
      </c>
      <c r="V81" t="s">
        <v>170</v>
      </c>
      <c r="W81" t="s">
        <v>847</v>
      </c>
      <c r="X81" t="s">
        <v>244</v>
      </c>
    </row>
    <row r="82" spans="19:24">
      <c r="S82" t="s">
        <v>857</v>
      </c>
      <c r="T82" t="s">
        <v>861</v>
      </c>
      <c r="U82" s="38">
        <v>5</v>
      </c>
      <c r="V82" t="s">
        <v>170</v>
      </c>
      <c r="W82" t="s">
        <v>866</v>
      </c>
      <c r="X82" t="s">
        <v>245</v>
      </c>
    </row>
    <row r="83" spans="19:24">
      <c r="S83" t="s">
        <v>857</v>
      </c>
      <c r="T83" t="s">
        <v>861</v>
      </c>
      <c r="U83" s="30">
        <v>5</v>
      </c>
      <c r="V83" t="s">
        <v>170</v>
      </c>
      <c r="W83" t="s">
        <v>631</v>
      </c>
      <c r="X83">
        <v>2</v>
      </c>
    </row>
    <row r="84" spans="19:24">
      <c r="S84" t="s">
        <v>857</v>
      </c>
      <c r="T84" t="s">
        <v>861</v>
      </c>
      <c r="U84" s="30">
        <v>5</v>
      </c>
      <c r="V84" t="s">
        <v>170</v>
      </c>
      <c r="W84" s="38" t="s">
        <v>430</v>
      </c>
      <c r="X84">
        <v>2</v>
      </c>
    </row>
    <row r="85" spans="19:24">
      <c r="S85" t="s">
        <v>857</v>
      </c>
      <c r="T85" t="s">
        <v>861</v>
      </c>
      <c r="U85" s="30">
        <v>5</v>
      </c>
      <c r="V85" t="s">
        <v>170</v>
      </c>
      <c r="W85" s="38" t="s">
        <v>432</v>
      </c>
    </row>
    <row r="86" spans="19:24">
      <c r="S86" t="s">
        <v>857</v>
      </c>
      <c r="T86" t="s">
        <v>861</v>
      </c>
      <c r="U86" s="30">
        <v>5</v>
      </c>
      <c r="V86" t="s">
        <v>170</v>
      </c>
      <c r="W86" s="38" t="s">
        <v>841</v>
      </c>
    </row>
    <row r="87" spans="19:24">
      <c r="S87" t="s">
        <v>857</v>
      </c>
      <c r="T87" t="s">
        <v>861</v>
      </c>
      <c r="U87" s="30">
        <v>5</v>
      </c>
      <c r="V87" t="s">
        <v>170</v>
      </c>
      <c r="W87" t="s">
        <v>843</v>
      </c>
    </row>
    <row r="88" spans="19:24">
      <c r="S88" t="s">
        <v>857</v>
      </c>
      <c r="T88" t="s">
        <v>861</v>
      </c>
      <c r="U88" s="30">
        <v>5</v>
      </c>
      <c r="V88" t="s">
        <v>170</v>
      </c>
      <c r="W88" t="s">
        <v>845</v>
      </c>
    </row>
    <row r="89" spans="19:24">
      <c r="S89" t="s">
        <v>857</v>
      </c>
      <c r="T89" t="s">
        <v>861</v>
      </c>
      <c r="U89" s="38">
        <v>6</v>
      </c>
      <c r="V89" t="s">
        <v>170</v>
      </c>
      <c r="W89" t="s">
        <v>847</v>
      </c>
      <c r="X89" t="s">
        <v>460</v>
      </c>
    </row>
    <row r="90" spans="19:24">
      <c r="S90" t="s">
        <v>857</v>
      </c>
      <c r="T90" t="s">
        <v>861</v>
      </c>
      <c r="U90" s="38">
        <v>6</v>
      </c>
      <c r="V90" t="s">
        <v>170</v>
      </c>
      <c r="W90" t="s">
        <v>866</v>
      </c>
      <c r="X90" s="7"/>
    </row>
    <row r="91" spans="19:24">
      <c r="S91" t="s">
        <v>857</v>
      </c>
      <c r="T91" t="s">
        <v>861</v>
      </c>
      <c r="U91" s="30">
        <v>6</v>
      </c>
      <c r="V91" t="s">
        <v>170</v>
      </c>
      <c r="W91" t="s">
        <v>631</v>
      </c>
      <c r="X91" s="7">
        <v>3</v>
      </c>
    </row>
    <row r="92" spans="19:24">
      <c r="S92" t="s">
        <v>857</v>
      </c>
      <c r="T92" t="s">
        <v>861</v>
      </c>
      <c r="U92" s="30">
        <v>6</v>
      </c>
      <c r="V92" t="s">
        <v>170</v>
      </c>
      <c r="W92" s="38" t="s">
        <v>430</v>
      </c>
      <c r="X92" s="7">
        <v>3</v>
      </c>
    </row>
    <row r="93" spans="19:24">
      <c r="S93" t="s">
        <v>857</v>
      </c>
      <c r="T93" t="s">
        <v>861</v>
      </c>
      <c r="U93" s="30">
        <v>6</v>
      </c>
      <c r="V93" t="s">
        <v>170</v>
      </c>
      <c r="W93" s="38" t="s">
        <v>432</v>
      </c>
      <c r="X93" s="7">
        <v>1</v>
      </c>
    </row>
    <row r="94" spans="19:24">
      <c r="S94" t="s">
        <v>857</v>
      </c>
      <c r="T94" t="s">
        <v>861</v>
      </c>
      <c r="U94" s="30">
        <v>6</v>
      </c>
      <c r="V94" t="s">
        <v>170</v>
      </c>
      <c r="W94" s="38" t="s">
        <v>841</v>
      </c>
      <c r="X94" s="7"/>
    </row>
    <row r="95" spans="19:24">
      <c r="S95" t="s">
        <v>857</v>
      </c>
      <c r="T95" t="s">
        <v>861</v>
      </c>
      <c r="U95" s="30">
        <v>6</v>
      </c>
      <c r="V95" t="s">
        <v>170</v>
      </c>
      <c r="W95" t="s">
        <v>843</v>
      </c>
      <c r="X95" s="7"/>
    </row>
    <row r="96" spans="19:24">
      <c r="S96" t="s">
        <v>857</v>
      </c>
      <c r="T96" t="s">
        <v>861</v>
      </c>
      <c r="U96" s="30">
        <v>6</v>
      </c>
      <c r="V96" t="s">
        <v>170</v>
      </c>
      <c r="W96" t="s">
        <v>845</v>
      </c>
      <c r="X96" s="7"/>
    </row>
    <row r="97" spans="19:26">
      <c r="S97" t="s">
        <v>857</v>
      </c>
      <c r="T97" t="s">
        <v>862</v>
      </c>
      <c r="U97" s="38">
        <v>1</v>
      </c>
      <c r="V97" t="s">
        <v>170</v>
      </c>
      <c r="W97" t="s">
        <v>847</v>
      </c>
      <c r="X97" s="9" t="s">
        <v>143</v>
      </c>
    </row>
    <row r="98" spans="19:26">
      <c r="S98" t="s">
        <v>857</v>
      </c>
      <c r="T98" t="s">
        <v>862</v>
      </c>
      <c r="U98" s="38">
        <v>1</v>
      </c>
      <c r="V98" t="s">
        <v>170</v>
      </c>
      <c r="W98" t="s">
        <v>866</v>
      </c>
      <c r="X98" s="9" t="s">
        <v>341</v>
      </c>
    </row>
    <row r="99" spans="19:26">
      <c r="S99" t="s">
        <v>857</v>
      </c>
      <c r="T99" t="s">
        <v>862</v>
      </c>
      <c r="U99" s="38">
        <v>1</v>
      </c>
      <c r="V99" t="s">
        <v>170</v>
      </c>
      <c r="W99" t="s">
        <v>631</v>
      </c>
      <c r="X99" s="43">
        <v>1</v>
      </c>
    </row>
    <row r="100" spans="19:26">
      <c r="S100" t="s">
        <v>857</v>
      </c>
      <c r="T100" t="s">
        <v>862</v>
      </c>
      <c r="U100" s="38">
        <v>1</v>
      </c>
      <c r="V100" t="s">
        <v>170</v>
      </c>
      <c r="W100" s="38" t="s">
        <v>430</v>
      </c>
      <c r="X100" s="43">
        <v>2</v>
      </c>
    </row>
    <row r="101" spans="19:26">
      <c r="S101" t="s">
        <v>857</v>
      </c>
      <c r="T101" t="s">
        <v>862</v>
      </c>
      <c r="U101" s="38">
        <v>1</v>
      </c>
      <c r="V101" t="s">
        <v>170</v>
      </c>
      <c r="W101" s="38" t="s">
        <v>432</v>
      </c>
      <c r="X101" s="43"/>
    </row>
    <row r="102" spans="19:26">
      <c r="S102" t="s">
        <v>857</v>
      </c>
      <c r="T102" t="s">
        <v>862</v>
      </c>
      <c r="U102" s="38">
        <v>1</v>
      </c>
      <c r="V102" t="s">
        <v>170</v>
      </c>
      <c r="W102" s="38" t="s">
        <v>841</v>
      </c>
      <c r="X102" s="43"/>
    </row>
    <row r="103" spans="19:26">
      <c r="S103" t="s">
        <v>857</v>
      </c>
      <c r="T103" t="s">
        <v>862</v>
      </c>
      <c r="U103" s="38">
        <v>1</v>
      </c>
      <c r="V103" t="s">
        <v>170</v>
      </c>
      <c r="W103" t="s">
        <v>843</v>
      </c>
      <c r="X103" s="43"/>
    </row>
    <row r="104" spans="19:26">
      <c r="S104" t="s">
        <v>857</v>
      </c>
      <c r="T104" t="s">
        <v>862</v>
      </c>
      <c r="U104" s="38">
        <v>1</v>
      </c>
      <c r="V104" t="s">
        <v>170</v>
      </c>
      <c r="W104" t="s">
        <v>845</v>
      </c>
      <c r="X104" s="43"/>
      <c r="Z104" s="9"/>
    </row>
    <row r="105" spans="19:26">
      <c r="S105" t="s">
        <v>857</v>
      </c>
      <c r="T105" t="s">
        <v>862</v>
      </c>
      <c r="U105" s="38">
        <v>2</v>
      </c>
      <c r="V105" t="s">
        <v>170</v>
      </c>
      <c r="W105" t="s">
        <v>847</v>
      </c>
      <c r="X105" t="s">
        <v>244</v>
      </c>
      <c r="Z105" s="9"/>
    </row>
    <row r="106" spans="19:26">
      <c r="S106" t="s">
        <v>857</v>
      </c>
      <c r="T106" t="s">
        <v>862</v>
      </c>
      <c r="U106" s="38">
        <v>2</v>
      </c>
      <c r="V106" t="s">
        <v>170</v>
      </c>
      <c r="W106" t="s">
        <v>866</v>
      </c>
      <c r="X106" t="s">
        <v>851</v>
      </c>
    </row>
    <row r="107" spans="19:26">
      <c r="S107" t="s">
        <v>857</v>
      </c>
      <c r="T107" t="s">
        <v>862</v>
      </c>
      <c r="U107" s="41">
        <v>2</v>
      </c>
      <c r="V107" t="s">
        <v>170</v>
      </c>
      <c r="W107" t="s">
        <v>631</v>
      </c>
    </row>
    <row r="108" spans="19:26">
      <c r="S108" t="s">
        <v>857</v>
      </c>
      <c r="T108" t="s">
        <v>862</v>
      </c>
      <c r="U108" s="41">
        <v>2</v>
      </c>
      <c r="V108" t="s">
        <v>170</v>
      </c>
      <c r="W108" s="38" t="s">
        <v>430</v>
      </c>
    </row>
    <row r="109" spans="19:26">
      <c r="S109" t="s">
        <v>857</v>
      </c>
      <c r="T109" t="s">
        <v>862</v>
      </c>
      <c r="U109" s="41">
        <v>2</v>
      </c>
      <c r="V109" t="s">
        <v>170</v>
      </c>
      <c r="W109" s="38" t="s">
        <v>432</v>
      </c>
    </row>
    <row r="110" spans="19:26">
      <c r="S110" t="s">
        <v>857</v>
      </c>
      <c r="T110" t="s">
        <v>862</v>
      </c>
      <c r="U110" s="41">
        <v>2</v>
      </c>
      <c r="V110" t="s">
        <v>170</v>
      </c>
      <c r="W110" s="38" t="s">
        <v>841</v>
      </c>
    </row>
    <row r="111" spans="19:26">
      <c r="S111" t="s">
        <v>857</v>
      </c>
      <c r="T111" t="s">
        <v>862</v>
      </c>
      <c r="U111" s="41">
        <v>2</v>
      </c>
      <c r="V111" t="s">
        <v>170</v>
      </c>
      <c r="W111" t="s">
        <v>843</v>
      </c>
    </row>
    <row r="112" spans="19:26">
      <c r="S112" t="s">
        <v>857</v>
      </c>
      <c r="T112" t="s">
        <v>862</v>
      </c>
      <c r="U112" s="41">
        <v>2</v>
      </c>
      <c r="V112" t="s">
        <v>170</v>
      </c>
      <c r="W112" t="s">
        <v>845</v>
      </c>
    </row>
    <row r="113" spans="19:24">
      <c r="S113" t="s">
        <v>857</v>
      </c>
      <c r="T113" t="s">
        <v>862</v>
      </c>
      <c r="U113" s="38">
        <v>3</v>
      </c>
      <c r="V113" t="s">
        <v>170</v>
      </c>
      <c r="W113" t="s">
        <v>847</v>
      </c>
      <c r="X113" s="9" t="s">
        <v>244</v>
      </c>
    </row>
    <row r="114" spans="19:24">
      <c r="S114" t="s">
        <v>857</v>
      </c>
      <c r="T114" t="s">
        <v>862</v>
      </c>
      <c r="U114" s="38">
        <v>3</v>
      </c>
      <c r="V114" t="s">
        <v>170</v>
      </c>
      <c r="W114" t="s">
        <v>866</v>
      </c>
      <c r="X114" s="9" t="s">
        <v>551</v>
      </c>
    </row>
    <row r="115" spans="19:24">
      <c r="S115" t="s">
        <v>857</v>
      </c>
      <c r="T115" t="s">
        <v>862</v>
      </c>
      <c r="U115" s="41">
        <v>3</v>
      </c>
      <c r="V115" t="s">
        <v>170</v>
      </c>
      <c r="W115" t="s">
        <v>631</v>
      </c>
      <c r="X115" s="7">
        <v>3</v>
      </c>
    </row>
    <row r="116" spans="19:24">
      <c r="S116" t="s">
        <v>857</v>
      </c>
      <c r="T116" t="s">
        <v>862</v>
      </c>
      <c r="U116" s="41">
        <v>3</v>
      </c>
      <c r="V116" t="s">
        <v>170</v>
      </c>
      <c r="W116" s="38" t="s">
        <v>430</v>
      </c>
      <c r="X116" s="7">
        <v>4</v>
      </c>
    </row>
    <row r="117" spans="19:24">
      <c r="S117" t="s">
        <v>857</v>
      </c>
      <c r="T117" t="s">
        <v>862</v>
      </c>
      <c r="U117" s="30">
        <v>3</v>
      </c>
      <c r="V117" t="s">
        <v>170</v>
      </c>
      <c r="W117" s="38" t="s">
        <v>432</v>
      </c>
      <c r="X117" s="7"/>
    </row>
    <row r="118" spans="19:24">
      <c r="S118" t="s">
        <v>857</v>
      </c>
      <c r="T118" t="s">
        <v>862</v>
      </c>
      <c r="U118" s="30">
        <v>3</v>
      </c>
      <c r="V118" t="s">
        <v>170</v>
      </c>
      <c r="W118" s="38" t="s">
        <v>841</v>
      </c>
      <c r="X118" s="7">
        <v>1</v>
      </c>
    </row>
    <row r="119" spans="19:24">
      <c r="S119" t="s">
        <v>857</v>
      </c>
      <c r="T119" t="s">
        <v>862</v>
      </c>
      <c r="U119" s="30">
        <v>3</v>
      </c>
      <c r="V119" t="s">
        <v>170</v>
      </c>
      <c r="W119" t="s">
        <v>843</v>
      </c>
      <c r="X119" s="7"/>
    </row>
    <row r="120" spans="19:24">
      <c r="S120" t="s">
        <v>857</v>
      </c>
      <c r="T120" t="s">
        <v>862</v>
      </c>
      <c r="U120" s="30">
        <v>3</v>
      </c>
      <c r="V120" t="s">
        <v>170</v>
      </c>
      <c r="W120" t="s">
        <v>845</v>
      </c>
      <c r="X120" s="7"/>
    </row>
    <row r="121" spans="19:24">
      <c r="S121" t="s">
        <v>857</v>
      </c>
      <c r="T121" t="s">
        <v>862</v>
      </c>
      <c r="U121" s="38">
        <v>4</v>
      </c>
      <c r="V121" t="s">
        <v>170</v>
      </c>
      <c r="W121" t="s">
        <v>847</v>
      </c>
      <c r="X121" s="9" t="s">
        <v>343</v>
      </c>
    </row>
    <row r="122" spans="19:24">
      <c r="S122" t="s">
        <v>857</v>
      </c>
      <c r="T122" t="s">
        <v>862</v>
      </c>
      <c r="U122" s="38">
        <v>4</v>
      </c>
      <c r="V122" t="s">
        <v>170</v>
      </c>
      <c r="W122" t="s">
        <v>866</v>
      </c>
      <c r="X122" s="9" t="s">
        <v>484</v>
      </c>
    </row>
    <row r="123" spans="19:24">
      <c r="S123" t="s">
        <v>857</v>
      </c>
      <c r="T123" t="s">
        <v>862</v>
      </c>
      <c r="U123" s="30">
        <v>4</v>
      </c>
      <c r="V123" t="s">
        <v>170</v>
      </c>
      <c r="W123" t="s">
        <v>631</v>
      </c>
      <c r="X123" s="7">
        <v>1</v>
      </c>
    </row>
    <row r="124" spans="19:24">
      <c r="S124" t="s">
        <v>857</v>
      </c>
      <c r="T124" t="s">
        <v>862</v>
      </c>
      <c r="U124" s="30">
        <v>4</v>
      </c>
      <c r="V124" t="s">
        <v>170</v>
      </c>
      <c r="W124" s="38" t="s">
        <v>430</v>
      </c>
      <c r="X124" s="7"/>
    </row>
    <row r="125" spans="19:24">
      <c r="S125" t="s">
        <v>857</v>
      </c>
      <c r="T125" t="s">
        <v>862</v>
      </c>
      <c r="U125" s="30">
        <v>4</v>
      </c>
      <c r="V125" t="s">
        <v>170</v>
      </c>
      <c r="W125" s="38" t="s">
        <v>432</v>
      </c>
      <c r="X125" s="7"/>
    </row>
    <row r="126" spans="19:24">
      <c r="S126" t="s">
        <v>857</v>
      </c>
      <c r="T126" t="s">
        <v>862</v>
      </c>
      <c r="U126" s="30">
        <v>4</v>
      </c>
      <c r="V126" t="s">
        <v>170</v>
      </c>
      <c r="W126" s="38" t="s">
        <v>841</v>
      </c>
      <c r="X126" s="7"/>
    </row>
    <row r="127" spans="19:24">
      <c r="S127" t="s">
        <v>857</v>
      </c>
      <c r="T127" t="s">
        <v>862</v>
      </c>
      <c r="U127" s="30">
        <v>4</v>
      </c>
      <c r="V127" t="s">
        <v>170</v>
      </c>
      <c r="W127" t="s">
        <v>843</v>
      </c>
      <c r="X127" s="7"/>
    </row>
    <row r="128" spans="19:24">
      <c r="S128" t="s">
        <v>857</v>
      </c>
      <c r="T128" t="s">
        <v>862</v>
      </c>
      <c r="U128" s="30">
        <v>4</v>
      </c>
      <c r="V128" t="s">
        <v>170</v>
      </c>
      <c r="W128" t="s">
        <v>845</v>
      </c>
      <c r="X128" s="7"/>
    </row>
    <row r="129" spans="19:24">
      <c r="S129" t="s">
        <v>857</v>
      </c>
      <c r="T129" t="s">
        <v>862</v>
      </c>
      <c r="U129" s="38">
        <v>5</v>
      </c>
      <c r="V129" t="s">
        <v>170</v>
      </c>
      <c r="W129" t="s">
        <v>847</v>
      </c>
      <c r="X129" s="9" t="s">
        <v>487</v>
      </c>
    </row>
    <row r="130" spans="19:24">
      <c r="S130" t="s">
        <v>857</v>
      </c>
      <c r="T130" t="s">
        <v>862</v>
      </c>
      <c r="U130" s="38">
        <v>5</v>
      </c>
      <c r="V130" t="s">
        <v>170</v>
      </c>
      <c r="W130" t="s">
        <v>866</v>
      </c>
      <c r="X130" s="9" t="s">
        <v>447</v>
      </c>
    </row>
    <row r="131" spans="19:24">
      <c r="S131" t="s">
        <v>857</v>
      </c>
      <c r="T131" t="s">
        <v>862</v>
      </c>
      <c r="U131" s="30">
        <v>5</v>
      </c>
      <c r="V131" t="s">
        <v>170</v>
      </c>
      <c r="W131" t="s">
        <v>631</v>
      </c>
    </row>
    <row r="132" spans="19:24">
      <c r="S132" t="s">
        <v>857</v>
      </c>
      <c r="T132" t="s">
        <v>862</v>
      </c>
      <c r="U132" s="30">
        <v>5</v>
      </c>
      <c r="V132" t="s">
        <v>170</v>
      </c>
      <c r="W132" s="38" t="s">
        <v>430</v>
      </c>
    </row>
    <row r="133" spans="19:24">
      <c r="S133" t="s">
        <v>857</v>
      </c>
      <c r="T133" t="s">
        <v>862</v>
      </c>
      <c r="U133" s="30">
        <v>5</v>
      </c>
      <c r="V133" t="s">
        <v>170</v>
      </c>
      <c r="W133" s="38" t="s">
        <v>432</v>
      </c>
    </row>
    <row r="134" spans="19:24">
      <c r="S134" t="s">
        <v>857</v>
      </c>
      <c r="T134" t="s">
        <v>862</v>
      </c>
      <c r="U134" s="30">
        <v>5</v>
      </c>
      <c r="V134" t="s">
        <v>170</v>
      </c>
      <c r="W134" s="38" t="s">
        <v>841</v>
      </c>
    </row>
    <row r="135" spans="19:24">
      <c r="S135" t="s">
        <v>857</v>
      </c>
      <c r="T135" t="s">
        <v>862</v>
      </c>
      <c r="U135" s="30">
        <v>5</v>
      </c>
      <c r="V135" t="s">
        <v>170</v>
      </c>
      <c r="W135" t="s">
        <v>843</v>
      </c>
    </row>
    <row r="136" spans="19:24">
      <c r="S136" t="s">
        <v>857</v>
      </c>
      <c r="T136" t="s">
        <v>862</v>
      </c>
      <c r="U136" s="30">
        <v>5</v>
      </c>
      <c r="V136" t="s">
        <v>170</v>
      </c>
      <c r="W136" t="s">
        <v>845</v>
      </c>
    </row>
    <row r="137" spans="19:24">
      <c r="S137" t="s">
        <v>857</v>
      </c>
      <c r="T137" t="s">
        <v>862</v>
      </c>
      <c r="U137" s="38">
        <v>6</v>
      </c>
      <c r="V137" t="s">
        <v>170</v>
      </c>
      <c r="W137" t="s">
        <v>847</v>
      </c>
      <c r="X137" s="9" t="s">
        <v>490</v>
      </c>
    </row>
    <row r="138" spans="19:24">
      <c r="S138" t="s">
        <v>857</v>
      </c>
      <c r="T138" t="s">
        <v>862</v>
      </c>
      <c r="U138" s="38">
        <v>6</v>
      </c>
      <c r="V138" t="s">
        <v>170</v>
      </c>
      <c r="W138" t="s">
        <v>866</v>
      </c>
      <c r="X138" s="7"/>
    </row>
    <row r="139" spans="19:24">
      <c r="S139" t="s">
        <v>857</v>
      </c>
      <c r="T139" t="s">
        <v>862</v>
      </c>
      <c r="U139" s="30">
        <v>6</v>
      </c>
      <c r="V139" t="s">
        <v>170</v>
      </c>
      <c r="W139" t="s">
        <v>631</v>
      </c>
      <c r="X139" s="7">
        <v>1</v>
      </c>
    </row>
    <row r="140" spans="19:24">
      <c r="S140" t="s">
        <v>857</v>
      </c>
      <c r="T140" t="s">
        <v>862</v>
      </c>
      <c r="U140" s="30">
        <v>6</v>
      </c>
      <c r="V140" t="s">
        <v>170</v>
      </c>
      <c r="W140" s="38" t="s">
        <v>430</v>
      </c>
      <c r="X140" s="7"/>
    </row>
    <row r="141" spans="19:24">
      <c r="S141" t="s">
        <v>857</v>
      </c>
      <c r="T141" t="s">
        <v>862</v>
      </c>
      <c r="U141" s="30">
        <v>6</v>
      </c>
      <c r="V141" t="s">
        <v>170</v>
      </c>
      <c r="W141" s="38" t="s">
        <v>432</v>
      </c>
      <c r="X141" s="7">
        <v>1</v>
      </c>
    </row>
    <row r="142" spans="19:24">
      <c r="S142" t="s">
        <v>857</v>
      </c>
      <c r="T142" t="s">
        <v>862</v>
      </c>
      <c r="U142" s="30">
        <v>6</v>
      </c>
      <c r="V142" t="s">
        <v>170</v>
      </c>
      <c r="W142" s="38" t="s">
        <v>841</v>
      </c>
      <c r="X142" s="7"/>
    </row>
    <row r="143" spans="19:24">
      <c r="S143" t="s">
        <v>857</v>
      </c>
      <c r="T143" t="s">
        <v>862</v>
      </c>
      <c r="U143" s="30">
        <v>6</v>
      </c>
      <c r="V143" t="s">
        <v>170</v>
      </c>
      <c r="W143" t="s">
        <v>843</v>
      </c>
      <c r="X143" s="7"/>
    </row>
    <row r="144" spans="19:24">
      <c r="S144" t="s">
        <v>857</v>
      </c>
      <c r="T144" t="s">
        <v>862</v>
      </c>
      <c r="U144" s="30">
        <v>6</v>
      </c>
      <c r="V144" t="s">
        <v>170</v>
      </c>
      <c r="W144" t="s">
        <v>845</v>
      </c>
      <c r="X144" s="7"/>
    </row>
    <row r="145" spans="19:30">
      <c r="S145" t="s">
        <v>537</v>
      </c>
      <c r="T145" t="s">
        <v>863</v>
      </c>
      <c r="U145" s="38">
        <v>1</v>
      </c>
      <c r="V145" t="s">
        <v>170</v>
      </c>
      <c r="W145" t="s">
        <v>847</v>
      </c>
      <c r="X145" s="17"/>
      <c r="AA145" s="38"/>
      <c r="AB145" s="38"/>
      <c r="AC145" s="38"/>
      <c r="AD145" s="38"/>
    </row>
    <row r="146" spans="19:30">
      <c r="S146" t="s">
        <v>537</v>
      </c>
      <c r="T146" t="s">
        <v>863</v>
      </c>
      <c r="U146" s="38">
        <v>1</v>
      </c>
      <c r="V146" t="s">
        <v>170</v>
      </c>
      <c r="W146" t="s">
        <v>866</v>
      </c>
      <c r="X146" s="43">
        <v>1</v>
      </c>
      <c r="AA146" s="7"/>
      <c r="AB146" s="7"/>
      <c r="AC146" s="7"/>
    </row>
    <row r="147" spans="19:30">
      <c r="S147" t="s">
        <v>537</v>
      </c>
      <c r="T147" t="s">
        <v>863</v>
      </c>
      <c r="U147" s="38">
        <v>1</v>
      </c>
      <c r="V147" t="s">
        <v>170</v>
      </c>
      <c r="W147" t="s">
        <v>631</v>
      </c>
      <c r="X147" s="43"/>
    </row>
    <row r="148" spans="19:30">
      <c r="S148" t="s">
        <v>537</v>
      </c>
      <c r="T148" t="s">
        <v>863</v>
      </c>
      <c r="U148" s="38">
        <v>1</v>
      </c>
      <c r="V148" t="s">
        <v>170</v>
      </c>
      <c r="W148" s="38" t="s">
        <v>430</v>
      </c>
      <c r="X148" s="43"/>
    </row>
    <row r="149" spans="19:30">
      <c r="S149" t="s">
        <v>537</v>
      </c>
      <c r="T149" t="s">
        <v>863</v>
      </c>
      <c r="U149" s="38">
        <v>1</v>
      </c>
      <c r="V149" t="s">
        <v>170</v>
      </c>
      <c r="W149" s="38" t="s">
        <v>432</v>
      </c>
      <c r="X149" s="43"/>
    </row>
    <row r="150" spans="19:30">
      <c r="S150" t="s">
        <v>537</v>
      </c>
      <c r="T150" t="s">
        <v>863</v>
      </c>
      <c r="U150" s="38">
        <v>1</v>
      </c>
      <c r="V150" t="s">
        <v>170</v>
      </c>
      <c r="W150" s="38" t="s">
        <v>841</v>
      </c>
      <c r="X150" s="43"/>
    </row>
    <row r="151" spans="19:30">
      <c r="S151" t="s">
        <v>537</v>
      </c>
      <c r="T151" t="s">
        <v>863</v>
      </c>
      <c r="U151" s="38">
        <v>1</v>
      </c>
      <c r="V151" t="s">
        <v>170</v>
      </c>
      <c r="W151" t="s">
        <v>843</v>
      </c>
      <c r="X151" s="43">
        <v>1</v>
      </c>
    </row>
    <row r="152" spans="19:30">
      <c r="S152" t="s">
        <v>537</v>
      </c>
      <c r="T152" t="s">
        <v>863</v>
      </c>
      <c r="U152" s="38">
        <v>1</v>
      </c>
      <c r="V152" t="s">
        <v>170</v>
      </c>
      <c r="W152" t="s">
        <v>845</v>
      </c>
      <c r="X152" s="43"/>
    </row>
    <row r="153" spans="19:30">
      <c r="S153" t="s">
        <v>537</v>
      </c>
      <c r="T153" t="s">
        <v>863</v>
      </c>
      <c r="U153" s="38">
        <v>2</v>
      </c>
      <c r="V153" t="s">
        <v>170</v>
      </c>
      <c r="W153" t="s">
        <v>847</v>
      </c>
      <c r="X153" s="7"/>
    </row>
    <row r="154" spans="19:30">
      <c r="S154" t="s">
        <v>537</v>
      </c>
      <c r="T154" t="s">
        <v>863</v>
      </c>
      <c r="U154" s="38">
        <v>2</v>
      </c>
      <c r="V154" t="s">
        <v>170</v>
      </c>
      <c r="W154" t="s">
        <v>866</v>
      </c>
      <c r="X154" s="7"/>
    </row>
    <row r="155" spans="19:30">
      <c r="S155" t="s">
        <v>537</v>
      </c>
      <c r="T155" t="s">
        <v>863</v>
      </c>
      <c r="U155" s="41">
        <v>2</v>
      </c>
      <c r="V155" t="s">
        <v>170</v>
      </c>
      <c r="W155" t="s">
        <v>631</v>
      </c>
      <c r="X155" s="7"/>
    </row>
    <row r="156" spans="19:30">
      <c r="S156" t="s">
        <v>537</v>
      </c>
      <c r="T156" t="s">
        <v>863</v>
      </c>
      <c r="U156" s="41">
        <v>2</v>
      </c>
      <c r="V156" t="s">
        <v>170</v>
      </c>
      <c r="W156" s="38" t="s">
        <v>430</v>
      </c>
      <c r="X156" s="7"/>
    </row>
    <row r="157" spans="19:30">
      <c r="S157" t="s">
        <v>537</v>
      </c>
      <c r="T157" t="s">
        <v>863</v>
      </c>
      <c r="U157" s="41">
        <v>2</v>
      </c>
      <c r="V157" t="s">
        <v>170</v>
      </c>
      <c r="W157" s="38" t="s">
        <v>432</v>
      </c>
      <c r="X157" s="7"/>
    </row>
    <row r="158" spans="19:30">
      <c r="S158" t="s">
        <v>537</v>
      </c>
      <c r="T158" t="s">
        <v>863</v>
      </c>
      <c r="U158" s="41">
        <v>2</v>
      </c>
      <c r="V158" t="s">
        <v>170</v>
      </c>
      <c r="W158" s="38" t="s">
        <v>841</v>
      </c>
      <c r="X158" s="7">
        <v>1</v>
      </c>
    </row>
    <row r="159" spans="19:30">
      <c r="S159" t="s">
        <v>537</v>
      </c>
      <c r="T159" t="s">
        <v>863</v>
      </c>
      <c r="U159" s="41">
        <v>2</v>
      </c>
      <c r="V159" t="s">
        <v>170</v>
      </c>
      <c r="W159" t="s">
        <v>843</v>
      </c>
      <c r="X159" s="7"/>
    </row>
    <row r="160" spans="19:30">
      <c r="S160" t="s">
        <v>537</v>
      </c>
      <c r="T160" t="s">
        <v>863</v>
      </c>
      <c r="U160" s="41">
        <v>2</v>
      </c>
      <c r="V160" t="s">
        <v>170</v>
      </c>
      <c r="W160" t="s">
        <v>845</v>
      </c>
      <c r="X160" s="7"/>
    </row>
    <row r="161" spans="19:24">
      <c r="S161" t="s">
        <v>537</v>
      </c>
      <c r="T161" t="s">
        <v>863</v>
      </c>
      <c r="U161" s="41">
        <v>3</v>
      </c>
      <c r="V161" t="s">
        <v>170</v>
      </c>
      <c r="W161" t="s">
        <v>847</v>
      </c>
      <c r="X161" s="38"/>
    </row>
    <row r="162" spans="19:24">
      <c r="S162" t="s">
        <v>537</v>
      </c>
      <c r="T162" t="s">
        <v>863</v>
      </c>
      <c r="U162" s="38">
        <v>3</v>
      </c>
      <c r="V162" t="s">
        <v>170</v>
      </c>
      <c r="W162" t="s">
        <v>866</v>
      </c>
      <c r="X162" s="7">
        <v>1</v>
      </c>
    </row>
    <row r="163" spans="19:24">
      <c r="S163" t="s">
        <v>537</v>
      </c>
      <c r="T163" t="s">
        <v>863</v>
      </c>
      <c r="U163" s="38">
        <v>3</v>
      </c>
      <c r="V163" t="s">
        <v>170</v>
      </c>
      <c r="W163" t="s">
        <v>631</v>
      </c>
      <c r="X163" s="7"/>
    </row>
    <row r="164" spans="19:24">
      <c r="S164" t="s">
        <v>537</v>
      </c>
      <c r="T164" t="s">
        <v>863</v>
      </c>
      <c r="U164" s="41">
        <v>3</v>
      </c>
      <c r="V164" t="s">
        <v>170</v>
      </c>
      <c r="W164" s="38" t="s">
        <v>430</v>
      </c>
    </row>
    <row r="165" spans="19:24">
      <c r="S165" t="s">
        <v>537</v>
      </c>
      <c r="T165" t="s">
        <v>863</v>
      </c>
      <c r="U165" s="30">
        <v>3</v>
      </c>
      <c r="V165" t="s">
        <v>170</v>
      </c>
      <c r="W165" s="38" t="s">
        <v>432</v>
      </c>
    </row>
    <row r="166" spans="19:24">
      <c r="S166" t="s">
        <v>537</v>
      </c>
      <c r="T166" t="s">
        <v>863</v>
      </c>
      <c r="U166" s="30">
        <v>3</v>
      </c>
      <c r="V166" t="s">
        <v>170</v>
      </c>
      <c r="W166" s="38" t="s">
        <v>841</v>
      </c>
    </row>
    <row r="167" spans="19:24">
      <c r="S167" t="s">
        <v>537</v>
      </c>
      <c r="T167" t="s">
        <v>863</v>
      </c>
      <c r="U167" s="30">
        <v>3</v>
      </c>
      <c r="V167" t="s">
        <v>170</v>
      </c>
      <c r="W167" t="s">
        <v>843</v>
      </c>
    </row>
    <row r="168" spans="19:24">
      <c r="S168" t="s">
        <v>537</v>
      </c>
      <c r="T168" t="s">
        <v>863</v>
      </c>
      <c r="U168" s="30">
        <v>3</v>
      </c>
      <c r="V168" t="s">
        <v>170</v>
      </c>
      <c r="W168" t="s">
        <v>845</v>
      </c>
    </row>
    <row r="169" spans="19:24">
      <c r="S169" t="s">
        <v>537</v>
      </c>
      <c r="T169" t="s">
        <v>863</v>
      </c>
      <c r="U169" s="38">
        <v>4</v>
      </c>
      <c r="V169" t="s">
        <v>170</v>
      </c>
      <c r="W169" t="s">
        <v>847</v>
      </c>
      <c r="X169" s="7"/>
    </row>
    <row r="170" spans="19:24">
      <c r="S170" t="s">
        <v>537</v>
      </c>
      <c r="T170" t="s">
        <v>863</v>
      </c>
      <c r="U170" s="38">
        <v>4</v>
      </c>
      <c r="V170" t="s">
        <v>170</v>
      </c>
      <c r="W170" t="s">
        <v>866</v>
      </c>
      <c r="X170" s="7"/>
    </row>
    <row r="171" spans="19:24">
      <c r="S171" t="s">
        <v>537</v>
      </c>
      <c r="T171" t="s">
        <v>863</v>
      </c>
      <c r="U171" s="30">
        <v>4</v>
      </c>
      <c r="V171" t="s">
        <v>170</v>
      </c>
      <c r="W171" t="s">
        <v>631</v>
      </c>
      <c r="X171" s="7"/>
    </row>
    <row r="172" spans="19:24">
      <c r="S172" t="s">
        <v>537</v>
      </c>
      <c r="T172" t="s">
        <v>863</v>
      </c>
      <c r="U172" s="30">
        <v>4</v>
      </c>
      <c r="V172" t="s">
        <v>170</v>
      </c>
      <c r="W172" s="38" t="s">
        <v>430</v>
      </c>
      <c r="X172" s="7">
        <v>1</v>
      </c>
    </row>
    <row r="173" spans="19:24">
      <c r="S173" t="s">
        <v>537</v>
      </c>
      <c r="T173" t="s">
        <v>863</v>
      </c>
      <c r="U173" s="30">
        <v>4</v>
      </c>
      <c r="V173" t="s">
        <v>170</v>
      </c>
      <c r="W173" s="38" t="s">
        <v>432</v>
      </c>
      <c r="X173" s="7"/>
    </row>
    <row r="174" spans="19:24">
      <c r="S174" t="s">
        <v>537</v>
      </c>
      <c r="T174" t="s">
        <v>863</v>
      </c>
      <c r="U174" s="30">
        <v>4</v>
      </c>
      <c r="V174" t="s">
        <v>170</v>
      </c>
      <c r="W174" s="38" t="s">
        <v>841</v>
      </c>
      <c r="X174" s="7"/>
    </row>
    <row r="175" spans="19:24">
      <c r="S175" t="s">
        <v>537</v>
      </c>
      <c r="T175" t="s">
        <v>863</v>
      </c>
      <c r="U175" s="30">
        <v>4</v>
      </c>
      <c r="V175" t="s">
        <v>170</v>
      </c>
      <c r="W175" t="s">
        <v>843</v>
      </c>
      <c r="X175" s="7"/>
    </row>
    <row r="176" spans="19:24">
      <c r="S176" t="s">
        <v>537</v>
      </c>
      <c r="T176" t="s">
        <v>863</v>
      </c>
      <c r="U176" s="30">
        <v>4</v>
      </c>
      <c r="V176" t="s">
        <v>170</v>
      </c>
      <c r="W176" t="s">
        <v>845</v>
      </c>
      <c r="X176" s="7"/>
    </row>
    <row r="177" spans="19:30">
      <c r="S177" t="s">
        <v>537</v>
      </c>
      <c r="T177" t="s">
        <v>863</v>
      </c>
      <c r="U177" s="38">
        <v>5</v>
      </c>
      <c r="V177" t="s">
        <v>170</v>
      </c>
      <c r="W177" t="s">
        <v>847</v>
      </c>
      <c r="X177" s="38"/>
    </row>
    <row r="178" spans="19:30">
      <c r="S178" t="s">
        <v>537</v>
      </c>
      <c r="T178" t="s">
        <v>863</v>
      </c>
      <c r="U178" s="38">
        <v>5</v>
      </c>
      <c r="V178" t="s">
        <v>170</v>
      </c>
      <c r="W178" t="s">
        <v>866</v>
      </c>
      <c r="X178">
        <v>2</v>
      </c>
    </row>
    <row r="179" spans="19:30">
      <c r="S179" t="s">
        <v>537</v>
      </c>
      <c r="T179" t="s">
        <v>863</v>
      </c>
      <c r="U179" s="30">
        <v>5</v>
      </c>
      <c r="V179" t="s">
        <v>170</v>
      </c>
      <c r="W179" t="s">
        <v>631</v>
      </c>
      <c r="X179" s="7"/>
    </row>
    <row r="180" spans="19:30">
      <c r="S180" t="s">
        <v>537</v>
      </c>
      <c r="T180" t="s">
        <v>863</v>
      </c>
      <c r="U180" s="30">
        <v>5</v>
      </c>
      <c r="V180" t="s">
        <v>170</v>
      </c>
      <c r="W180" s="38" t="s">
        <v>430</v>
      </c>
      <c r="X180" s="7">
        <v>2</v>
      </c>
    </row>
    <row r="181" spans="19:30">
      <c r="S181" t="s">
        <v>537</v>
      </c>
      <c r="T181" t="s">
        <v>863</v>
      </c>
      <c r="U181" s="30">
        <v>5</v>
      </c>
      <c r="V181" t="s">
        <v>170</v>
      </c>
      <c r="W181" s="38" t="s">
        <v>432</v>
      </c>
      <c r="X181" s="7">
        <v>2</v>
      </c>
    </row>
    <row r="182" spans="19:30">
      <c r="S182" t="s">
        <v>537</v>
      </c>
      <c r="T182" t="s">
        <v>863</v>
      </c>
      <c r="U182" s="30">
        <v>5</v>
      </c>
      <c r="V182" t="s">
        <v>170</v>
      </c>
      <c r="W182" s="38" t="s">
        <v>841</v>
      </c>
      <c r="X182" s="7"/>
    </row>
    <row r="183" spans="19:30">
      <c r="S183" t="s">
        <v>537</v>
      </c>
      <c r="T183" t="s">
        <v>863</v>
      </c>
      <c r="U183" s="30">
        <v>5</v>
      </c>
      <c r="V183" t="s">
        <v>170</v>
      </c>
      <c r="W183" t="s">
        <v>843</v>
      </c>
      <c r="X183" s="7">
        <v>1</v>
      </c>
    </row>
    <row r="184" spans="19:30">
      <c r="S184" t="s">
        <v>537</v>
      </c>
      <c r="T184" t="s">
        <v>863</v>
      </c>
      <c r="U184" s="30">
        <v>5</v>
      </c>
      <c r="V184" t="s">
        <v>170</v>
      </c>
      <c r="W184" t="s">
        <v>845</v>
      </c>
      <c r="X184" s="7"/>
    </row>
    <row r="185" spans="19:30">
      <c r="S185" t="s">
        <v>537</v>
      </c>
      <c r="T185" t="s">
        <v>864</v>
      </c>
      <c r="U185" s="38">
        <v>1</v>
      </c>
      <c r="V185" t="s">
        <v>170</v>
      </c>
      <c r="W185" t="s">
        <v>847</v>
      </c>
      <c r="X185" s="17"/>
    </row>
    <row r="186" spans="19:30">
      <c r="S186" t="s">
        <v>537</v>
      </c>
      <c r="T186" t="s">
        <v>864</v>
      </c>
      <c r="U186" s="38">
        <v>1</v>
      </c>
      <c r="V186" t="s">
        <v>170</v>
      </c>
      <c r="W186" t="s">
        <v>866</v>
      </c>
      <c r="X186">
        <v>5</v>
      </c>
    </row>
    <row r="187" spans="19:30">
      <c r="S187" t="s">
        <v>537</v>
      </c>
      <c r="T187" t="s">
        <v>864</v>
      </c>
      <c r="U187" s="38">
        <v>1</v>
      </c>
      <c r="V187" t="s">
        <v>170</v>
      </c>
      <c r="W187" t="s">
        <v>631</v>
      </c>
      <c r="X187" s="43"/>
      <c r="AD187" s="38"/>
    </row>
    <row r="188" spans="19:30">
      <c r="S188" t="s">
        <v>537</v>
      </c>
      <c r="T188" t="s">
        <v>864</v>
      </c>
      <c r="U188" s="38">
        <v>1</v>
      </c>
      <c r="V188" t="s">
        <v>170</v>
      </c>
      <c r="W188" s="38" t="s">
        <v>430</v>
      </c>
      <c r="X188" s="43">
        <v>1</v>
      </c>
      <c r="AD188" s="7"/>
    </row>
    <row r="189" spans="19:30">
      <c r="S189" t="s">
        <v>537</v>
      </c>
      <c r="T189" t="s">
        <v>864</v>
      </c>
      <c r="U189" s="38">
        <v>1</v>
      </c>
      <c r="V189" t="s">
        <v>170</v>
      </c>
      <c r="W189" s="38" t="s">
        <v>432</v>
      </c>
      <c r="X189" s="43">
        <v>3</v>
      </c>
    </row>
    <row r="190" spans="19:30">
      <c r="S190" t="s">
        <v>537</v>
      </c>
      <c r="T190" t="s">
        <v>864</v>
      </c>
      <c r="U190" s="38">
        <v>1</v>
      </c>
      <c r="V190" t="s">
        <v>170</v>
      </c>
      <c r="W190" s="38" t="s">
        <v>841</v>
      </c>
      <c r="X190" s="43"/>
    </row>
    <row r="191" spans="19:30">
      <c r="S191" t="s">
        <v>537</v>
      </c>
      <c r="T191" t="s">
        <v>864</v>
      </c>
      <c r="U191" s="38">
        <v>1</v>
      </c>
      <c r="V191" t="s">
        <v>170</v>
      </c>
      <c r="W191" t="s">
        <v>843</v>
      </c>
      <c r="X191" s="43"/>
    </row>
    <row r="192" spans="19:30">
      <c r="S192" t="s">
        <v>537</v>
      </c>
      <c r="T192" t="s">
        <v>864</v>
      </c>
      <c r="U192" s="38">
        <v>1</v>
      </c>
      <c r="V192" t="s">
        <v>170</v>
      </c>
      <c r="W192" t="s">
        <v>845</v>
      </c>
      <c r="X192" s="43"/>
    </row>
    <row r="193" spans="19:24">
      <c r="S193" t="s">
        <v>537</v>
      </c>
      <c r="T193" t="s">
        <v>864</v>
      </c>
      <c r="U193" s="38">
        <v>2</v>
      </c>
      <c r="V193" t="s">
        <v>170</v>
      </c>
      <c r="W193" t="s">
        <v>847</v>
      </c>
      <c r="X193" t="s">
        <v>16</v>
      </c>
    </row>
    <row r="194" spans="19:24">
      <c r="S194" t="s">
        <v>537</v>
      </c>
      <c r="T194" t="s">
        <v>864</v>
      </c>
      <c r="U194" s="38">
        <v>2</v>
      </c>
      <c r="V194" t="s">
        <v>170</v>
      </c>
      <c r="W194" t="s">
        <v>866</v>
      </c>
      <c r="X194" t="s">
        <v>447</v>
      </c>
    </row>
    <row r="195" spans="19:24">
      <c r="S195" t="s">
        <v>537</v>
      </c>
      <c r="T195" t="s">
        <v>864</v>
      </c>
      <c r="U195" s="41">
        <v>2</v>
      </c>
      <c r="V195" t="s">
        <v>170</v>
      </c>
      <c r="W195" t="s">
        <v>631</v>
      </c>
      <c r="X195" s="7">
        <v>1</v>
      </c>
    </row>
    <row r="196" spans="19:24">
      <c r="S196" t="s">
        <v>537</v>
      </c>
      <c r="T196" t="s">
        <v>864</v>
      </c>
      <c r="U196" s="41">
        <v>2</v>
      </c>
      <c r="V196" t="s">
        <v>170</v>
      </c>
      <c r="W196" s="38" t="s">
        <v>430</v>
      </c>
      <c r="X196" s="7">
        <v>1</v>
      </c>
    </row>
    <row r="197" spans="19:24">
      <c r="S197" t="s">
        <v>537</v>
      </c>
      <c r="T197" t="s">
        <v>864</v>
      </c>
      <c r="U197" s="41">
        <v>2</v>
      </c>
      <c r="V197" t="s">
        <v>170</v>
      </c>
      <c r="W197" s="38" t="s">
        <v>432</v>
      </c>
      <c r="X197" s="7"/>
    </row>
    <row r="198" spans="19:24">
      <c r="S198" t="s">
        <v>537</v>
      </c>
      <c r="T198" t="s">
        <v>864</v>
      </c>
      <c r="U198" s="41">
        <v>2</v>
      </c>
      <c r="V198" t="s">
        <v>170</v>
      </c>
      <c r="W198" s="38" t="s">
        <v>841</v>
      </c>
      <c r="X198" s="7"/>
    </row>
    <row r="199" spans="19:24">
      <c r="S199" t="s">
        <v>537</v>
      </c>
      <c r="T199" t="s">
        <v>864</v>
      </c>
      <c r="U199" s="41">
        <v>2</v>
      </c>
      <c r="V199" t="s">
        <v>170</v>
      </c>
      <c r="W199" t="s">
        <v>843</v>
      </c>
      <c r="X199" s="7">
        <v>1</v>
      </c>
    </row>
    <row r="200" spans="19:24">
      <c r="S200" t="s">
        <v>537</v>
      </c>
      <c r="T200" t="s">
        <v>864</v>
      </c>
      <c r="U200" s="41">
        <v>2</v>
      </c>
      <c r="V200" t="s">
        <v>170</v>
      </c>
      <c r="W200" t="s">
        <v>845</v>
      </c>
      <c r="X200" s="7"/>
    </row>
    <row r="201" spans="19:24">
      <c r="S201" t="s">
        <v>537</v>
      </c>
      <c r="T201" t="s">
        <v>864</v>
      </c>
      <c r="U201" s="38">
        <v>3</v>
      </c>
      <c r="V201" t="s">
        <v>170</v>
      </c>
      <c r="W201" t="s">
        <v>847</v>
      </c>
      <c r="X201" s="11" t="s">
        <v>143</v>
      </c>
    </row>
    <row r="202" spans="19:24">
      <c r="S202" t="s">
        <v>537</v>
      </c>
      <c r="T202" t="s">
        <v>864</v>
      </c>
      <c r="U202" s="38">
        <v>3</v>
      </c>
      <c r="V202" t="s">
        <v>170</v>
      </c>
      <c r="W202" t="s">
        <v>866</v>
      </c>
      <c r="X202">
        <v>2</v>
      </c>
    </row>
    <row r="203" spans="19:24">
      <c r="S203" t="s">
        <v>537</v>
      </c>
      <c r="T203" t="s">
        <v>864</v>
      </c>
      <c r="U203" s="41">
        <v>3</v>
      </c>
      <c r="V203" t="s">
        <v>170</v>
      </c>
      <c r="W203" t="s">
        <v>631</v>
      </c>
    </row>
    <row r="204" spans="19:24">
      <c r="S204" t="s">
        <v>537</v>
      </c>
      <c r="T204" t="s">
        <v>864</v>
      </c>
      <c r="U204" s="41">
        <v>3</v>
      </c>
      <c r="V204" t="s">
        <v>170</v>
      </c>
      <c r="W204" s="38" t="s">
        <v>430</v>
      </c>
    </row>
    <row r="205" spans="19:24">
      <c r="S205" t="s">
        <v>537</v>
      </c>
      <c r="T205" t="s">
        <v>864</v>
      </c>
      <c r="U205" s="30">
        <v>3</v>
      </c>
      <c r="V205" t="s">
        <v>170</v>
      </c>
      <c r="W205" s="38" t="s">
        <v>432</v>
      </c>
    </row>
    <row r="206" spans="19:24">
      <c r="S206" t="s">
        <v>537</v>
      </c>
      <c r="T206" t="s">
        <v>864</v>
      </c>
      <c r="U206" s="30">
        <v>3</v>
      </c>
      <c r="V206" t="s">
        <v>170</v>
      </c>
      <c r="W206" s="38" t="s">
        <v>841</v>
      </c>
    </row>
    <row r="207" spans="19:24">
      <c r="S207" t="s">
        <v>537</v>
      </c>
      <c r="T207" t="s">
        <v>864</v>
      </c>
      <c r="U207" s="30">
        <v>3</v>
      </c>
      <c r="V207" t="s">
        <v>170</v>
      </c>
      <c r="W207" t="s">
        <v>843</v>
      </c>
    </row>
    <row r="208" spans="19:24">
      <c r="S208" t="s">
        <v>537</v>
      </c>
      <c r="T208" t="s">
        <v>864</v>
      </c>
      <c r="U208" s="30">
        <v>3</v>
      </c>
      <c r="V208" t="s">
        <v>170</v>
      </c>
      <c r="W208" t="s">
        <v>845</v>
      </c>
    </row>
    <row r="209" spans="19:24">
      <c r="S209" t="s">
        <v>537</v>
      </c>
      <c r="T209" t="s">
        <v>864</v>
      </c>
      <c r="U209" s="38">
        <v>4</v>
      </c>
      <c r="V209" t="s">
        <v>170</v>
      </c>
      <c r="W209" t="s">
        <v>847</v>
      </c>
      <c r="X209" s="7"/>
    </row>
    <row r="210" spans="19:24">
      <c r="S210" t="s">
        <v>537</v>
      </c>
      <c r="T210" t="s">
        <v>864</v>
      </c>
      <c r="U210" s="38">
        <v>4</v>
      </c>
      <c r="V210" t="s">
        <v>170</v>
      </c>
      <c r="W210" t="s">
        <v>866</v>
      </c>
      <c r="X210" s="7"/>
    </row>
    <row r="211" spans="19:24">
      <c r="S211" t="s">
        <v>537</v>
      </c>
      <c r="T211" t="s">
        <v>864</v>
      </c>
      <c r="U211" s="30">
        <v>4</v>
      </c>
      <c r="V211" t="s">
        <v>170</v>
      </c>
      <c r="W211" t="s">
        <v>631</v>
      </c>
      <c r="X211">
        <v>1</v>
      </c>
    </row>
    <row r="212" spans="19:24">
      <c r="S212" t="s">
        <v>537</v>
      </c>
      <c r="T212" t="s">
        <v>864</v>
      </c>
      <c r="U212" s="30">
        <v>4</v>
      </c>
      <c r="V212" t="s">
        <v>170</v>
      </c>
      <c r="W212" s="38" t="s">
        <v>430</v>
      </c>
      <c r="X212">
        <v>1</v>
      </c>
    </row>
    <row r="213" spans="19:24">
      <c r="S213" t="s">
        <v>537</v>
      </c>
      <c r="T213" t="s">
        <v>864</v>
      </c>
      <c r="U213" s="30">
        <v>4</v>
      </c>
      <c r="V213" t="s">
        <v>170</v>
      </c>
      <c r="W213" s="38" t="s">
        <v>432</v>
      </c>
      <c r="X213">
        <v>1</v>
      </c>
    </row>
    <row r="214" spans="19:24">
      <c r="S214" t="s">
        <v>537</v>
      </c>
      <c r="T214" t="s">
        <v>864</v>
      </c>
      <c r="U214" s="30">
        <v>4</v>
      </c>
      <c r="V214" t="s">
        <v>170</v>
      </c>
      <c r="W214" s="38" t="s">
        <v>841</v>
      </c>
      <c r="X214">
        <v>1</v>
      </c>
    </row>
    <row r="215" spans="19:24">
      <c r="S215" t="s">
        <v>537</v>
      </c>
      <c r="T215" t="s">
        <v>864</v>
      </c>
      <c r="U215" s="30">
        <v>4</v>
      </c>
      <c r="V215" t="s">
        <v>170</v>
      </c>
      <c r="W215" t="s">
        <v>843</v>
      </c>
    </row>
    <row r="216" spans="19:24">
      <c r="S216" t="s">
        <v>537</v>
      </c>
      <c r="T216" t="s">
        <v>864</v>
      </c>
      <c r="U216" s="30">
        <v>4</v>
      </c>
      <c r="V216" t="s">
        <v>170</v>
      </c>
      <c r="W216" t="s">
        <v>845</v>
      </c>
    </row>
    <row r="217" spans="19:24">
      <c r="S217" t="s">
        <v>537</v>
      </c>
      <c r="T217" t="s">
        <v>865</v>
      </c>
      <c r="U217" s="38">
        <v>1</v>
      </c>
      <c r="V217" t="s">
        <v>170</v>
      </c>
      <c r="W217" t="s">
        <v>847</v>
      </c>
      <c r="X217">
        <v>4</v>
      </c>
    </row>
    <row r="218" spans="19:24">
      <c r="S218" t="s">
        <v>537</v>
      </c>
      <c r="T218" t="s">
        <v>865</v>
      </c>
      <c r="U218" s="38">
        <v>1</v>
      </c>
      <c r="V218" t="s">
        <v>170</v>
      </c>
      <c r="W218" t="s">
        <v>866</v>
      </c>
      <c r="X218" s="43">
        <v>1</v>
      </c>
    </row>
    <row r="219" spans="19:24">
      <c r="S219" t="s">
        <v>537</v>
      </c>
      <c r="T219" t="s">
        <v>865</v>
      </c>
      <c r="U219" s="38">
        <v>1</v>
      </c>
      <c r="V219" t="s">
        <v>170</v>
      </c>
      <c r="W219" t="s">
        <v>631</v>
      </c>
      <c r="X219" s="43"/>
    </row>
    <row r="220" spans="19:24">
      <c r="S220" t="s">
        <v>537</v>
      </c>
      <c r="T220" t="s">
        <v>865</v>
      </c>
      <c r="U220" s="38">
        <v>1</v>
      </c>
      <c r="V220" t="s">
        <v>170</v>
      </c>
      <c r="W220" s="38" t="s">
        <v>430</v>
      </c>
      <c r="X220" s="43">
        <v>2</v>
      </c>
    </row>
    <row r="221" spans="19:24">
      <c r="S221" t="s">
        <v>537</v>
      </c>
      <c r="T221" t="s">
        <v>865</v>
      </c>
      <c r="U221" s="38">
        <v>1</v>
      </c>
      <c r="V221" t="s">
        <v>170</v>
      </c>
      <c r="W221" s="38" t="s">
        <v>432</v>
      </c>
      <c r="X221" s="43"/>
    </row>
    <row r="222" spans="19:24">
      <c r="S222" t="s">
        <v>537</v>
      </c>
      <c r="T222" t="s">
        <v>865</v>
      </c>
      <c r="U222" s="38">
        <v>1</v>
      </c>
      <c r="V222" t="s">
        <v>170</v>
      </c>
      <c r="W222" s="38" t="s">
        <v>841</v>
      </c>
      <c r="X222" s="43"/>
    </row>
    <row r="223" spans="19:24">
      <c r="S223" t="s">
        <v>537</v>
      </c>
      <c r="T223" t="s">
        <v>865</v>
      </c>
      <c r="U223" s="38">
        <v>1</v>
      </c>
      <c r="V223" t="s">
        <v>170</v>
      </c>
      <c r="W223" t="s">
        <v>843</v>
      </c>
      <c r="X223" s="43"/>
    </row>
    <row r="224" spans="19:24">
      <c r="S224" t="s">
        <v>537</v>
      </c>
      <c r="T224" t="s">
        <v>865</v>
      </c>
      <c r="U224" s="38">
        <v>1</v>
      </c>
      <c r="V224" t="s">
        <v>170</v>
      </c>
      <c r="W224" t="s">
        <v>845</v>
      </c>
      <c r="X224" s="43"/>
    </row>
    <row r="225" spans="19:24">
      <c r="S225" t="s">
        <v>537</v>
      </c>
      <c r="T225" t="s">
        <v>865</v>
      </c>
      <c r="U225" s="41">
        <v>2</v>
      </c>
      <c r="V225" t="s">
        <v>170</v>
      </c>
      <c r="W225" t="s">
        <v>847</v>
      </c>
      <c r="X225" s="38"/>
    </row>
    <row r="226" spans="19:24">
      <c r="S226" t="s">
        <v>537</v>
      </c>
      <c r="T226" t="s">
        <v>865</v>
      </c>
      <c r="U226" s="41">
        <v>2</v>
      </c>
      <c r="V226" t="s">
        <v>170</v>
      </c>
      <c r="W226" t="s">
        <v>866</v>
      </c>
      <c r="X226" s="7"/>
    </row>
    <row r="227" spans="19:24">
      <c r="S227" t="s">
        <v>537</v>
      </c>
      <c r="T227" t="s">
        <v>865</v>
      </c>
      <c r="U227" s="41">
        <v>2</v>
      </c>
      <c r="V227" t="s">
        <v>170</v>
      </c>
      <c r="W227" t="s">
        <v>631</v>
      </c>
      <c r="X227" s="7">
        <v>1</v>
      </c>
    </row>
    <row r="228" spans="19:24">
      <c r="S228" t="s">
        <v>537</v>
      </c>
      <c r="T228" t="s">
        <v>865</v>
      </c>
      <c r="U228" s="41">
        <v>2</v>
      </c>
      <c r="V228" t="s">
        <v>170</v>
      </c>
      <c r="W228" s="38" t="s">
        <v>430</v>
      </c>
      <c r="X228" s="7"/>
    </row>
    <row r="229" spans="19:24">
      <c r="S229" t="s">
        <v>537</v>
      </c>
      <c r="T229" t="s">
        <v>865</v>
      </c>
      <c r="U229" s="41">
        <v>2</v>
      </c>
      <c r="V229" t="s">
        <v>170</v>
      </c>
      <c r="W229" s="38" t="s">
        <v>432</v>
      </c>
      <c r="X229" s="7">
        <v>1</v>
      </c>
    </row>
    <row r="230" spans="19:24">
      <c r="S230" t="s">
        <v>537</v>
      </c>
      <c r="T230" t="s">
        <v>865</v>
      </c>
      <c r="U230" s="41">
        <v>2</v>
      </c>
      <c r="V230" t="s">
        <v>170</v>
      </c>
      <c r="W230" s="38" t="s">
        <v>841</v>
      </c>
      <c r="X230" s="7"/>
    </row>
    <row r="231" spans="19:24">
      <c r="S231" t="s">
        <v>537</v>
      </c>
      <c r="T231" t="s">
        <v>865</v>
      </c>
      <c r="U231" s="41">
        <v>2</v>
      </c>
      <c r="V231" t="s">
        <v>170</v>
      </c>
      <c r="W231" t="s">
        <v>843</v>
      </c>
      <c r="X231" s="7"/>
    </row>
    <row r="232" spans="19:24">
      <c r="S232" t="s">
        <v>537</v>
      </c>
      <c r="T232" t="s">
        <v>865</v>
      </c>
      <c r="U232" s="41">
        <v>2</v>
      </c>
      <c r="V232" t="s">
        <v>170</v>
      </c>
      <c r="W232" t="s">
        <v>845</v>
      </c>
      <c r="X232" s="7"/>
    </row>
    <row r="233" spans="19:24">
      <c r="S233" t="s">
        <v>537</v>
      </c>
      <c r="T233" t="s">
        <v>865</v>
      </c>
      <c r="U233" s="30">
        <v>3</v>
      </c>
      <c r="V233" t="s">
        <v>170</v>
      </c>
      <c r="W233" t="s">
        <v>847</v>
      </c>
      <c r="X233" s="38"/>
    </row>
    <row r="234" spans="19:24">
      <c r="S234" t="s">
        <v>537</v>
      </c>
      <c r="T234" t="s">
        <v>865</v>
      </c>
      <c r="U234" s="30">
        <v>3</v>
      </c>
      <c r="V234" t="s">
        <v>170</v>
      </c>
      <c r="W234" t="s">
        <v>866</v>
      </c>
      <c r="X234" s="7"/>
    </row>
    <row r="235" spans="19:24">
      <c r="S235" t="s">
        <v>537</v>
      </c>
      <c r="T235" t="s">
        <v>865</v>
      </c>
      <c r="U235" s="30">
        <v>3</v>
      </c>
      <c r="V235" t="s">
        <v>170</v>
      </c>
      <c r="W235" t="s">
        <v>631</v>
      </c>
      <c r="X235" s="7">
        <v>1</v>
      </c>
    </row>
    <row r="236" spans="19:24">
      <c r="S236" t="s">
        <v>537</v>
      </c>
      <c r="T236" t="s">
        <v>865</v>
      </c>
      <c r="U236" s="30">
        <v>3</v>
      </c>
      <c r="V236" t="s">
        <v>170</v>
      </c>
      <c r="W236" s="38" t="s">
        <v>430</v>
      </c>
      <c r="X236" s="7"/>
    </row>
    <row r="237" spans="19:24">
      <c r="S237" t="s">
        <v>537</v>
      </c>
      <c r="T237" t="s">
        <v>865</v>
      </c>
      <c r="U237" s="30">
        <v>3</v>
      </c>
      <c r="V237" t="s">
        <v>170</v>
      </c>
      <c r="W237" s="38" t="s">
        <v>432</v>
      </c>
      <c r="X237" s="7"/>
    </row>
    <row r="238" spans="19:24">
      <c r="S238" t="s">
        <v>537</v>
      </c>
      <c r="T238" t="s">
        <v>865</v>
      </c>
      <c r="U238" s="30">
        <v>3</v>
      </c>
      <c r="V238" t="s">
        <v>170</v>
      </c>
      <c r="W238" s="38" t="s">
        <v>841</v>
      </c>
      <c r="X238" s="7"/>
    </row>
    <row r="239" spans="19:24">
      <c r="S239" t="s">
        <v>537</v>
      </c>
      <c r="T239" t="s">
        <v>865</v>
      </c>
      <c r="U239" s="30">
        <v>3</v>
      </c>
      <c r="V239" t="s">
        <v>170</v>
      </c>
      <c r="W239" t="s">
        <v>843</v>
      </c>
      <c r="X239" s="7"/>
    </row>
    <row r="240" spans="19:24">
      <c r="S240" t="s">
        <v>537</v>
      </c>
      <c r="T240" t="s">
        <v>865</v>
      </c>
      <c r="U240" s="30">
        <v>3</v>
      </c>
      <c r="V240" t="s">
        <v>170</v>
      </c>
      <c r="W240" t="s">
        <v>845</v>
      </c>
      <c r="X240" s="7"/>
    </row>
    <row r="241" spans="19:31">
      <c r="S241" t="s">
        <v>537</v>
      </c>
      <c r="T241" t="s">
        <v>865</v>
      </c>
      <c r="U241" s="30">
        <v>4</v>
      </c>
      <c r="V241" t="s">
        <v>170</v>
      </c>
      <c r="W241" t="s">
        <v>847</v>
      </c>
      <c r="X241" s="38"/>
    </row>
    <row r="242" spans="19:31">
      <c r="S242" t="s">
        <v>537</v>
      </c>
      <c r="T242" t="s">
        <v>865</v>
      </c>
      <c r="U242" s="30">
        <v>4</v>
      </c>
      <c r="V242" t="s">
        <v>170</v>
      </c>
      <c r="W242" t="s">
        <v>866</v>
      </c>
      <c r="X242" s="9">
        <v>1</v>
      </c>
    </row>
    <row r="243" spans="19:31">
      <c r="S243" t="s">
        <v>537</v>
      </c>
      <c r="T243" t="s">
        <v>865</v>
      </c>
      <c r="U243" s="30">
        <v>4</v>
      </c>
      <c r="V243" t="s">
        <v>170</v>
      </c>
      <c r="W243" t="s">
        <v>631</v>
      </c>
      <c r="X243" s="7"/>
    </row>
    <row r="244" spans="19:31">
      <c r="S244" t="s">
        <v>537</v>
      </c>
      <c r="T244" t="s">
        <v>865</v>
      </c>
      <c r="U244" s="30">
        <v>4</v>
      </c>
      <c r="V244" t="s">
        <v>170</v>
      </c>
      <c r="W244" s="38" t="s">
        <v>430</v>
      </c>
      <c r="X244" s="7">
        <v>1</v>
      </c>
    </row>
    <row r="245" spans="19:31">
      <c r="S245" t="s">
        <v>537</v>
      </c>
      <c r="T245" t="s">
        <v>865</v>
      </c>
      <c r="U245" s="30">
        <v>4</v>
      </c>
      <c r="V245" t="s">
        <v>170</v>
      </c>
      <c r="W245" s="38" t="s">
        <v>432</v>
      </c>
      <c r="X245" s="7">
        <v>1</v>
      </c>
    </row>
    <row r="246" spans="19:31">
      <c r="S246" t="s">
        <v>537</v>
      </c>
      <c r="T246" t="s">
        <v>865</v>
      </c>
      <c r="U246" s="30">
        <v>4</v>
      </c>
      <c r="V246" t="s">
        <v>170</v>
      </c>
      <c r="W246" s="38" t="s">
        <v>841</v>
      </c>
      <c r="X246" s="7"/>
      <c r="Z246">
        <v>4</v>
      </c>
      <c r="AA246" s="38"/>
      <c r="AB246" s="38"/>
      <c r="AC246" s="38"/>
      <c r="AD246" s="12" t="s">
        <v>490</v>
      </c>
      <c r="AE246" s="38">
        <v>9</v>
      </c>
    </row>
    <row r="247" spans="19:31">
      <c r="S247" t="s">
        <v>537</v>
      </c>
      <c r="T247" t="s">
        <v>865</v>
      </c>
      <c r="U247" s="30">
        <v>4</v>
      </c>
      <c r="V247" t="s">
        <v>170</v>
      </c>
      <c r="W247" t="s">
        <v>843</v>
      </c>
      <c r="X247" s="7"/>
      <c r="Z247" s="43">
        <v>1</v>
      </c>
      <c r="AA247" s="7"/>
      <c r="AB247" s="7"/>
      <c r="AC247" s="9">
        <v>1</v>
      </c>
      <c r="AD247" s="9">
        <v>1</v>
      </c>
      <c r="AE247" s="7">
        <v>1</v>
      </c>
    </row>
    <row r="248" spans="19:31">
      <c r="S248" t="s">
        <v>537</v>
      </c>
      <c r="T248" t="s">
        <v>865</v>
      </c>
      <c r="U248" s="30">
        <v>4</v>
      </c>
      <c r="V248" t="s">
        <v>170</v>
      </c>
      <c r="W248" t="s">
        <v>845</v>
      </c>
      <c r="X248" s="7"/>
    </row>
    <row r="249" spans="19:31">
      <c r="S249" t="s">
        <v>537</v>
      </c>
      <c r="T249" t="s">
        <v>865</v>
      </c>
      <c r="U249" s="30">
        <v>5</v>
      </c>
      <c r="V249" t="s">
        <v>170</v>
      </c>
      <c r="W249" t="s">
        <v>847</v>
      </c>
      <c r="X249" s="12" t="s">
        <v>490</v>
      </c>
    </row>
    <row r="250" spans="19:31">
      <c r="S250" t="s">
        <v>537</v>
      </c>
      <c r="T250" t="s">
        <v>865</v>
      </c>
      <c r="U250" s="30">
        <v>5</v>
      </c>
      <c r="V250" t="s">
        <v>170</v>
      </c>
      <c r="W250" t="s">
        <v>866</v>
      </c>
      <c r="X250" s="9">
        <v>1</v>
      </c>
    </row>
    <row r="251" spans="19:31">
      <c r="S251" t="s">
        <v>537</v>
      </c>
      <c r="T251" t="s">
        <v>865</v>
      </c>
      <c r="U251" s="30">
        <v>5</v>
      </c>
      <c r="V251" t="s">
        <v>170</v>
      </c>
      <c r="W251" t="s">
        <v>631</v>
      </c>
      <c r="X251" s="7">
        <v>1</v>
      </c>
    </row>
    <row r="252" spans="19:31">
      <c r="S252" t="s">
        <v>537</v>
      </c>
      <c r="T252" t="s">
        <v>865</v>
      </c>
      <c r="U252" s="30">
        <v>5</v>
      </c>
      <c r="V252" t="s">
        <v>170</v>
      </c>
      <c r="W252" s="38" t="s">
        <v>430</v>
      </c>
      <c r="X252" s="7"/>
    </row>
    <row r="253" spans="19:31">
      <c r="S253" t="s">
        <v>537</v>
      </c>
      <c r="T253" t="s">
        <v>865</v>
      </c>
      <c r="U253" s="30">
        <v>5</v>
      </c>
      <c r="V253" t="s">
        <v>170</v>
      </c>
      <c r="W253" s="38" t="s">
        <v>432</v>
      </c>
      <c r="X253" s="7"/>
    </row>
    <row r="254" spans="19:31">
      <c r="S254" t="s">
        <v>537</v>
      </c>
      <c r="T254" t="s">
        <v>865</v>
      </c>
      <c r="U254" s="30">
        <v>5</v>
      </c>
      <c r="V254" t="s">
        <v>170</v>
      </c>
      <c r="W254" s="38" t="s">
        <v>841</v>
      </c>
      <c r="X254" s="7"/>
    </row>
    <row r="255" spans="19:31">
      <c r="S255" t="s">
        <v>537</v>
      </c>
      <c r="T255" t="s">
        <v>865</v>
      </c>
      <c r="U255" s="30">
        <v>5</v>
      </c>
      <c r="V255" t="s">
        <v>170</v>
      </c>
      <c r="W255" t="s">
        <v>843</v>
      </c>
      <c r="X255" s="7">
        <v>1</v>
      </c>
    </row>
    <row r="256" spans="19:31">
      <c r="S256" t="s">
        <v>537</v>
      </c>
      <c r="T256" t="s">
        <v>865</v>
      </c>
      <c r="U256" s="30">
        <v>5</v>
      </c>
      <c r="V256" t="s">
        <v>170</v>
      </c>
      <c r="W256" t="s">
        <v>845</v>
      </c>
      <c r="X256" s="7"/>
    </row>
    <row r="257" spans="19:24">
      <c r="S257" t="s">
        <v>537</v>
      </c>
      <c r="T257" t="s">
        <v>865</v>
      </c>
      <c r="U257" s="30">
        <v>6</v>
      </c>
      <c r="V257" t="s">
        <v>170</v>
      </c>
      <c r="W257" t="s">
        <v>847</v>
      </c>
      <c r="X257" s="38">
        <v>9</v>
      </c>
    </row>
    <row r="258" spans="19:24">
      <c r="S258" t="s">
        <v>537</v>
      </c>
      <c r="T258" t="s">
        <v>865</v>
      </c>
      <c r="U258" s="30">
        <v>6</v>
      </c>
      <c r="V258" t="s">
        <v>170</v>
      </c>
      <c r="W258" t="s">
        <v>866</v>
      </c>
      <c r="X258" s="7">
        <v>1</v>
      </c>
    </row>
    <row r="259" spans="19:24">
      <c r="S259" t="s">
        <v>537</v>
      </c>
      <c r="T259" t="s">
        <v>865</v>
      </c>
      <c r="U259" s="30">
        <v>6</v>
      </c>
      <c r="V259" t="s">
        <v>170</v>
      </c>
      <c r="W259" t="s">
        <v>631</v>
      </c>
      <c r="X259" s="7"/>
    </row>
    <row r="260" spans="19:24">
      <c r="S260" t="s">
        <v>537</v>
      </c>
      <c r="T260" t="s">
        <v>865</v>
      </c>
      <c r="U260" s="30">
        <v>6</v>
      </c>
      <c r="V260" t="s">
        <v>170</v>
      </c>
      <c r="W260" s="38" t="s">
        <v>430</v>
      </c>
      <c r="X260" s="7">
        <v>1</v>
      </c>
    </row>
    <row r="261" spans="19:24">
      <c r="S261" t="s">
        <v>537</v>
      </c>
      <c r="T261" t="s">
        <v>865</v>
      </c>
      <c r="U261" s="30">
        <v>6</v>
      </c>
      <c r="V261" t="s">
        <v>170</v>
      </c>
      <c r="W261" s="38" t="s">
        <v>432</v>
      </c>
      <c r="X261" s="7"/>
    </row>
    <row r="262" spans="19:24">
      <c r="S262" t="s">
        <v>537</v>
      </c>
      <c r="T262" t="s">
        <v>865</v>
      </c>
      <c r="U262" s="30">
        <v>6</v>
      </c>
      <c r="V262" t="s">
        <v>170</v>
      </c>
      <c r="W262" s="38" t="s">
        <v>841</v>
      </c>
      <c r="X262" s="7"/>
    </row>
    <row r="263" spans="19:24">
      <c r="S263" t="s">
        <v>537</v>
      </c>
      <c r="T263" t="s">
        <v>865</v>
      </c>
      <c r="U263" s="30">
        <v>6</v>
      </c>
      <c r="V263" t="s">
        <v>170</v>
      </c>
      <c r="W263" t="s">
        <v>843</v>
      </c>
      <c r="X263" s="7"/>
    </row>
    <row r="264" spans="19:24">
      <c r="S264" t="s">
        <v>537</v>
      </c>
      <c r="T264" t="s">
        <v>865</v>
      </c>
      <c r="U264" s="30">
        <v>6</v>
      </c>
      <c r="V264" t="s">
        <v>170</v>
      </c>
      <c r="W264" t="s">
        <v>845</v>
      </c>
      <c r="X264" s="7"/>
    </row>
    <row r="265" spans="19:24">
      <c r="S265" t="s">
        <v>778</v>
      </c>
      <c r="T265" t="s">
        <v>867</v>
      </c>
      <c r="U265" s="38">
        <v>1</v>
      </c>
      <c r="V265" t="s">
        <v>170</v>
      </c>
      <c r="W265" t="s">
        <v>847</v>
      </c>
      <c r="X265" s="17"/>
    </row>
    <row r="266" spans="19:24">
      <c r="S266" t="s">
        <v>778</v>
      </c>
      <c r="T266" t="s">
        <v>867</v>
      </c>
      <c r="U266" s="38">
        <v>1</v>
      </c>
      <c r="V266" t="s">
        <v>170</v>
      </c>
      <c r="W266" t="s">
        <v>866</v>
      </c>
      <c r="X266" t="s">
        <v>478</v>
      </c>
    </row>
    <row r="267" spans="19:24">
      <c r="S267" t="s">
        <v>778</v>
      </c>
      <c r="T267" t="s">
        <v>867</v>
      </c>
      <c r="U267" s="38">
        <v>1</v>
      </c>
      <c r="V267" t="s">
        <v>170</v>
      </c>
      <c r="W267" t="s">
        <v>631</v>
      </c>
      <c r="X267" s="43">
        <v>2</v>
      </c>
    </row>
    <row r="268" spans="19:24">
      <c r="S268" t="s">
        <v>778</v>
      </c>
      <c r="T268" t="s">
        <v>867</v>
      </c>
      <c r="U268" s="38">
        <v>1</v>
      </c>
      <c r="V268" t="s">
        <v>170</v>
      </c>
      <c r="W268" s="38" t="s">
        <v>430</v>
      </c>
      <c r="X268" s="43">
        <v>1</v>
      </c>
    </row>
    <row r="269" spans="19:24">
      <c r="S269" t="s">
        <v>778</v>
      </c>
      <c r="T269" t="s">
        <v>867</v>
      </c>
      <c r="U269" s="38">
        <v>1</v>
      </c>
      <c r="V269" t="s">
        <v>170</v>
      </c>
      <c r="W269" s="38" t="s">
        <v>432</v>
      </c>
      <c r="X269" s="43">
        <v>1</v>
      </c>
    </row>
    <row r="270" spans="19:24">
      <c r="S270" t="s">
        <v>778</v>
      </c>
      <c r="T270" t="s">
        <v>867</v>
      </c>
      <c r="U270" s="38">
        <v>1</v>
      </c>
      <c r="V270" t="s">
        <v>170</v>
      </c>
      <c r="W270" s="38" t="s">
        <v>841</v>
      </c>
      <c r="X270" s="43">
        <v>1</v>
      </c>
    </row>
    <row r="271" spans="19:24">
      <c r="S271" t="s">
        <v>778</v>
      </c>
      <c r="T271" t="s">
        <v>867</v>
      </c>
      <c r="U271" s="38">
        <v>1</v>
      </c>
      <c r="V271" t="s">
        <v>170</v>
      </c>
      <c r="W271" t="s">
        <v>843</v>
      </c>
      <c r="X271" s="43">
        <v>1</v>
      </c>
    </row>
    <row r="272" spans="19:24">
      <c r="S272" t="s">
        <v>778</v>
      </c>
      <c r="T272" t="s">
        <v>867</v>
      </c>
      <c r="U272" s="38">
        <v>1</v>
      </c>
      <c r="V272" t="s">
        <v>170</v>
      </c>
      <c r="W272" t="s">
        <v>845</v>
      </c>
      <c r="X272" s="43"/>
    </row>
    <row r="273" spans="19:24">
      <c r="S273" t="s">
        <v>778</v>
      </c>
      <c r="T273" t="s">
        <v>867</v>
      </c>
      <c r="U273" s="41">
        <v>2</v>
      </c>
      <c r="V273" t="s">
        <v>170</v>
      </c>
      <c r="W273" t="s">
        <v>847</v>
      </c>
      <c r="X273" s="38"/>
    </row>
    <row r="274" spans="19:24">
      <c r="S274" t="s">
        <v>778</v>
      </c>
      <c r="T274" t="s">
        <v>867</v>
      </c>
      <c r="U274" s="41">
        <v>2</v>
      </c>
      <c r="V274" t="s">
        <v>170</v>
      </c>
      <c r="W274" t="s">
        <v>866</v>
      </c>
      <c r="X274" s="7"/>
    </row>
    <row r="275" spans="19:24">
      <c r="S275" t="s">
        <v>778</v>
      </c>
      <c r="T275" t="s">
        <v>867</v>
      </c>
      <c r="U275" s="41">
        <v>2</v>
      </c>
      <c r="V275" t="s">
        <v>170</v>
      </c>
      <c r="W275" t="s">
        <v>631</v>
      </c>
      <c r="X275" s="7"/>
    </row>
    <row r="276" spans="19:24">
      <c r="S276" t="s">
        <v>778</v>
      </c>
      <c r="T276" t="s">
        <v>867</v>
      </c>
      <c r="U276" s="41">
        <v>2</v>
      </c>
      <c r="V276" t="s">
        <v>170</v>
      </c>
      <c r="W276" s="38" t="s">
        <v>430</v>
      </c>
      <c r="X276" s="7"/>
    </row>
    <row r="277" spans="19:24">
      <c r="S277" t="s">
        <v>778</v>
      </c>
      <c r="T277" t="s">
        <v>867</v>
      </c>
      <c r="U277" s="41">
        <v>2</v>
      </c>
      <c r="V277" t="s">
        <v>170</v>
      </c>
      <c r="W277" s="38" t="s">
        <v>432</v>
      </c>
      <c r="X277" s="7"/>
    </row>
    <row r="278" spans="19:24">
      <c r="S278" t="s">
        <v>778</v>
      </c>
      <c r="T278" t="s">
        <v>867</v>
      </c>
      <c r="U278" s="41">
        <v>2</v>
      </c>
      <c r="V278" t="s">
        <v>170</v>
      </c>
      <c r="W278" s="38" t="s">
        <v>841</v>
      </c>
      <c r="X278" s="7">
        <v>1</v>
      </c>
    </row>
    <row r="279" spans="19:24">
      <c r="S279" t="s">
        <v>778</v>
      </c>
      <c r="T279" t="s">
        <v>867</v>
      </c>
      <c r="U279" s="41">
        <v>2</v>
      </c>
      <c r="V279" t="s">
        <v>170</v>
      </c>
      <c r="W279" t="s">
        <v>843</v>
      </c>
      <c r="X279" s="7">
        <v>2</v>
      </c>
    </row>
    <row r="280" spans="19:24">
      <c r="S280" t="s">
        <v>778</v>
      </c>
      <c r="T280" t="s">
        <v>867</v>
      </c>
      <c r="U280" s="41">
        <v>2</v>
      </c>
      <c r="V280" t="s">
        <v>170</v>
      </c>
      <c r="W280" t="s">
        <v>845</v>
      </c>
      <c r="X280" s="7"/>
    </row>
    <row r="281" spans="19:24">
      <c r="S281" t="s">
        <v>778</v>
      </c>
      <c r="T281" t="s">
        <v>867</v>
      </c>
      <c r="U281" s="30">
        <v>3</v>
      </c>
      <c r="V281" t="s">
        <v>170</v>
      </c>
      <c r="W281" t="s">
        <v>847</v>
      </c>
      <c r="X281" s="38"/>
    </row>
    <row r="282" spans="19:24">
      <c r="S282" t="s">
        <v>778</v>
      </c>
      <c r="T282" t="s">
        <v>867</v>
      </c>
      <c r="U282" s="30">
        <v>3</v>
      </c>
      <c r="V282" t="s">
        <v>170</v>
      </c>
      <c r="W282" t="s">
        <v>866</v>
      </c>
      <c r="X282" s="7"/>
    </row>
    <row r="283" spans="19:24">
      <c r="S283" t="s">
        <v>778</v>
      </c>
      <c r="T283" t="s">
        <v>867</v>
      </c>
      <c r="U283" s="30">
        <v>3</v>
      </c>
      <c r="V283" t="s">
        <v>170</v>
      </c>
      <c r="W283" t="s">
        <v>631</v>
      </c>
      <c r="X283" s="7"/>
    </row>
    <row r="284" spans="19:24">
      <c r="S284" t="s">
        <v>778</v>
      </c>
      <c r="T284" t="s">
        <v>867</v>
      </c>
      <c r="U284" s="30">
        <v>3</v>
      </c>
      <c r="V284" t="s">
        <v>170</v>
      </c>
      <c r="W284" s="38" t="s">
        <v>430</v>
      </c>
      <c r="X284" s="7"/>
    </row>
    <row r="285" spans="19:24">
      <c r="S285" t="s">
        <v>778</v>
      </c>
      <c r="T285" t="s">
        <v>867</v>
      </c>
      <c r="U285" s="30">
        <v>3</v>
      </c>
      <c r="V285" t="s">
        <v>170</v>
      </c>
      <c r="W285" s="38" t="s">
        <v>432</v>
      </c>
      <c r="X285" s="7">
        <v>1</v>
      </c>
    </row>
    <row r="286" spans="19:24">
      <c r="S286" t="s">
        <v>778</v>
      </c>
      <c r="T286" t="s">
        <v>867</v>
      </c>
      <c r="U286" s="30">
        <v>3</v>
      </c>
      <c r="V286" t="s">
        <v>170</v>
      </c>
      <c r="W286" s="38" t="s">
        <v>841</v>
      </c>
      <c r="X286" s="7"/>
    </row>
    <row r="287" spans="19:24">
      <c r="S287" t="s">
        <v>778</v>
      </c>
      <c r="T287" t="s">
        <v>867</v>
      </c>
      <c r="U287" s="30">
        <v>3</v>
      </c>
      <c r="V287" t="s">
        <v>170</v>
      </c>
      <c r="W287" t="s">
        <v>843</v>
      </c>
      <c r="X287" s="7">
        <v>1</v>
      </c>
    </row>
    <row r="288" spans="19:24">
      <c r="S288" t="s">
        <v>778</v>
      </c>
      <c r="T288" t="s">
        <v>867</v>
      </c>
      <c r="U288" s="30">
        <v>3</v>
      </c>
      <c r="V288" t="s">
        <v>170</v>
      </c>
      <c r="W288" t="s">
        <v>845</v>
      </c>
      <c r="X288" s="7"/>
    </row>
    <row r="289" spans="19:24">
      <c r="S289" t="s">
        <v>778</v>
      </c>
      <c r="T289" t="s">
        <v>867</v>
      </c>
      <c r="U289" s="30">
        <v>4</v>
      </c>
      <c r="V289" t="s">
        <v>170</v>
      </c>
      <c r="W289" t="s">
        <v>847</v>
      </c>
      <c r="X289" s="38"/>
    </row>
    <row r="290" spans="19:24">
      <c r="S290" t="s">
        <v>778</v>
      </c>
      <c r="T290" t="s">
        <v>867</v>
      </c>
      <c r="U290" s="30">
        <v>4</v>
      </c>
      <c r="V290" t="s">
        <v>170</v>
      </c>
      <c r="W290" t="s">
        <v>866</v>
      </c>
      <c r="X290" t="s">
        <v>667</v>
      </c>
    </row>
    <row r="291" spans="19:24">
      <c r="S291" t="s">
        <v>778</v>
      </c>
      <c r="T291" t="s">
        <v>867</v>
      </c>
      <c r="U291" s="30">
        <v>4</v>
      </c>
      <c r="V291" t="s">
        <v>170</v>
      </c>
      <c r="W291" t="s">
        <v>631</v>
      </c>
      <c r="X291" s="7">
        <v>2</v>
      </c>
    </row>
    <row r="292" spans="19:24">
      <c r="S292" t="s">
        <v>778</v>
      </c>
      <c r="T292" t="s">
        <v>867</v>
      </c>
      <c r="U292" s="30">
        <v>4</v>
      </c>
      <c r="V292" t="s">
        <v>170</v>
      </c>
      <c r="W292" s="38" t="s">
        <v>430</v>
      </c>
      <c r="X292" s="7">
        <v>3</v>
      </c>
    </row>
    <row r="293" spans="19:24">
      <c r="S293" t="s">
        <v>778</v>
      </c>
      <c r="T293" t="s">
        <v>867</v>
      </c>
      <c r="U293" s="30">
        <v>4</v>
      </c>
      <c r="V293" t="s">
        <v>170</v>
      </c>
      <c r="W293" s="38" t="s">
        <v>432</v>
      </c>
      <c r="X293" s="7">
        <v>3</v>
      </c>
    </row>
    <row r="294" spans="19:24">
      <c r="S294" t="s">
        <v>778</v>
      </c>
      <c r="T294" t="s">
        <v>867</v>
      </c>
      <c r="U294" s="30">
        <v>4</v>
      </c>
      <c r="V294" t="s">
        <v>170</v>
      </c>
      <c r="W294" s="38" t="s">
        <v>841</v>
      </c>
      <c r="X294" s="7">
        <v>1</v>
      </c>
    </row>
    <row r="295" spans="19:24">
      <c r="S295" t="s">
        <v>778</v>
      </c>
      <c r="T295" t="s">
        <v>867</v>
      </c>
      <c r="U295" s="30">
        <v>4</v>
      </c>
      <c r="V295" t="s">
        <v>170</v>
      </c>
      <c r="W295" t="s">
        <v>843</v>
      </c>
      <c r="X295" s="7">
        <v>1</v>
      </c>
    </row>
    <row r="296" spans="19:24">
      <c r="S296" t="s">
        <v>778</v>
      </c>
      <c r="T296" t="s">
        <v>867</v>
      </c>
      <c r="U296" s="30">
        <v>4</v>
      </c>
      <c r="V296" t="s">
        <v>170</v>
      </c>
      <c r="W296" t="s">
        <v>845</v>
      </c>
      <c r="X296" s="7">
        <v>1</v>
      </c>
    </row>
    <row r="297" spans="19:24">
      <c r="S297" t="s">
        <v>778</v>
      </c>
      <c r="T297" t="s">
        <v>867</v>
      </c>
      <c r="U297" s="30">
        <v>5</v>
      </c>
      <c r="V297" t="s">
        <v>170</v>
      </c>
      <c r="W297" t="s">
        <v>847</v>
      </c>
      <c r="X297" t="s">
        <v>569</v>
      </c>
    </row>
    <row r="298" spans="19:24">
      <c r="S298" t="s">
        <v>778</v>
      </c>
      <c r="T298" t="s">
        <v>867</v>
      </c>
      <c r="U298" s="30">
        <v>5</v>
      </c>
      <c r="V298" t="s">
        <v>170</v>
      </c>
      <c r="W298" t="s">
        <v>866</v>
      </c>
      <c r="X298" s="9" t="s">
        <v>514</v>
      </c>
    </row>
    <row r="299" spans="19:24">
      <c r="S299" t="s">
        <v>778</v>
      </c>
      <c r="T299" t="s">
        <v>867</v>
      </c>
      <c r="U299" s="30">
        <v>5</v>
      </c>
      <c r="V299" t="s">
        <v>170</v>
      </c>
      <c r="W299" t="s">
        <v>631</v>
      </c>
      <c r="X299" s="7">
        <v>1</v>
      </c>
    </row>
    <row r="300" spans="19:24">
      <c r="S300" t="s">
        <v>778</v>
      </c>
      <c r="T300" t="s">
        <v>867</v>
      </c>
      <c r="U300" s="30">
        <v>5</v>
      </c>
      <c r="V300" t="s">
        <v>170</v>
      </c>
      <c r="W300" s="38" t="s">
        <v>430</v>
      </c>
      <c r="X300" s="7"/>
    </row>
    <row r="301" spans="19:24">
      <c r="S301" t="s">
        <v>778</v>
      </c>
      <c r="T301" t="s">
        <v>867</v>
      </c>
      <c r="U301" s="30">
        <v>5</v>
      </c>
      <c r="V301" t="s">
        <v>170</v>
      </c>
      <c r="W301" s="38" t="s">
        <v>432</v>
      </c>
      <c r="X301" s="7"/>
    </row>
    <row r="302" spans="19:24">
      <c r="S302" t="s">
        <v>778</v>
      </c>
      <c r="T302" t="s">
        <v>867</v>
      </c>
      <c r="U302" s="30">
        <v>5</v>
      </c>
      <c r="V302" t="s">
        <v>170</v>
      </c>
      <c r="W302" s="38" t="s">
        <v>841</v>
      </c>
      <c r="X302" s="7"/>
    </row>
    <row r="303" spans="19:24">
      <c r="S303" t="s">
        <v>778</v>
      </c>
      <c r="T303" t="s">
        <v>867</v>
      </c>
      <c r="U303" s="30">
        <v>5</v>
      </c>
      <c r="V303" t="s">
        <v>170</v>
      </c>
      <c r="W303" t="s">
        <v>843</v>
      </c>
      <c r="X303" s="7">
        <v>1</v>
      </c>
    </row>
    <row r="304" spans="19:24">
      <c r="S304" t="s">
        <v>778</v>
      </c>
      <c r="T304" t="s">
        <v>867</v>
      </c>
      <c r="U304" s="30">
        <v>5</v>
      </c>
      <c r="V304" t="s">
        <v>170</v>
      </c>
      <c r="W304" t="s">
        <v>845</v>
      </c>
      <c r="X304" s="7"/>
    </row>
    <row r="305" spans="19:24">
      <c r="S305" t="s">
        <v>778</v>
      </c>
      <c r="T305" t="s">
        <v>867</v>
      </c>
      <c r="U305" s="30">
        <v>6</v>
      </c>
      <c r="V305" t="s">
        <v>170</v>
      </c>
      <c r="W305" t="s">
        <v>847</v>
      </c>
      <c r="X305" s="38"/>
    </row>
    <row r="306" spans="19:24">
      <c r="S306" t="s">
        <v>778</v>
      </c>
      <c r="T306" t="s">
        <v>867</v>
      </c>
      <c r="U306" s="30">
        <v>6</v>
      </c>
      <c r="V306" t="s">
        <v>170</v>
      </c>
      <c r="W306" t="s">
        <v>866</v>
      </c>
      <c r="X306" s="9" t="s">
        <v>311</v>
      </c>
    </row>
    <row r="307" spans="19:24">
      <c r="S307" t="s">
        <v>778</v>
      </c>
      <c r="T307" t="s">
        <v>867</v>
      </c>
      <c r="U307" s="30">
        <v>6</v>
      </c>
      <c r="V307" t="s">
        <v>170</v>
      </c>
      <c r="W307" t="s">
        <v>631</v>
      </c>
      <c r="X307" s="7"/>
    </row>
    <row r="308" spans="19:24">
      <c r="S308" t="s">
        <v>778</v>
      </c>
      <c r="T308" t="s">
        <v>867</v>
      </c>
      <c r="U308" s="30">
        <v>6</v>
      </c>
      <c r="V308" t="s">
        <v>170</v>
      </c>
      <c r="W308" s="38" t="s">
        <v>430</v>
      </c>
      <c r="X308" s="7"/>
    </row>
    <row r="309" spans="19:24">
      <c r="S309" t="s">
        <v>778</v>
      </c>
      <c r="T309" t="s">
        <v>867</v>
      </c>
      <c r="U309" s="30">
        <v>6</v>
      </c>
      <c r="V309" t="s">
        <v>170</v>
      </c>
      <c r="W309" s="38" t="s">
        <v>432</v>
      </c>
      <c r="X309" s="7"/>
    </row>
    <row r="310" spans="19:24">
      <c r="S310" t="s">
        <v>778</v>
      </c>
      <c r="T310" t="s">
        <v>867</v>
      </c>
      <c r="U310" s="30">
        <v>6</v>
      </c>
      <c r="V310" t="s">
        <v>170</v>
      </c>
      <c r="W310" s="38" t="s">
        <v>841</v>
      </c>
      <c r="X310" s="7"/>
    </row>
    <row r="311" spans="19:24">
      <c r="S311" t="s">
        <v>778</v>
      </c>
      <c r="T311" t="s">
        <v>867</v>
      </c>
      <c r="U311" s="30">
        <v>6</v>
      </c>
      <c r="V311" t="s">
        <v>170</v>
      </c>
      <c r="W311" t="s">
        <v>843</v>
      </c>
      <c r="X311" s="7"/>
    </row>
    <row r="312" spans="19:24">
      <c r="S312" t="s">
        <v>778</v>
      </c>
      <c r="T312" t="s">
        <v>867</v>
      </c>
      <c r="U312" s="30">
        <v>6</v>
      </c>
      <c r="V312" t="s">
        <v>170</v>
      </c>
      <c r="W312" t="s">
        <v>845</v>
      </c>
      <c r="X312" s="7"/>
    </row>
    <row r="313" spans="19:24">
      <c r="S313" t="s">
        <v>778</v>
      </c>
      <c r="T313" t="s">
        <v>868</v>
      </c>
      <c r="U313" s="38">
        <v>1</v>
      </c>
      <c r="V313" t="s">
        <v>170</v>
      </c>
      <c r="W313" t="s">
        <v>847</v>
      </c>
      <c r="X313" s="17"/>
    </row>
    <row r="314" spans="19:24">
      <c r="S314" t="s">
        <v>778</v>
      </c>
      <c r="T314" t="s">
        <v>868</v>
      </c>
      <c r="U314" s="38">
        <v>1</v>
      </c>
      <c r="V314" t="s">
        <v>170</v>
      </c>
      <c r="W314" t="s">
        <v>866</v>
      </c>
      <c r="X314" s="43"/>
    </row>
    <row r="315" spans="19:24">
      <c r="S315" t="s">
        <v>778</v>
      </c>
      <c r="T315" t="s">
        <v>868</v>
      </c>
      <c r="U315" s="38">
        <v>1</v>
      </c>
      <c r="V315" t="s">
        <v>170</v>
      </c>
      <c r="W315" t="s">
        <v>631</v>
      </c>
      <c r="X315" s="43"/>
    </row>
    <row r="316" spans="19:24">
      <c r="S316" t="s">
        <v>778</v>
      </c>
      <c r="T316" t="s">
        <v>868</v>
      </c>
      <c r="U316" s="38">
        <v>1</v>
      </c>
      <c r="V316" t="s">
        <v>170</v>
      </c>
      <c r="W316" s="38" t="s">
        <v>430</v>
      </c>
      <c r="X316" s="43">
        <v>1</v>
      </c>
    </row>
    <row r="317" spans="19:24">
      <c r="S317" t="s">
        <v>778</v>
      </c>
      <c r="T317" t="s">
        <v>868</v>
      </c>
      <c r="U317" s="38">
        <v>1</v>
      </c>
      <c r="V317" t="s">
        <v>170</v>
      </c>
      <c r="W317" s="38" t="s">
        <v>432</v>
      </c>
      <c r="X317" s="43"/>
    </row>
    <row r="318" spans="19:24">
      <c r="S318" t="s">
        <v>778</v>
      </c>
      <c r="T318" t="s">
        <v>868</v>
      </c>
      <c r="U318" s="38">
        <v>1</v>
      </c>
      <c r="V318" t="s">
        <v>170</v>
      </c>
      <c r="W318" s="38" t="s">
        <v>841</v>
      </c>
      <c r="X318" s="43">
        <v>2</v>
      </c>
    </row>
    <row r="319" spans="19:24">
      <c r="S319" t="s">
        <v>778</v>
      </c>
      <c r="T319" t="s">
        <v>868</v>
      </c>
      <c r="U319" s="38">
        <v>1</v>
      </c>
      <c r="V319" t="s">
        <v>170</v>
      </c>
      <c r="W319" t="s">
        <v>843</v>
      </c>
      <c r="X319" s="43">
        <v>3</v>
      </c>
    </row>
    <row r="320" spans="19:24">
      <c r="S320" t="s">
        <v>778</v>
      </c>
      <c r="T320" t="s">
        <v>868</v>
      </c>
      <c r="U320" s="38">
        <v>1</v>
      </c>
      <c r="V320" t="s">
        <v>170</v>
      </c>
      <c r="W320" t="s">
        <v>845</v>
      </c>
      <c r="X320" s="43"/>
    </row>
    <row r="321" spans="19:24">
      <c r="S321" t="s">
        <v>778</v>
      </c>
      <c r="T321" t="s">
        <v>868</v>
      </c>
      <c r="U321" s="41">
        <v>2</v>
      </c>
      <c r="V321" t="s">
        <v>170</v>
      </c>
      <c r="W321" t="s">
        <v>847</v>
      </c>
      <c r="X321" s="38"/>
    </row>
    <row r="322" spans="19:24">
      <c r="S322" t="s">
        <v>778</v>
      </c>
      <c r="T322" t="s">
        <v>868</v>
      </c>
      <c r="U322" s="41">
        <v>2</v>
      </c>
      <c r="V322" t="s">
        <v>170</v>
      </c>
      <c r="W322" t="s">
        <v>866</v>
      </c>
      <c r="X322" t="s">
        <v>584</v>
      </c>
    </row>
    <row r="323" spans="19:24">
      <c r="S323" t="s">
        <v>778</v>
      </c>
      <c r="T323" t="s">
        <v>868</v>
      </c>
      <c r="U323" s="41">
        <v>2</v>
      </c>
      <c r="V323" t="s">
        <v>170</v>
      </c>
      <c r="W323" t="s">
        <v>631</v>
      </c>
      <c r="X323" s="7"/>
    </row>
    <row r="324" spans="19:24">
      <c r="S324" t="s">
        <v>778</v>
      </c>
      <c r="T324" t="s">
        <v>868</v>
      </c>
      <c r="U324" s="41">
        <v>2</v>
      </c>
      <c r="V324" t="s">
        <v>170</v>
      </c>
      <c r="W324" s="38" t="s">
        <v>430</v>
      </c>
      <c r="X324" s="7"/>
    </row>
    <row r="325" spans="19:24">
      <c r="S325" t="s">
        <v>778</v>
      </c>
      <c r="T325" t="s">
        <v>868</v>
      </c>
      <c r="U325" s="41">
        <v>2</v>
      </c>
      <c r="V325" t="s">
        <v>170</v>
      </c>
      <c r="W325" s="38" t="s">
        <v>432</v>
      </c>
      <c r="X325" s="7"/>
    </row>
    <row r="326" spans="19:24">
      <c r="S326" t="s">
        <v>778</v>
      </c>
      <c r="T326" t="s">
        <v>868</v>
      </c>
      <c r="U326" s="41">
        <v>2</v>
      </c>
      <c r="V326" t="s">
        <v>170</v>
      </c>
      <c r="W326" s="38" t="s">
        <v>841</v>
      </c>
      <c r="X326" s="7">
        <v>1</v>
      </c>
    </row>
    <row r="327" spans="19:24">
      <c r="S327" t="s">
        <v>778</v>
      </c>
      <c r="T327" t="s">
        <v>868</v>
      </c>
      <c r="U327" s="41">
        <v>2</v>
      </c>
      <c r="V327" t="s">
        <v>170</v>
      </c>
      <c r="W327" t="s">
        <v>843</v>
      </c>
      <c r="X327" s="7">
        <v>3</v>
      </c>
    </row>
    <row r="328" spans="19:24">
      <c r="S328" t="s">
        <v>778</v>
      </c>
      <c r="T328" t="s">
        <v>868</v>
      </c>
      <c r="U328" s="41">
        <v>2</v>
      </c>
      <c r="V328" t="s">
        <v>170</v>
      </c>
      <c r="W328" t="s">
        <v>845</v>
      </c>
      <c r="X328" s="7">
        <v>1</v>
      </c>
    </row>
    <row r="329" spans="19:24">
      <c r="S329" t="s">
        <v>778</v>
      </c>
      <c r="T329" t="s">
        <v>868</v>
      </c>
      <c r="U329" s="30">
        <v>3</v>
      </c>
      <c r="V329" t="s">
        <v>170</v>
      </c>
      <c r="W329" t="s">
        <v>847</v>
      </c>
      <c r="X329" s="38"/>
    </row>
    <row r="330" spans="19:24">
      <c r="S330" t="s">
        <v>778</v>
      </c>
      <c r="T330" t="s">
        <v>868</v>
      </c>
      <c r="U330" s="30">
        <v>3</v>
      </c>
      <c r="V330" t="s">
        <v>170</v>
      </c>
      <c r="W330" t="s">
        <v>866</v>
      </c>
      <c r="X330" t="s">
        <v>393</v>
      </c>
    </row>
    <row r="331" spans="19:24">
      <c r="S331" t="s">
        <v>778</v>
      </c>
      <c r="T331" t="s">
        <v>868</v>
      </c>
      <c r="U331" s="30">
        <v>3</v>
      </c>
      <c r="V331" t="s">
        <v>170</v>
      </c>
      <c r="W331" t="s">
        <v>631</v>
      </c>
      <c r="X331" s="7">
        <v>1</v>
      </c>
    </row>
    <row r="332" spans="19:24">
      <c r="S332" t="s">
        <v>778</v>
      </c>
      <c r="T332" t="s">
        <v>868</v>
      </c>
      <c r="U332" s="30">
        <v>3</v>
      </c>
      <c r="V332" t="s">
        <v>170</v>
      </c>
      <c r="W332" s="38" t="s">
        <v>430</v>
      </c>
      <c r="X332" s="7"/>
    </row>
    <row r="333" spans="19:24">
      <c r="S333" t="s">
        <v>778</v>
      </c>
      <c r="T333" t="s">
        <v>868</v>
      </c>
      <c r="U333" s="30">
        <v>3</v>
      </c>
      <c r="V333" t="s">
        <v>170</v>
      </c>
      <c r="W333" s="38" t="s">
        <v>432</v>
      </c>
      <c r="X333" s="7"/>
    </row>
    <row r="334" spans="19:24">
      <c r="S334" t="s">
        <v>778</v>
      </c>
      <c r="T334" t="s">
        <v>868</v>
      </c>
      <c r="U334" s="30">
        <v>3</v>
      </c>
      <c r="V334" t="s">
        <v>170</v>
      </c>
      <c r="W334" s="38" t="s">
        <v>841</v>
      </c>
      <c r="X334" s="7">
        <v>3</v>
      </c>
    </row>
    <row r="335" spans="19:24">
      <c r="S335" t="s">
        <v>778</v>
      </c>
      <c r="T335" t="s">
        <v>868</v>
      </c>
      <c r="U335" s="30">
        <v>3</v>
      </c>
      <c r="V335" t="s">
        <v>170</v>
      </c>
      <c r="W335" t="s">
        <v>843</v>
      </c>
      <c r="X335" s="7">
        <v>1</v>
      </c>
    </row>
    <row r="336" spans="19:24">
      <c r="S336" t="s">
        <v>778</v>
      </c>
      <c r="T336" t="s">
        <v>868</v>
      </c>
      <c r="U336" s="30">
        <v>3</v>
      </c>
      <c r="V336" t="s">
        <v>170</v>
      </c>
      <c r="W336" t="s">
        <v>845</v>
      </c>
      <c r="X336" s="7"/>
    </row>
    <row r="337" spans="19:24">
      <c r="S337" t="s">
        <v>778</v>
      </c>
      <c r="T337" t="s">
        <v>868</v>
      </c>
      <c r="U337" s="30">
        <v>4</v>
      </c>
      <c r="V337" t="s">
        <v>170</v>
      </c>
      <c r="W337" t="s">
        <v>847</v>
      </c>
      <c r="X337" s="38"/>
    </row>
    <row r="338" spans="19:24">
      <c r="S338" t="s">
        <v>778</v>
      </c>
      <c r="T338" t="s">
        <v>868</v>
      </c>
      <c r="U338" s="30">
        <v>4</v>
      </c>
      <c r="V338" t="s">
        <v>170</v>
      </c>
      <c r="W338" t="s">
        <v>866</v>
      </c>
      <c r="X338" s="7"/>
    </row>
    <row r="339" spans="19:24">
      <c r="S339" t="s">
        <v>778</v>
      </c>
      <c r="T339" t="s">
        <v>868</v>
      </c>
      <c r="U339" s="30">
        <v>4</v>
      </c>
      <c r="V339" t="s">
        <v>170</v>
      </c>
      <c r="W339" t="s">
        <v>631</v>
      </c>
      <c r="X339" s="7"/>
    </row>
    <row r="340" spans="19:24">
      <c r="S340" t="s">
        <v>778</v>
      </c>
      <c r="T340" t="s">
        <v>868</v>
      </c>
      <c r="U340" s="30">
        <v>4</v>
      </c>
      <c r="V340" t="s">
        <v>170</v>
      </c>
      <c r="W340" s="38" t="s">
        <v>430</v>
      </c>
      <c r="X340" s="7"/>
    </row>
    <row r="341" spans="19:24">
      <c r="S341" t="s">
        <v>778</v>
      </c>
      <c r="T341" t="s">
        <v>868</v>
      </c>
      <c r="U341" s="30">
        <v>4</v>
      </c>
      <c r="V341" t="s">
        <v>170</v>
      </c>
      <c r="W341" s="38" t="s">
        <v>432</v>
      </c>
      <c r="X341" s="7">
        <v>1</v>
      </c>
    </row>
    <row r="342" spans="19:24">
      <c r="S342" t="s">
        <v>778</v>
      </c>
      <c r="T342" t="s">
        <v>868</v>
      </c>
      <c r="U342" s="30">
        <v>4</v>
      </c>
      <c r="V342" t="s">
        <v>170</v>
      </c>
      <c r="W342" s="38" t="s">
        <v>841</v>
      </c>
      <c r="X342" s="7">
        <v>2</v>
      </c>
    </row>
    <row r="343" spans="19:24">
      <c r="S343" t="s">
        <v>778</v>
      </c>
      <c r="T343" t="s">
        <v>868</v>
      </c>
      <c r="U343" s="30">
        <v>4</v>
      </c>
      <c r="V343" t="s">
        <v>170</v>
      </c>
      <c r="W343" t="s">
        <v>843</v>
      </c>
      <c r="X343" s="7">
        <v>1</v>
      </c>
    </row>
    <row r="344" spans="19:24">
      <c r="S344" t="s">
        <v>778</v>
      </c>
      <c r="T344" t="s">
        <v>868</v>
      </c>
      <c r="U344" s="30">
        <v>4</v>
      </c>
      <c r="V344" t="s">
        <v>170</v>
      </c>
      <c r="W344" t="s">
        <v>845</v>
      </c>
      <c r="X344" s="7"/>
    </row>
    <row r="345" spans="19:24">
      <c r="S345" t="s">
        <v>778</v>
      </c>
      <c r="T345" t="s">
        <v>868</v>
      </c>
      <c r="U345" s="30">
        <v>5</v>
      </c>
      <c r="V345" t="s">
        <v>170</v>
      </c>
      <c r="W345" t="s">
        <v>847</v>
      </c>
      <c r="X345" s="38"/>
    </row>
    <row r="346" spans="19:24">
      <c r="S346" t="s">
        <v>778</v>
      </c>
      <c r="T346" t="s">
        <v>868</v>
      </c>
      <c r="U346" s="30">
        <v>5</v>
      </c>
      <c r="V346" t="s">
        <v>170</v>
      </c>
      <c r="W346" t="s">
        <v>866</v>
      </c>
      <c r="X346" s="9" t="s">
        <v>673</v>
      </c>
    </row>
    <row r="347" spans="19:24">
      <c r="S347" t="s">
        <v>778</v>
      </c>
      <c r="T347" t="s">
        <v>868</v>
      </c>
      <c r="U347" s="30">
        <v>5</v>
      </c>
      <c r="V347" t="s">
        <v>170</v>
      </c>
      <c r="W347" t="s">
        <v>631</v>
      </c>
      <c r="X347" s="7">
        <v>2</v>
      </c>
    </row>
    <row r="348" spans="19:24">
      <c r="S348" t="s">
        <v>778</v>
      </c>
      <c r="T348" t="s">
        <v>868</v>
      </c>
      <c r="U348" s="30">
        <v>5</v>
      </c>
      <c r="V348" t="s">
        <v>170</v>
      </c>
      <c r="W348" s="38" t="s">
        <v>430</v>
      </c>
      <c r="X348" s="7">
        <v>1</v>
      </c>
    </row>
    <row r="349" spans="19:24">
      <c r="S349" t="s">
        <v>778</v>
      </c>
      <c r="T349" t="s">
        <v>868</v>
      </c>
      <c r="U349" s="30">
        <v>5</v>
      </c>
      <c r="V349" t="s">
        <v>170</v>
      </c>
      <c r="W349" s="38" t="s">
        <v>432</v>
      </c>
      <c r="X349" s="7">
        <v>1</v>
      </c>
    </row>
    <row r="350" spans="19:24">
      <c r="S350" t="s">
        <v>778</v>
      </c>
      <c r="T350" t="s">
        <v>868</v>
      </c>
      <c r="U350" s="30">
        <v>5</v>
      </c>
      <c r="V350" t="s">
        <v>170</v>
      </c>
      <c r="W350" s="38" t="s">
        <v>841</v>
      </c>
      <c r="X350" s="7"/>
    </row>
    <row r="351" spans="19:24">
      <c r="S351" t="s">
        <v>778</v>
      </c>
      <c r="T351" t="s">
        <v>868</v>
      </c>
      <c r="U351" s="30">
        <v>5</v>
      </c>
      <c r="V351" t="s">
        <v>170</v>
      </c>
      <c r="W351" t="s">
        <v>843</v>
      </c>
      <c r="X351" s="7">
        <v>1</v>
      </c>
    </row>
    <row r="352" spans="19:24">
      <c r="S352" t="s">
        <v>778</v>
      </c>
      <c r="T352" t="s">
        <v>868</v>
      </c>
      <c r="U352" s="30">
        <v>5</v>
      </c>
      <c r="V352" t="s">
        <v>170</v>
      </c>
      <c r="W352" t="s">
        <v>845</v>
      </c>
      <c r="X352" s="7">
        <v>1</v>
      </c>
    </row>
    <row r="353" spans="19:26">
      <c r="S353" t="s">
        <v>778</v>
      </c>
      <c r="T353" t="s">
        <v>868</v>
      </c>
      <c r="U353" s="30">
        <v>6</v>
      </c>
      <c r="V353" t="s">
        <v>170</v>
      </c>
      <c r="W353" t="s">
        <v>847</v>
      </c>
      <c r="X353" s="38"/>
    </row>
    <row r="354" spans="19:26">
      <c r="S354" t="s">
        <v>778</v>
      </c>
      <c r="T354" t="s">
        <v>868</v>
      </c>
      <c r="U354" s="30">
        <v>6</v>
      </c>
      <c r="V354" t="s">
        <v>170</v>
      </c>
      <c r="W354" t="s">
        <v>866</v>
      </c>
      <c r="X354" s="9" t="s">
        <v>681</v>
      </c>
    </row>
    <row r="355" spans="19:26">
      <c r="S355" t="s">
        <v>778</v>
      </c>
      <c r="T355" t="s">
        <v>868</v>
      </c>
      <c r="U355" s="30">
        <v>6</v>
      </c>
      <c r="V355" t="s">
        <v>170</v>
      </c>
      <c r="W355" t="s">
        <v>631</v>
      </c>
      <c r="X355" s="7">
        <v>3</v>
      </c>
    </row>
    <row r="356" spans="19:26">
      <c r="S356" t="s">
        <v>778</v>
      </c>
      <c r="T356" t="s">
        <v>868</v>
      </c>
      <c r="U356" s="30">
        <v>6</v>
      </c>
      <c r="V356" t="s">
        <v>170</v>
      </c>
      <c r="W356" s="38" t="s">
        <v>430</v>
      </c>
      <c r="X356" s="7">
        <v>2</v>
      </c>
    </row>
    <row r="357" spans="19:26">
      <c r="S357" t="s">
        <v>778</v>
      </c>
      <c r="T357" t="s">
        <v>868</v>
      </c>
      <c r="U357" s="30">
        <v>6</v>
      </c>
      <c r="V357" t="s">
        <v>170</v>
      </c>
      <c r="W357" s="38" t="s">
        <v>432</v>
      </c>
      <c r="X357" s="7"/>
      <c r="Z357" s="38"/>
    </row>
    <row r="358" spans="19:26">
      <c r="S358" t="s">
        <v>778</v>
      </c>
      <c r="T358" t="s">
        <v>868</v>
      </c>
      <c r="U358" s="30">
        <v>6</v>
      </c>
      <c r="V358" t="s">
        <v>170</v>
      </c>
      <c r="W358" s="38" t="s">
        <v>841</v>
      </c>
      <c r="X358" s="7"/>
    </row>
    <row r="359" spans="19:26">
      <c r="S359" t="s">
        <v>778</v>
      </c>
      <c r="T359" t="s">
        <v>868</v>
      </c>
      <c r="U359" s="30">
        <v>6</v>
      </c>
      <c r="V359" t="s">
        <v>170</v>
      </c>
      <c r="W359" t="s">
        <v>843</v>
      </c>
      <c r="X359" s="7">
        <v>1</v>
      </c>
    </row>
    <row r="360" spans="19:26">
      <c r="S360" t="s">
        <v>778</v>
      </c>
      <c r="T360" t="s">
        <v>868</v>
      </c>
      <c r="U360" s="30">
        <v>6</v>
      </c>
      <c r="V360" t="s">
        <v>170</v>
      </c>
      <c r="W360" t="s">
        <v>845</v>
      </c>
      <c r="X360" s="7">
        <v>1</v>
      </c>
    </row>
    <row r="361" spans="19:26">
      <c r="S361" t="s">
        <v>778</v>
      </c>
      <c r="T361" t="s">
        <v>868</v>
      </c>
      <c r="U361" s="30">
        <v>7</v>
      </c>
      <c r="V361" t="s">
        <v>170</v>
      </c>
      <c r="W361" t="s">
        <v>847</v>
      </c>
      <c r="X361" s="38"/>
    </row>
    <row r="362" spans="19:26">
      <c r="S362" t="s">
        <v>778</v>
      </c>
      <c r="T362" t="s">
        <v>868</v>
      </c>
      <c r="U362" s="30">
        <v>7</v>
      </c>
      <c r="V362" t="s">
        <v>170</v>
      </c>
      <c r="W362" t="s">
        <v>866</v>
      </c>
      <c r="X362" s="9" t="s">
        <v>852</v>
      </c>
    </row>
    <row r="363" spans="19:26">
      <c r="S363" t="s">
        <v>778</v>
      </c>
      <c r="T363" t="s">
        <v>868</v>
      </c>
      <c r="U363" s="30">
        <v>7</v>
      </c>
      <c r="V363" t="s">
        <v>170</v>
      </c>
      <c r="W363" t="s">
        <v>631</v>
      </c>
      <c r="X363" s="7"/>
    </row>
    <row r="364" spans="19:26">
      <c r="S364" t="s">
        <v>778</v>
      </c>
      <c r="T364" t="s">
        <v>868</v>
      </c>
      <c r="U364" s="30">
        <v>7</v>
      </c>
      <c r="V364" t="s">
        <v>170</v>
      </c>
      <c r="W364" s="38" t="s">
        <v>430</v>
      </c>
      <c r="X364" s="7">
        <v>1</v>
      </c>
    </row>
    <row r="365" spans="19:26">
      <c r="S365" t="s">
        <v>778</v>
      </c>
      <c r="T365" t="s">
        <v>868</v>
      </c>
      <c r="U365" s="30">
        <v>7</v>
      </c>
      <c r="V365" t="s">
        <v>170</v>
      </c>
      <c r="W365" s="38" t="s">
        <v>432</v>
      </c>
      <c r="X365" s="7">
        <v>1</v>
      </c>
    </row>
    <row r="366" spans="19:26">
      <c r="S366" t="s">
        <v>778</v>
      </c>
      <c r="T366" t="s">
        <v>868</v>
      </c>
      <c r="U366" s="30">
        <v>7</v>
      </c>
      <c r="V366" t="s">
        <v>170</v>
      </c>
      <c r="W366" s="38" t="s">
        <v>841</v>
      </c>
      <c r="X366" s="7"/>
    </row>
    <row r="367" spans="19:26">
      <c r="S367" t="s">
        <v>778</v>
      </c>
      <c r="T367" t="s">
        <v>868</v>
      </c>
      <c r="U367" s="30">
        <v>7</v>
      </c>
      <c r="V367" t="s">
        <v>170</v>
      </c>
      <c r="W367" t="s">
        <v>843</v>
      </c>
      <c r="X367" s="7"/>
    </row>
    <row r="368" spans="19:26">
      <c r="S368" t="s">
        <v>778</v>
      </c>
      <c r="T368" t="s">
        <v>868</v>
      </c>
      <c r="U368" s="30">
        <v>7</v>
      </c>
      <c r="V368" t="s">
        <v>170</v>
      </c>
      <c r="W368" t="s">
        <v>845</v>
      </c>
      <c r="X368" s="7"/>
    </row>
    <row r="369" spans="19:24">
      <c r="S369" t="s">
        <v>778</v>
      </c>
      <c r="T369" t="s">
        <v>536</v>
      </c>
      <c r="U369" s="38">
        <v>1</v>
      </c>
      <c r="V369" t="s">
        <v>170</v>
      </c>
      <c r="W369" t="s">
        <v>847</v>
      </c>
      <c r="X369" s="17"/>
    </row>
    <row r="370" spans="19:24">
      <c r="S370" t="s">
        <v>778</v>
      </c>
      <c r="T370" t="s">
        <v>536</v>
      </c>
      <c r="U370" s="38">
        <v>1</v>
      </c>
      <c r="V370" t="s">
        <v>170</v>
      </c>
      <c r="W370" t="s">
        <v>866</v>
      </c>
      <c r="X370" s="43"/>
    </row>
    <row r="371" spans="19:24">
      <c r="S371" t="s">
        <v>778</v>
      </c>
      <c r="T371" t="s">
        <v>536</v>
      </c>
      <c r="U371" s="38">
        <v>1</v>
      </c>
      <c r="V371" t="s">
        <v>170</v>
      </c>
      <c r="W371" t="s">
        <v>631</v>
      </c>
      <c r="X371" s="43"/>
    </row>
    <row r="372" spans="19:24">
      <c r="S372" t="s">
        <v>778</v>
      </c>
      <c r="T372" t="s">
        <v>536</v>
      </c>
      <c r="U372" s="38">
        <v>1</v>
      </c>
      <c r="V372" t="s">
        <v>170</v>
      </c>
      <c r="W372" s="38" t="s">
        <v>430</v>
      </c>
      <c r="X372" s="43">
        <v>1</v>
      </c>
    </row>
    <row r="373" spans="19:24">
      <c r="S373" t="s">
        <v>778</v>
      </c>
      <c r="T373" t="s">
        <v>536</v>
      </c>
      <c r="U373" s="38">
        <v>1</v>
      </c>
      <c r="V373" t="s">
        <v>170</v>
      </c>
      <c r="W373" s="38" t="s">
        <v>432</v>
      </c>
      <c r="X373" s="43">
        <v>1</v>
      </c>
    </row>
    <row r="374" spans="19:24">
      <c r="S374" t="s">
        <v>778</v>
      </c>
      <c r="T374" t="s">
        <v>536</v>
      </c>
      <c r="U374" s="38">
        <v>1</v>
      </c>
      <c r="V374" t="s">
        <v>170</v>
      </c>
      <c r="W374" s="38" t="s">
        <v>841</v>
      </c>
      <c r="X374" s="43">
        <v>1</v>
      </c>
    </row>
    <row r="375" spans="19:24">
      <c r="S375" t="s">
        <v>778</v>
      </c>
      <c r="T375" t="s">
        <v>536</v>
      </c>
      <c r="U375" s="38">
        <v>1</v>
      </c>
      <c r="V375" t="s">
        <v>170</v>
      </c>
      <c r="W375" t="s">
        <v>843</v>
      </c>
      <c r="X375" s="43"/>
    </row>
    <row r="376" spans="19:24">
      <c r="S376" t="s">
        <v>778</v>
      </c>
      <c r="T376" t="s">
        <v>536</v>
      </c>
      <c r="U376" s="38">
        <v>1</v>
      </c>
      <c r="V376" t="s">
        <v>170</v>
      </c>
      <c r="W376" t="s">
        <v>845</v>
      </c>
      <c r="X376" s="43"/>
    </row>
    <row r="377" spans="19:24">
      <c r="S377" t="s">
        <v>778</v>
      </c>
      <c r="T377" t="s">
        <v>536</v>
      </c>
      <c r="U377" s="41">
        <v>2</v>
      </c>
      <c r="V377" t="s">
        <v>170</v>
      </c>
      <c r="W377" t="s">
        <v>847</v>
      </c>
      <c r="X377" s="38"/>
    </row>
    <row r="378" spans="19:24">
      <c r="S378" t="s">
        <v>778</v>
      </c>
      <c r="T378" t="s">
        <v>536</v>
      </c>
      <c r="U378" s="41">
        <v>2</v>
      </c>
      <c r="V378" t="s">
        <v>170</v>
      </c>
      <c r="W378" t="s">
        <v>866</v>
      </c>
      <c r="X378" t="s">
        <v>214</v>
      </c>
    </row>
    <row r="379" spans="19:24">
      <c r="S379" t="s">
        <v>778</v>
      </c>
      <c r="T379" t="s">
        <v>536</v>
      </c>
      <c r="U379" s="41">
        <v>2</v>
      </c>
      <c r="V379" t="s">
        <v>170</v>
      </c>
      <c r="W379" t="s">
        <v>631</v>
      </c>
      <c r="X379" s="7">
        <v>7</v>
      </c>
    </row>
    <row r="380" spans="19:24">
      <c r="S380" t="s">
        <v>778</v>
      </c>
      <c r="T380" t="s">
        <v>536</v>
      </c>
      <c r="U380" s="41">
        <v>2</v>
      </c>
      <c r="V380" t="s">
        <v>170</v>
      </c>
      <c r="W380" s="38" t="s">
        <v>430</v>
      </c>
      <c r="X380" s="7">
        <v>4</v>
      </c>
    </row>
    <row r="381" spans="19:24">
      <c r="S381" t="s">
        <v>778</v>
      </c>
      <c r="T381" t="s">
        <v>536</v>
      </c>
      <c r="U381" s="41">
        <v>2</v>
      </c>
      <c r="V381" t="s">
        <v>170</v>
      </c>
      <c r="W381" s="38" t="s">
        <v>432</v>
      </c>
      <c r="X381" s="7"/>
    </row>
    <row r="382" spans="19:24">
      <c r="S382" t="s">
        <v>778</v>
      </c>
      <c r="T382" t="s">
        <v>536</v>
      </c>
      <c r="U382" s="41">
        <v>2</v>
      </c>
      <c r="V382" t="s">
        <v>170</v>
      </c>
      <c r="W382" s="38" t="s">
        <v>841</v>
      </c>
      <c r="X382" s="7">
        <v>2</v>
      </c>
    </row>
    <row r="383" spans="19:24">
      <c r="S383" t="s">
        <v>778</v>
      </c>
      <c r="T383" t="s">
        <v>536</v>
      </c>
      <c r="U383" s="41">
        <v>2</v>
      </c>
      <c r="V383" t="s">
        <v>170</v>
      </c>
      <c r="W383" t="s">
        <v>843</v>
      </c>
      <c r="X383" s="7">
        <v>3</v>
      </c>
    </row>
    <row r="384" spans="19:24">
      <c r="S384" t="s">
        <v>778</v>
      </c>
      <c r="T384" t="s">
        <v>536</v>
      </c>
      <c r="U384" s="41">
        <v>2</v>
      </c>
      <c r="V384" t="s">
        <v>170</v>
      </c>
      <c r="W384" t="s">
        <v>845</v>
      </c>
      <c r="X384" s="7"/>
    </row>
    <row r="385" spans="19:24">
      <c r="S385" t="s">
        <v>778</v>
      </c>
      <c r="T385" t="s">
        <v>536</v>
      </c>
      <c r="U385" s="30">
        <v>3</v>
      </c>
      <c r="V385" t="s">
        <v>170</v>
      </c>
      <c r="W385" t="s">
        <v>847</v>
      </c>
      <c r="X385" s="38"/>
    </row>
    <row r="386" spans="19:24">
      <c r="S386" t="s">
        <v>778</v>
      </c>
      <c r="T386" t="s">
        <v>536</v>
      </c>
      <c r="U386" s="30">
        <v>3</v>
      </c>
      <c r="V386" t="s">
        <v>170</v>
      </c>
      <c r="W386" t="s">
        <v>866</v>
      </c>
      <c r="X386">
        <v>2</v>
      </c>
    </row>
    <row r="387" spans="19:24">
      <c r="S387" t="s">
        <v>778</v>
      </c>
      <c r="T387" t="s">
        <v>536</v>
      </c>
      <c r="U387" s="30">
        <v>3</v>
      </c>
      <c r="V387" t="s">
        <v>170</v>
      </c>
      <c r="W387" t="s">
        <v>631</v>
      </c>
      <c r="X387" s="7">
        <v>4</v>
      </c>
    </row>
    <row r="388" spans="19:24">
      <c r="S388" t="s">
        <v>778</v>
      </c>
      <c r="T388" t="s">
        <v>536</v>
      </c>
      <c r="U388" s="30">
        <v>3</v>
      </c>
      <c r="V388" t="s">
        <v>170</v>
      </c>
      <c r="W388" s="38" t="s">
        <v>430</v>
      </c>
      <c r="X388" s="7"/>
    </row>
    <row r="389" spans="19:24">
      <c r="S389" t="s">
        <v>778</v>
      </c>
      <c r="T389" t="s">
        <v>536</v>
      </c>
      <c r="U389" s="30">
        <v>3</v>
      </c>
      <c r="V389" t="s">
        <v>170</v>
      </c>
      <c r="W389" s="38" t="s">
        <v>432</v>
      </c>
      <c r="X389" s="7">
        <v>3</v>
      </c>
    </row>
    <row r="390" spans="19:24">
      <c r="S390" t="s">
        <v>778</v>
      </c>
      <c r="T390" t="s">
        <v>536</v>
      </c>
      <c r="U390" s="30">
        <v>3</v>
      </c>
      <c r="V390" t="s">
        <v>170</v>
      </c>
      <c r="W390" s="38" t="s">
        <v>841</v>
      </c>
      <c r="X390" s="7"/>
    </row>
    <row r="391" spans="19:24">
      <c r="S391" t="s">
        <v>778</v>
      </c>
      <c r="T391" t="s">
        <v>536</v>
      </c>
      <c r="U391" s="30">
        <v>3</v>
      </c>
      <c r="V391" t="s">
        <v>170</v>
      </c>
      <c r="W391" t="s">
        <v>843</v>
      </c>
      <c r="X391" s="7"/>
    </row>
    <row r="392" spans="19:24">
      <c r="S392" t="s">
        <v>778</v>
      </c>
      <c r="T392" t="s">
        <v>536</v>
      </c>
      <c r="U392" s="30">
        <v>3</v>
      </c>
      <c r="V392" t="s">
        <v>170</v>
      </c>
      <c r="W392" t="s">
        <v>845</v>
      </c>
      <c r="X392" s="7"/>
    </row>
    <row r="393" spans="19:24">
      <c r="S393" t="s">
        <v>778</v>
      </c>
      <c r="T393" t="s">
        <v>536</v>
      </c>
      <c r="U393" s="30">
        <v>4</v>
      </c>
      <c r="V393" t="s">
        <v>170</v>
      </c>
      <c r="W393" t="s">
        <v>847</v>
      </c>
      <c r="X393" t="s">
        <v>662</v>
      </c>
    </row>
    <row r="394" spans="19:24">
      <c r="S394" t="s">
        <v>778</v>
      </c>
      <c r="T394" t="s">
        <v>536</v>
      </c>
      <c r="U394" s="30">
        <v>4</v>
      </c>
      <c r="V394" t="s">
        <v>170</v>
      </c>
      <c r="W394" t="s">
        <v>866</v>
      </c>
      <c r="X394" t="s">
        <v>663</v>
      </c>
    </row>
    <row r="395" spans="19:24">
      <c r="S395" t="s">
        <v>778</v>
      </c>
      <c r="T395" t="s">
        <v>536</v>
      </c>
      <c r="U395" s="30">
        <v>4</v>
      </c>
      <c r="V395" t="s">
        <v>170</v>
      </c>
      <c r="W395" t="s">
        <v>631</v>
      </c>
      <c r="X395" s="7">
        <v>3</v>
      </c>
    </row>
    <row r="396" spans="19:24">
      <c r="S396" t="s">
        <v>778</v>
      </c>
      <c r="T396" t="s">
        <v>536</v>
      </c>
      <c r="U396" s="30">
        <v>4</v>
      </c>
      <c r="V396" t="s">
        <v>170</v>
      </c>
      <c r="W396" s="38" t="s">
        <v>430</v>
      </c>
      <c r="X396" s="7">
        <v>2</v>
      </c>
    </row>
    <row r="397" spans="19:24">
      <c r="S397" t="s">
        <v>778</v>
      </c>
      <c r="T397" t="s">
        <v>536</v>
      </c>
      <c r="U397" s="30">
        <v>4</v>
      </c>
      <c r="V397" t="s">
        <v>170</v>
      </c>
      <c r="W397" s="38" t="s">
        <v>432</v>
      </c>
      <c r="X397" s="7"/>
    </row>
    <row r="398" spans="19:24">
      <c r="S398" t="s">
        <v>778</v>
      </c>
      <c r="T398" t="s">
        <v>536</v>
      </c>
      <c r="U398" s="30">
        <v>4</v>
      </c>
      <c r="V398" t="s">
        <v>170</v>
      </c>
      <c r="W398" s="38" t="s">
        <v>841</v>
      </c>
      <c r="X398" s="7"/>
    </row>
    <row r="399" spans="19:24">
      <c r="S399" t="s">
        <v>778</v>
      </c>
      <c r="T399" t="s">
        <v>536</v>
      </c>
      <c r="U399" s="30">
        <v>4</v>
      </c>
      <c r="V399" t="s">
        <v>170</v>
      </c>
      <c r="W399" t="s">
        <v>843</v>
      </c>
      <c r="X399" s="7">
        <v>1</v>
      </c>
    </row>
    <row r="400" spans="19:24">
      <c r="S400" t="s">
        <v>778</v>
      </c>
      <c r="T400" t="s">
        <v>536</v>
      </c>
      <c r="U400" s="30">
        <v>4</v>
      </c>
      <c r="V400" t="s">
        <v>170</v>
      </c>
      <c r="W400" t="s">
        <v>845</v>
      </c>
      <c r="X400" s="7"/>
    </row>
    <row r="401" spans="19:24">
      <c r="S401" t="s">
        <v>778</v>
      </c>
      <c r="T401" t="s">
        <v>536</v>
      </c>
      <c r="U401" s="30">
        <v>5</v>
      </c>
      <c r="V401" t="s">
        <v>170</v>
      </c>
      <c r="W401" t="s">
        <v>847</v>
      </c>
    </row>
    <row r="402" spans="19:24">
      <c r="S402" t="s">
        <v>778</v>
      </c>
      <c r="T402" t="s">
        <v>536</v>
      </c>
      <c r="U402" s="30">
        <v>5</v>
      </c>
      <c r="V402" t="s">
        <v>170</v>
      </c>
      <c r="W402" t="s">
        <v>866</v>
      </c>
    </row>
    <row r="403" spans="19:24">
      <c r="S403" t="s">
        <v>778</v>
      </c>
      <c r="T403" t="s">
        <v>536</v>
      </c>
      <c r="U403" s="30">
        <v>5</v>
      </c>
      <c r="V403" t="s">
        <v>170</v>
      </c>
      <c r="W403" t="s">
        <v>631</v>
      </c>
    </row>
    <row r="404" spans="19:24">
      <c r="S404" t="s">
        <v>778</v>
      </c>
      <c r="T404" t="s">
        <v>536</v>
      </c>
      <c r="U404" s="30">
        <v>5</v>
      </c>
      <c r="V404" t="s">
        <v>170</v>
      </c>
      <c r="W404" s="38" t="s">
        <v>430</v>
      </c>
    </row>
    <row r="405" spans="19:24">
      <c r="S405" t="s">
        <v>778</v>
      </c>
      <c r="T405" t="s">
        <v>536</v>
      </c>
      <c r="U405" s="30">
        <v>5</v>
      </c>
      <c r="V405" t="s">
        <v>170</v>
      </c>
      <c r="W405" s="38" t="s">
        <v>432</v>
      </c>
    </row>
    <row r="406" spans="19:24">
      <c r="S406" t="s">
        <v>778</v>
      </c>
      <c r="T406" t="s">
        <v>536</v>
      </c>
      <c r="U406" s="30">
        <v>5</v>
      </c>
      <c r="V406" t="s">
        <v>170</v>
      </c>
      <c r="W406" s="38" t="s">
        <v>841</v>
      </c>
    </row>
    <row r="407" spans="19:24">
      <c r="S407" t="s">
        <v>778</v>
      </c>
      <c r="T407" t="s">
        <v>536</v>
      </c>
      <c r="U407" s="30">
        <v>5</v>
      </c>
      <c r="V407" t="s">
        <v>170</v>
      </c>
      <c r="W407" t="s">
        <v>843</v>
      </c>
    </row>
    <row r="408" spans="19:24">
      <c r="S408" t="s">
        <v>778</v>
      </c>
      <c r="T408" t="s">
        <v>536</v>
      </c>
      <c r="U408" s="30">
        <v>5</v>
      </c>
      <c r="V408" t="s">
        <v>170</v>
      </c>
      <c r="W408" t="s">
        <v>845</v>
      </c>
    </row>
    <row r="409" spans="19:24">
      <c r="S409" t="s">
        <v>778</v>
      </c>
      <c r="T409" t="s">
        <v>536</v>
      </c>
      <c r="U409" s="30">
        <v>6</v>
      </c>
      <c r="V409" t="s">
        <v>170</v>
      </c>
      <c r="W409" t="s">
        <v>847</v>
      </c>
      <c r="X409" s="38"/>
    </row>
    <row r="410" spans="19:24">
      <c r="S410" t="s">
        <v>778</v>
      </c>
      <c r="T410" t="s">
        <v>536</v>
      </c>
      <c r="U410" s="30">
        <v>6</v>
      </c>
      <c r="V410" t="s">
        <v>170</v>
      </c>
      <c r="W410" t="s">
        <v>866</v>
      </c>
      <c r="X410" s="7">
        <v>11</v>
      </c>
    </row>
    <row r="411" spans="19:24">
      <c r="S411" t="s">
        <v>778</v>
      </c>
      <c r="T411" t="s">
        <v>536</v>
      </c>
      <c r="U411" s="30">
        <v>6</v>
      </c>
      <c r="V411" t="s">
        <v>170</v>
      </c>
      <c r="W411" t="s">
        <v>631</v>
      </c>
      <c r="X411" s="7"/>
    </row>
    <row r="412" spans="19:24">
      <c r="S412" t="s">
        <v>778</v>
      </c>
      <c r="T412" t="s">
        <v>536</v>
      </c>
      <c r="U412" s="30">
        <v>6</v>
      </c>
      <c r="V412" t="s">
        <v>170</v>
      </c>
      <c r="W412" s="38" t="s">
        <v>430</v>
      </c>
      <c r="X412" s="7"/>
    </row>
    <row r="413" spans="19:24">
      <c r="S413" t="s">
        <v>778</v>
      </c>
      <c r="T413" t="s">
        <v>536</v>
      </c>
      <c r="U413" s="30">
        <v>6</v>
      </c>
      <c r="V413" t="s">
        <v>170</v>
      </c>
      <c r="W413" s="38" t="s">
        <v>432</v>
      </c>
      <c r="X413" s="7"/>
    </row>
    <row r="414" spans="19:24">
      <c r="S414" t="s">
        <v>778</v>
      </c>
      <c r="T414" t="s">
        <v>536</v>
      </c>
      <c r="U414" s="30">
        <v>6</v>
      </c>
      <c r="V414" t="s">
        <v>170</v>
      </c>
      <c r="W414" s="38" t="s">
        <v>841</v>
      </c>
      <c r="X414" s="7">
        <v>1</v>
      </c>
    </row>
    <row r="415" spans="19:24">
      <c r="S415" t="s">
        <v>778</v>
      </c>
      <c r="T415" t="s">
        <v>536</v>
      </c>
      <c r="U415" s="30">
        <v>6</v>
      </c>
      <c r="V415" t="s">
        <v>170</v>
      </c>
      <c r="W415" t="s">
        <v>843</v>
      </c>
      <c r="X415" s="7">
        <v>2</v>
      </c>
    </row>
    <row r="416" spans="19:24">
      <c r="S416" t="s">
        <v>778</v>
      </c>
      <c r="T416" t="s">
        <v>536</v>
      </c>
      <c r="U416" s="30">
        <v>6</v>
      </c>
      <c r="V416" t="s">
        <v>170</v>
      </c>
      <c r="W416" t="s">
        <v>845</v>
      </c>
      <c r="X416" s="7"/>
    </row>
    <row r="417" spans="19:24">
      <c r="S417" t="s">
        <v>778</v>
      </c>
      <c r="T417" t="s">
        <v>536</v>
      </c>
      <c r="U417" s="30">
        <v>7</v>
      </c>
      <c r="V417" t="s">
        <v>170</v>
      </c>
      <c r="W417" t="s">
        <v>847</v>
      </c>
      <c r="X417" s="38"/>
    </row>
    <row r="418" spans="19:24">
      <c r="S418" t="s">
        <v>778</v>
      </c>
      <c r="T418" t="s">
        <v>536</v>
      </c>
      <c r="U418" s="30">
        <v>7</v>
      </c>
      <c r="V418" t="s">
        <v>170</v>
      </c>
      <c r="W418" t="s">
        <v>866</v>
      </c>
      <c r="X418" t="s">
        <v>584</v>
      </c>
    </row>
    <row r="419" spans="19:24">
      <c r="S419" t="s">
        <v>778</v>
      </c>
      <c r="T419" t="s">
        <v>536</v>
      </c>
      <c r="U419" s="30">
        <v>7</v>
      </c>
      <c r="V419" t="s">
        <v>170</v>
      </c>
      <c r="W419" t="s">
        <v>631</v>
      </c>
      <c r="X419" s="7"/>
    </row>
    <row r="420" spans="19:24">
      <c r="S420" t="s">
        <v>778</v>
      </c>
      <c r="T420" t="s">
        <v>536</v>
      </c>
      <c r="U420" s="30">
        <v>7</v>
      </c>
      <c r="V420" t="s">
        <v>170</v>
      </c>
      <c r="W420" s="38" t="s">
        <v>430</v>
      </c>
      <c r="X420" s="7"/>
    </row>
    <row r="421" spans="19:24">
      <c r="S421" t="s">
        <v>778</v>
      </c>
      <c r="T421" t="s">
        <v>536</v>
      </c>
      <c r="U421" s="30">
        <v>7</v>
      </c>
      <c r="V421" t="s">
        <v>170</v>
      </c>
      <c r="W421" s="38" t="s">
        <v>432</v>
      </c>
      <c r="X421" s="7"/>
    </row>
    <row r="422" spans="19:24">
      <c r="S422" t="s">
        <v>778</v>
      </c>
      <c r="T422" t="s">
        <v>536</v>
      </c>
      <c r="U422" s="30">
        <v>7</v>
      </c>
      <c r="V422" t="s">
        <v>170</v>
      </c>
      <c r="W422" s="38" t="s">
        <v>841</v>
      </c>
      <c r="X422" s="7"/>
    </row>
    <row r="423" spans="19:24">
      <c r="S423" t="s">
        <v>778</v>
      </c>
      <c r="T423" t="s">
        <v>536</v>
      </c>
      <c r="U423" s="30">
        <v>7</v>
      </c>
      <c r="V423" t="s">
        <v>170</v>
      </c>
      <c r="W423" t="s">
        <v>843</v>
      </c>
      <c r="X423" s="7"/>
    </row>
    <row r="424" spans="19:24">
      <c r="S424" t="s">
        <v>778</v>
      </c>
      <c r="T424" t="s">
        <v>536</v>
      </c>
      <c r="U424" s="30">
        <v>7</v>
      </c>
      <c r="V424" t="s">
        <v>170</v>
      </c>
      <c r="W424" t="s">
        <v>845</v>
      </c>
      <c r="X424" s="7">
        <v>1</v>
      </c>
    </row>
    <row r="425" spans="19:24">
      <c r="S425" t="s">
        <v>778</v>
      </c>
      <c r="T425" t="s">
        <v>536</v>
      </c>
      <c r="U425" s="30">
        <v>8</v>
      </c>
      <c r="V425" t="s">
        <v>170</v>
      </c>
      <c r="W425" t="s">
        <v>847</v>
      </c>
      <c r="X425" t="s">
        <v>478</v>
      </c>
    </row>
    <row r="426" spans="19:24">
      <c r="S426" t="s">
        <v>778</v>
      </c>
      <c r="T426" t="s">
        <v>536</v>
      </c>
      <c r="U426" s="30">
        <v>8</v>
      </c>
      <c r="V426" t="s">
        <v>170</v>
      </c>
      <c r="W426" t="s">
        <v>866</v>
      </c>
      <c r="X426" s="7"/>
    </row>
    <row r="427" spans="19:24">
      <c r="S427" t="s">
        <v>778</v>
      </c>
      <c r="T427" t="s">
        <v>536</v>
      </c>
      <c r="U427" s="30">
        <v>8</v>
      </c>
      <c r="V427" t="s">
        <v>170</v>
      </c>
      <c r="W427" t="s">
        <v>631</v>
      </c>
      <c r="X427" s="7"/>
    </row>
    <row r="428" spans="19:24">
      <c r="S428" t="s">
        <v>778</v>
      </c>
      <c r="T428" t="s">
        <v>536</v>
      </c>
      <c r="U428" s="30">
        <v>8</v>
      </c>
      <c r="V428" t="s">
        <v>170</v>
      </c>
      <c r="W428" s="38" t="s">
        <v>430</v>
      </c>
      <c r="X428" s="7"/>
    </row>
    <row r="429" spans="19:24">
      <c r="S429" t="s">
        <v>778</v>
      </c>
      <c r="T429" t="s">
        <v>536</v>
      </c>
      <c r="U429" s="30">
        <v>8</v>
      </c>
      <c r="V429" t="s">
        <v>170</v>
      </c>
      <c r="W429" s="38" t="s">
        <v>432</v>
      </c>
      <c r="X429" s="7">
        <v>1</v>
      </c>
    </row>
    <row r="430" spans="19:24">
      <c r="S430" t="s">
        <v>778</v>
      </c>
      <c r="T430" t="s">
        <v>536</v>
      </c>
      <c r="U430" s="30">
        <v>8</v>
      </c>
      <c r="V430" t="s">
        <v>170</v>
      </c>
      <c r="W430" s="38" t="s">
        <v>841</v>
      </c>
      <c r="X430" s="7">
        <v>1</v>
      </c>
    </row>
    <row r="431" spans="19:24">
      <c r="S431" t="s">
        <v>778</v>
      </c>
      <c r="T431" t="s">
        <v>536</v>
      </c>
      <c r="U431" s="30">
        <v>8</v>
      </c>
      <c r="V431" t="s">
        <v>170</v>
      </c>
      <c r="W431" t="s">
        <v>843</v>
      </c>
      <c r="X431" s="7"/>
    </row>
    <row r="432" spans="19:24">
      <c r="S432" t="s">
        <v>778</v>
      </c>
      <c r="T432" t="s">
        <v>536</v>
      </c>
      <c r="U432" s="30">
        <v>8</v>
      </c>
      <c r="V432" t="s">
        <v>170</v>
      </c>
      <c r="W432" t="s">
        <v>845</v>
      </c>
    </row>
    <row r="433" spans="19:24">
      <c r="S433" t="s">
        <v>857</v>
      </c>
      <c r="T433" t="s">
        <v>858</v>
      </c>
      <c r="U433" s="38">
        <v>1</v>
      </c>
      <c r="V433" t="s">
        <v>252</v>
      </c>
      <c r="W433" t="s">
        <v>631</v>
      </c>
      <c r="X433" s="43">
        <v>1</v>
      </c>
    </row>
    <row r="434" spans="19:24">
      <c r="S434" t="s">
        <v>857</v>
      </c>
      <c r="T434" t="s">
        <v>858</v>
      </c>
      <c r="U434" s="38">
        <v>1</v>
      </c>
      <c r="V434" t="s">
        <v>252</v>
      </c>
      <c r="W434" s="38" t="s">
        <v>430</v>
      </c>
      <c r="X434" s="43"/>
    </row>
    <row r="435" spans="19:24">
      <c r="S435" t="s">
        <v>857</v>
      </c>
      <c r="T435" t="s">
        <v>858</v>
      </c>
      <c r="U435" s="38">
        <v>1</v>
      </c>
      <c r="V435" t="s">
        <v>252</v>
      </c>
      <c r="W435" s="38" t="s">
        <v>432</v>
      </c>
      <c r="X435" s="43"/>
    </row>
    <row r="436" spans="19:24">
      <c r="S436" t="s">
        <v>857</v>
      </c>
      <c r="T436" t="s">
        <v>858</v>
      </c>
      <c r="U436" s="38">
        <v>1</v>
      </c>
      <c r="V436" t="s">
        <v>252</v>
      </c>
      <c r="W436" s="38" t="s">
        <v>841</v>
      </c>
      <c r="X436" s="43"/>
    </row>
    <row r="437" spans="19:24">
      <c r="S437" t="s">
        <v>857</v>
      </c>
      <c r="T437" t="s">
        <v>858</v>
      </c>
      <c r="U437" s="38">
        <v>1</v>
      </c>
      <c r="V437" t="s">
        <v>252</v>
      </c>
      <c r="W437" t="s">
        <v>843</v>
      </c>
      <c r="X437" s="43">
        <v>2</v>
      </c>
    </row>
    <row r="438" spans="19:24">
      <c r="S438" t="s">
        <v>857</v>
      </c>
      <c r="T438" t="s">
        <v>858</v>
      </c>
      <c r="U438" s="38">
        <v>1</v>
      </c>
      <c r="V438" t="s">
        <v>252</v>
      </c>
      <c r="W438" t="s">
        <v>845</v>
      </c>
      <c r="X438" s="43">
        <v>2</v>
      </c>
    </row>
    <row r="439" spans="19:24">
      <c r="S439" t="s">
        <v>857</v>
      </c>
      <c r="T439" t="s">
        <v>858</v>
      </c>
      <c r="U439" s="41">
        <v>2</v>
      </c>
      <c r="V439" t="s">
        <v>252</v>
      </c>
      <c r="W439" t="s">
        <v>631</v>
      </c>
      <c r="X439" s="7">
        <v>9</v>
      </c>
    </row>
    <row r="440" spans="19:24">
      <c r="S440" t="s">
        <v>857</v>
      </c>
      <c r="T440" t="s">
        <v>858</v>
      </c>
      <c r="U440" s="41">
        <v>2</v>
      </c>
      <c r="V440" t="s">
        <v>252</v>
      </c>
      <c r="W440" s="38" t="s">
        <v>430</v>
      </c>
      <c r="X440" s="7">
        <v>3</v>
      </c>
    </row>
    <row r="441" spans="19:24">
      <c r="S441" t="s">
        <v>857</v>
      </c>
      <c r="T441" t="s">
        <v>858</v>
      </c>
      <c r="U441" s="41">
        <v>2</v>
      </c>
      <c r="V441" t="s">
        <v>252</v>
      </c>
      <c r="W441" s="38" t="s">
        <v>432</v>
      </c>
      <c r="X441" s="7">
        <v>3</v>
      </c>
    </row>
    <row r="442" spans="19:24">
      <c r="S442" t="s">
        <v>857</v>
      </c>
      <c r="T442" t="s">
        <v>858</v>
      </c>
      <c r="U442" s="41">
        <v>2</v>
      </c>
      <c r="V442" t="s">
        <v>252</v>
      </c>
      <c r="W442" s="38" t="s">
        <v>841</v>
      </c>
      <c r="X442" s="7">
        <v>3</v>
      </c>
    </row>
    <row r="443" spans="19:24">
      <c r="S443" t="s">
        <v>857</v>
      </c>
      <c r="T443" t="s">
        <v>858</v>
      </c>
      <c r="U443" s="41">
        <v>2</v>
      </c>
      <c r="V443" t="s">
        <v>252</v>
      </c>
      <c r="W443" t="s">
        <v>843</v>
      </c>
      <c r="X443" s="7">
        <v>1</v>
      </c>
    </row>
    <row r="444" spans="19:24">
      <c r="S444" t="s">
        <v>857</v>
      </c>
      <c r="T444" t="s">
        <v>858</v>
      </c>
      <c r="U444" s="41">
        <v>2</v>
      </c>
      <c r="V444" t="s">
        <v>252</v>
      </c>
      <c r="W444" t="s">
        <v>845</v>
      </c>
      <c r="X444" s="7"/>
    </row>
    <row r="445" spans="19:24">
      <c r="S445" t="s">
        <v>857</v>
      </c>
      <c r="T445" t="s">
        <v>858</v>
      </c>
      <c r="U445" s="41">
        <v>3</v>
      </c>
      <c r="V445" t="s">
        <v>252</v>
      </c>
      <c r="W445" t="s">
        <v>631</v>
      </c>
    </row>
    <row r="446" spans="19:24">
      <c r="S446" t="s">
        <v>857</v>
      </c>
      <c r="T446" t="s">
        <v>858</v>
      </c>
      <c r="U446" s="41">
        <v>3</v>
      </c>
      <c r="V446" t="s">
        <v>252</v>
      </c>
      <c r="W446" s="38" t="s">
        <v>430</v>
      </c>
    </row>
    <row r="447" spans="19:24">
      <c r="S447" t="s">
        <v>857</v>
      </c>
      <c r="T447" t="s">
        <v>858</v>
      </c>
      <c r="U447" s="30">
        <v>3</v>
      </c>
      <c r="V447" t="s">
        <v>252</v>
      </c>
      <c r="W447" s="38" t="s">
        <v>432</v>
      </c>
    </row>
    <row r="448" spans="19:24">
      <c r="S448" t="s">
        <v>857</v>
      </c>
      <c r="T448" t="s">
        <v>858</v>
      </c>
      <c r="U448" s="30">
        <v>3</v>
      </c>
      <c r="V448" t="s">
        <v>252</v>
      </c>
      <c r="W448" s="38" t="s">
        <v>841</v>
      </c>
    </row>
    <row r="449" spans="19:23">
      <c r="S449" t="s">
        <v>857</v>
      </c>
      <c r="T449" t="s">
        <v>858</v>
      </c>
      <c r="U449" s="30">
        <v>3</v>
      </c>
      <c r="V449" t="s">
        <v>252</v>
      </c>
      <c r="W449" t="s">
        <v>843</v>
      </c>
    </row>
    <row r="450" spans="19:23">
      <c r="S450" t="s">
        <v>857</v>
      </c>
      <c r="T450" t="s">
        <v>858</v>
      </c>
      <c r="U450" s="30">
        <v>3</v>
      </c>
      <c r="V450" t="s">
        <v>252</v>
      </c>
      <c r="W450" t="s">
        <v>845</v>
      </c>
    </row>
    <row r="451" spans="19:23">
      <c r="S451" t="s">
        <v>857</v>
      </c>
      <c r="T451" t="s">
        <v>858</v>
      </c>
      <c r="U451" s="30">
        <v>4</v>
      </c>
      <c r="V451" t="s">
        <v>252</v>
      </c>
      <c r="W451" t="s">
        <v>631</v>
      </c>
    </row>
    <row r="452" spans="19:23">
      <c r="S452" t="s">
        <v>857</v>
      </c>
      <c r="T452" t="s">
        <v>858</v>
      </c>
      <c r="U452" s="30">
        <v>4</v>
      </c>
      <c r="V452" t="s">
        <v>252</v>
      </c>
      <c r="W452" s="38" t="s">
        <v>430</v>
      </c>
    </row>
    <row r="453" spans="19:23">
      <c r="S453" t="s">
        <v>857</v>
      </c>
      <c r="T453" t="s">
        <v>858</v>
      </c>
      <c r="U453" s="30">
        <v>4</v>
      </c>
      <c r="V453" t="s">
        <v>252</v>
      </c>
      <c r="W453" s="38" t="s">
        <v>432</v>
      </c>
    </row>
    <row r="454" spans="19:23">
      <c r="S454" t="s">
        <v>857</v>
      </c>
      <c r="T454" t="s">
        <v>858</v>
      </c>
      <c r="U454" s="30">
        <v>4</v>
      </c>
      <c r="V454" t="s">
        <v>252</v>
      </c>
      <c r="W454" s="38" t="s">
        <v>841</v>
      </c>
    </row>
    <row r="455" spans="19:23">
      <c r="S455" t="s">
        <v>857</v>
      </c>
      <c r="T455" t="s">
        <v>858</v>
      </c>
      <c r="U455" s="30">
        <v>4</v>
      </c>
      <c r="V455" t="s">
        <v>252</v>
      </c>
      <c r="W455" t="s">
        <v>843</v>
      </c>
    </row>
    <row r="456" spans="19:23">
      <c r="S456" t="s">
        <v>857</v>
      </c>
      <c r="T456" t="s">
        <v>858</v>
      </c>
      <c r="U456" s="30">
        <v>4</v>
      </c>
      <c r="V456" t="s">
        <v>252</v>
      </c>
      <c r="W456" t="s">
        <v>845</v>
      </c>
    </row>
    <row r="457" spans="19:23">
      <c r="S457" t="s">
        <v>857</v>
      </c>
      <c r="T457" t="s">
        <v>858</v>
      </c>
      <c r="U457" s="30">
        <v>5</v>
      </c>
      <c r="V457" t="s">
        <v>252</v>
      </c>
      <c r="W457" t="s">
        <v>631</v>
      </c>
    </row>
    <row r="458" spans="19:23">
      <c r="S458" t="s">
        <v>857</v>
      </c>
      <c r="T458" t="s">
        <v>858</v>
      </c>
      <c r="U458" s="30">
        <v>5</v>
      </c>
      <c r="V458" t="s">
        <v>252</v>
      </c>
      <c r="W458" s="38" t="s">
        <v>430</v>
      </c>
    </row>
    <row r="459" spans="19:23">
      <c r="S459" t="s">
        <v>857</v>
      </c>
      <c r="T459" t="s">
        <v>858</v>
      </c>
      <c r="U459" s="30">
        <v>5</v>
      </c>
      <c r="V459" t="s">
        <v>252</v>
      </c>
      <c r="W459" s="38" t="s">
        <v>432</v>
      </c>
    </row>
    <row r="460" spans="19:23">
      <c r="S460" t="s">
        <v>857</v>
      </c>
      <c r="T460" t="s">
        <v>858</v>
      </c>
      <c r="U460" s="30">
        <v>5</v>
      </c>
      <c r="V460" t="s">
        <v>252</v>
      </c>
      <c r="W460" s="38" t="s">
        <v>841</v>
      </c>
    </row>
    <row r="461" spans="19:23">
      <c r="S461" t="s">
        <v>857</v>
      </c>
      <c r="T461" t="s">
        <v>858</v>
      </c>
      <c r="U461" s="30">
        <v>5</v>
      </c>
      <c r="V461" t="s">
        <v>252</v>
      </c>
      <c r="W461" t="s">
        <v>843</v>
      </c>
    </row>
    <row r="462" spans="19:23">
      <c r="S462" t="s">
        <v>857</v>
      </c>
      <c r="T462" t="s">
        <v>858</v>
      </c>
      <c r="U462" s="30">
        <v>5</v>
      </c>
      <c r="V462" t="s">
        <v>252</v>
      </c>
      <c r="W462" t="s">
        <v>845</v>
      </c>
    </row>
    <row r="463" spans="19:23">
      <c r="S463" t="s">
        <v>857</v>
      </c>
      <c r="T463" t="s">
        <v>858</v>
      </c>
      <c r="U463" s="30">
        <v>6</v>
      </c>
      <c r="V463" t="s">
        <v>252</v>
      </c>
      <c r="W463" t="s">
        <v>631</v>
      </c>
    </row>
    <row r="464" spans="19:23">
      <c r="S464" t="s">
        <v>857</v>
      </c>
      <c r="T464" t="s">
        <v>858</v>
      </c>
      <c r="U464" s="30">
        <v>6</v>
      </c>
      <c r="V464" t="s">
        <v>252</v>
      </c>
      <c r="W464" s="38" t="s">
        <v>430</v>
      </c>
    </row>
    <row r="465" spans="19:23">
      <c r="S465" t="s">
        <v>857</v>
      </c>
      <c r="T465" t="s">
        <v>858</v>
      </c>
      <c r="U465" s="30">
        <v>6</v>
      </c>
      <c r="V465" t="s">
        <v>252</v>
      </c>
      <c r="W465" s="38" t="s">
        <v>432</v>
      </c>
    </row>
    <row r="466" spans="19:23">
      <c r="S466" t="s">
        <v>857</v>
      </c>
      <c r="T466" t="s">
        <v>858</v>
      </c>
      <c r="U466" s="30">
        <v>6</v>
      </c>
      <c r="V466" t="s">
        <v>252</v>
      </c>
      <c r="W466" s="38" t="s">
        <v>841</v>
      </c>
    </row>
    <row r="467" spans="19:23">
      <c r="S467" t="s">
        <v>857</v>
      </c>
      <c r="T467" t="s">
        <v>858</v>
      </c>
      <c r="U467" s="30">
        <v>6</v>
      </c>
      <c r="V467" t="s">
        <v>252</v>
      </c>
      <c r="W467" t="s">
        <v>843</v>
      </c>
    </row>
    <row r="468" spans="19:23">
      <c r="S468" t="s">
        <v>857</v>
      </c>
      <c r="T468" t="s">
        <v>858</v>
      </c>
      <c r="U468" s="30">
        <v>6</v>
      </c>
      <c r="V468" t="s">
        <v>252</v>
      </c>
      <c r="W468" t="s">
        <v>845</v>
      </c>
    </row>
    <row r="469" spans="19:23">
      <c r="S469" t="s">
        <v>857</v>
      </c>
      <c r="T469" t="s">
        <v>861</v>
      </c>
      <c r="U469" s="38">
        <v>1</v>
      </c>
      <c r="V469" t="s">
        <v>252</v>
      </c>
      <c r="W469" t="s">
        <v>631</v>
      </c>
    </row>
    <row r="470" spans="19:23">
      <c r="S470" t="s">
        <v>857</v>
      </c>
      <c r="T470" t="s">
        <v>861</v>
      </c>
      <c r="U470" s="38">
        <v>1</v>
      </c>
      <c r="V470" t="s">
        <v>252</v>
      </c>
      <c r="W470" s="38" t="s">
        <v>430</v>
      </c>
    </row>
    <row r="471" spans="19:23">
      <c r="S471" t="s">
        <v>857</v>
      </c>
      <c r="T471" t="s">
        <v>861</v>
      </c>
      <c r="U471" s="38">
        <v>1</v>
      </c>
      <c r="V471" t="s">
        <v>252</v>
      </c>
      <c r="W471" s="38" t="s">
        <v>432</v>
      </c>
    </row>
    <row r="472" spans="19:23">
      <c r="S472" t="s">
        <v>857</v>
      </c>
      <c r="T472" t="s">
        <v>861</v>
      </c>
      <c r="U472" s="38">
        <v>1</v>
      </c>
      <c r="V472" t="s">
        <v>252</v>
      </c>
      <c r="W472" s="38" t="s">
        <v>841</v>
      </c>
    </row>
    <row r="473" spans="19:23">
      <c r="S473" t="s">
        <v>857</v>
      </c>
      <c r="T473" t="s">
        <v>861</v>
      </c>
      <c r="U473" s="38">
        <v>1</v>
      </c>
      <c r="V473" t="s">
        <v>252</v>
      </c>
      <c r="W473" t="s">
        <v>843</v>
      </c>
    </row>
    <row r="474" spans="19:23">
      <c r="S474" t="s">
        <v>857</v>
      </c>
      <c r="T474" t="s">
        <v>861</v>
      </c>
      <c r="U474" s="38">
        <v>1</v>
      </c>
      <c r="V474" t="s">
        <v>252</v>
      </c>
      <c r="W474" t="s">
        <v>845</v>
      </c>
    </row>
    <row r="475" spans="19:23">
      <c r="S475" t="s">
        <v>857</v>
      </c>
      <c r="T475" t="s">
        <v>861</v>
      </c>
      <c r="U475" s="41">
        <v>2</v>
      </c>
      <c r="V475" t="s">
        <v>252</v>
      </c>
      <c r="W475" t="s">
        <v>631</v>
      </c>
    </row>
    <row r="476" spans="19:23">
      <c r="S476" t="s">
        <v>857</v>
      </c>
      <c r="T476" t="s">
        <v>861</v>
      </c>
      <c r="U476" s="41">
        <v>2</v>
      </c>
      <c r="V476" t="s">
        <v>252</v>
      </c>
      <c r="W476" s="38" t="s">
        <v>430</v>
      </c>
    </row>
    <row r="477" spans="19:23">
      <c r="S477" t="s">
        <v>857</v>
      </c>
      <c r="T477" t="s">
        <v>861</v>
      </c>
      <c r="U477" s="41">
        <v>2</v>
      </c>
      <c r="V477" t="s">
        <v>252</v>
      </c>
      <c r="W477" s="38" t="s">
        <v>432</v>
      </c>
    </row>
    <row r="478" spans="19:23">
      <c r="S478" t="s">
        <v>857</v>
      </c>
      <c r="T478" t="s">
        <v>861</v>
      </c>
      <c r="U478" s="41">
        <v>2</v>
      </c>
      <c r="V478" t="s">
        <v>252</v>
      </c>
      <c r="W478" s="38" t="s">
        <v>841</v>
      </c>
    </row>
    <row r="479" spans="19:23">
      <c r="S479" t="s">
        <v>857</v>
      </c>
      <c r="T479" t="s">
        <v>861</v>
      </c>
      <c r="U479" s="41">
        <v>2</v>
      </c>
      <c r="V479" t="s">
        <v>252</v>
      </c>
      <c r="W479" t="s">
        <v>843</v>
      </c>
    </row>
    <row r="480" spans="19:23">
      <c r="S480" t="s">
        <v>857</v>
      </c>
      <c r="T480" t="s">
        <v>861</v>
      </c>
      <c r="U480" s="41">
        <v>2</v>
      </c>
      <c r="V480" t="s">
        <v>252</v>
      </c>
      <c r="W480" t="s">
        <v>845</v>
      </c>
    </row>
    <row r="481" spans="19:28">
      <c r="S481" t="s">
        <v>857</v>
      </c>
      <c r="T481" t="s">
        <v>861</v>
      </c>
      <c r="U481" s="41">
        <v>3</v>
      </c>
      <c r="V481" t="s">
        <v>252</v>
      </c>
      <c r="W481" t="s">
        <v>631</v>
      </c>
    </row>
    <row r="482" spans="19:28">
      <c r="S482" t="s">
        <v>857</v>
      </c>
      <c r="T482" t="s">
        <v>861</v>
      </c>
      <c r="U482" s="41">
        <v>3</v>
      </c>
      <c r="V482" t="s">
        <v>252</v>
      </c>
      <c r="W482" s="38" t="s">
        <v>430</v>
      </c>
    </row>
    <row r="483" spans="19:28">
      <c r="S483" t="s">
        <v>857</v>
      </c>
      <c r="T483" t="s">
        <v>861</v>
      </c>
      <c r="U483" s="30">
        <v>3</v>
      </c>
      <c r="V483" t="s">
        <v>252</v>
      </c>
      <c r="W483" s="38" t="s">
        <v>432</v>
      </c>
    </row>
    <row r="484" spans="19:28">
      <c r="S484" t="s">
        <v>857</v>
      </c>
      <c r="T484" t="s">
        <v>861</v>
      </c>
      <c r="U484" s="30">
        <v>3</v>
      </c>
      <c r="V484" t="s">
        <v>252</v>
      </c>
      <c r="W484" s="38" t="s">
        <v>841</v>
      </c>
    </row>
    <row r="485" spans="19:28">
      <c r="S485" t="s">
        <v>857</v>
      </c>
      <c r="T485" t="s">
        <v>861</v>
      </c>
      <c r="U485" s="30">
        <v>3</v>
      </c>
      <c r="V485" t="s">
        <v>252</v>
      </c>
      <c r="W485" t="s">
        <v>843</v>
      </c>
    </row>
    <row r="486" spans="19:28">
      <c r="S486" t="s">
        <v>857</v>
      </c>
      <c r="T486" t="s">
        <v>861</v>
      </c>
      <c r="U486" s="30">
        <v>3</v>
      </c>
      <c r="V486" t="s">
        <v>252</v>
      </c>
      <c r="W486" t="s">
        <v>845</v>
      </c>
    </row>
    <row r="487" spans="19:28">
      <c r="S487" t="s">
        <v>857</v>
      </c>
      <c r="T487" t="s">
        <v>861</v>
      </c>
      <c r="U487" s="30">
        <v>4</v>
      </c>
      <c r="V487" t="s">
        <v>252</v>
      </c>
      <c r="W487" t="s">
        <v>631</v>
      </c>
      <c r="X487" s="7">
        <v>2</v>
      </c>
    </row>
    <row r="488" spans="19:28">
      <c r="S488" t="s">
        <v>857</v>
      </c>
      <c r="T488" t="s">
        <v>861</v>
      </c>
      <c r="U488" s="30">
        <v>4</v>
      </c>
      <c r="V488" t="s">
        <v>252</v>
      </c>
      <c r="W488" s="38" t="s">
        <v>430</v>
      </c>
      <c r="X488" s="7"/>
    </row>
    <row r="489" spans="19:28">
      <c r="S489" t="s">
        <v>857</v>
      </c>
      <c r="T489" t="s">
        <v>861</v>
      </c>
      <c r="U489" s="30">
        <v>4</v>
      </c>
      <c r="V489" t="s">
        <v>252</v>
      </c>
      <c r="W489" s="38" t="s">
        <v>432</v>
      </c>
      <c r="X489" s="7"/>
      <c r="Y489" s="7"/>
      <c r="AA489" s="7"/>
    </row>
    <row r="490" spans="19:28">
      <c r="S490" t="s">
        <v>857</v>
      </c>
      <c r="T490" t="s">
        <v>861</v>
      </c>
      <c r="U490" s="30">
        <v>4</v>
      </c>
      <c r="V490" t="s">
        <v>252</v>
      </c>
      <c r="W490" s="38" t="s">
        <v>841</v>
      </c>
      <c r="X490" s="7"/>
      <c r="Y490" s="7"/>
      <c r="AA490" s="7"/>
    </row>
    <row r="491" spans="19:28">
      <c r="S491" t="s">
        <v>857</v>
      </c>
      <c r="T491" t="s">
        <v>861</v>
      </c>
      <c r="U491" s="30">
        <v>4</v>
      </c>
      <c r="V491" t="s">
        <v>252</v>
      </c>
      <c r="W491" t="s">
        <v>843</v>
      </c>
      <c r="X491" s="7"/>
      <c r="Y491" s="7"/>
      <c r="AA491" s="7"/>
    </row>
    <row r="492" spans="19:28">
      <c r="S492" t="s">
        <v>857</v>
      </c>
      <c r="T492" t="s">
        <v>861</v>
      </c>
      <c r="U492" s="30">
        <v>4</v>
      </c>
      <c r="V492" t="s">
        <v>252</v>
      </c>
      <c r="W492" t="s">
        <v>845</v>
      </c>
      <c r="X492" s="7"/>
      <c r="Y492" s="7"/>
      <c r="AA492" s="7"/>
    </row>
    <row r="493" spans="19:28">
      <c r="S493" t="s">
        <v>857</v>
      </c>
      <c r="T493" t="s">
        <v>861</v>
      </c>
      <c r="U493" s="30">
        <v>5</v>
      </c>
      <c r="V493" t="s">
        <v>252</v>
      </c>
      <c r="W493" t="s">
        <v>631</v>
      </c>
      <c r="X493" s="7">
        <v>3</v>
      </c>
      <c r="Y493" s="7"/>
      <c r="AA493" s="7"/>
    </row>
    <row r="494" spans="19:28">
      <c r="S494" t="s">
        <v>857</v>
      </c>
      <c r="T494" t="s">
        <v>861</v>
      </c>
      <c r="U494" s="30">
        <v>5</v>
      </c>
      <c r="V494" t="s">
        <v>252</v>
      </c>
      <c r="W494" s="38" t="s">
        <v>430</v>
      </c>
      <c r="X494" s="7"/>
      <c r="Y494" s="7"/>
      <c r="Z494" s="7"/>
      <c r="AA494" s="7"/>
      <c r="AB494" s="7"/>
    </row>
    <row r="495" spans="19:28">
      <c r="S495" t="s">
        <v>857</v>
      </c>
      <c r="T495" t="s">
        <v>861</v>
      </c>
      <c r="U495" s="30">
        <v>5</v>
      </c>
      <c r="V495" t="s">
        <v>252</v>
      </c>
      <c r="W495" s="38" t="s">
        <v>432</v>
      </c>
      <c r="X495" s="7"/>
    </row>
    <row r="496" spans="19:28">
      <c r="S496" t="s">
        <v>857</v>
      </c>
      <c r="T496" t="s">
        <v>861</v>
      </c>
      <c r="U496" s="30">
        <v>5</v>
      </c>
      <c r="V496" t="s">
        <v>252</v>
      </c>
      <c r="W496" s="38" t="s">
        <v>841</v>
      </c>
      <c r="X496" s="7">
        <v>1</v>
      </c>
    </row>
    <row r="497" spans="19:24">
      <c r="S497" t="s">
        <v>857</v>
      </c>
      <c r="T497" t="s">
        <v>861</v>
      </c>
      <c r="U497" s="30">
        <v>5</v>
      </c>
      <c r="V497" t="s">
        <v>252</v>
      </c>
      <c r="W497" t="s">
        <v>843</v>
      </c>
      <c r="X497" s="7"/>
    </row>
    <row r="498" spans="19:24">
      <c r="S498" t="s">
        <v>857</v>
      </c>
      <c r="T498" t="s">
        <v>861</v>
      </c>
      <c r="U498" s="30">
        <v>5</v>
      </c>
      <c r="V498" t="s">
        <v>252</v>
      </c>
      <c r="W498" t="s">
        <v>845</v>
      </c>
      <c r="X498" s="7"/>
    </row>
    <row r="499" spans="19:24">
      <c r="S499" t="s">
        <v>857</v>
      </c>
      <c r="T499" t="s">
        <v>861</v>
      </c>
      <c r="U499" s="30">
        <v>6</v>
      </c>
      <c r="V499" t="s">
        <v>252</v>
      </c>
      <c r="W499" t="s">
        <v>631</v>
      </c>
    </row>
    <row r="500" spans="19:24">
      <c r="S500" t="s">
        <v>857</v>
      </c>
      <c r="T500" t="s">
        <v>861</v>
      </c>
      <c r="U500" s="30">
        <v>6</v>
      </c>
      <c r="V500" t="s">
        <v>252</v>
      </c>
      <c r="W500" s="38" t="s">
        <v>430</v>
      </c>
    </row>
    <row r="501" spans="19:24">
      <c r="S501" t="s">
        <v>857</v>
      </c>
      <c r="T501" t="s">
        <v>861</v>
      </c>
      <c r="U501" s="30">
        <v>6</v>
      </c>
      <c r="V501" t="s">
        <v>252</v>
      </c>
      <c r="W501" s="38" t="s">
        <v>432</v>
      </c>
    </row>
    <row r="502" spans="19:24">
      <c r="S502" t="s">
        <v>857</v>
      </c>
      <c r="T502" t="s">
        <v>861</v>
      </c>
      <c r="U502" s="30">
        <v>6</v>
      </c>
      <c r="V502" t="s">
        <v>252</v>
      </c>
      <c r="W502" s="38" t="s">
        <v>841</v>
      </c>
    </row>
    <row r="503" spans="19:24">
      <c r="S503" t="s">
        <v>857</v>
      </c>
      <c r="T503" t="s">
        <v>861</v>
      </c>
      <c r="U503" s="30">
        <v>6</v>
      </c>
      <c r="V503" t="s">
        <v>252</v>
      </c>
      <c r="W503" t="s">
        <v>843</v>
      </c>
    </row>
    <row r="504" spans="19:24">
      <c r="S504" t="s">
        <v>857</v>
      </c>
      <c r="T504" t="s">
        <v>861</v>
      </c>
      <c r="U504" s="30">
        <v>6</v>
      </c>
      <c r="V504" t="s">
        <v>252</v>
      </c>
      <c r="W504" t="s">
        <v>845</v>
      </c>
    </row>
    <row r="505" spans="19:24">
      <c r="S505" t="s">
        <v>857</v>
      </c>
      <c r="T505" t="s">
        <v>862</v>
      </c>
      <c r="U505" s="38">
        <v>1</v>
      </c>
      <c r="V505" t="s">
        <v>252</v>
      </c>
      <c r="W505" t="s">
        <v>631</v>
      </c>
      <c r="X505">
        <v>2</v>
      </c>
    </row>
    <row r="506" spans="19:24">
      <c r="S506" t="s">
        <v>857</v>
      </c>
      <c r="T506" t="s">
        <v>862</v>
      </c>
      <c r="U506" s="38">
        <v>1</v>
      </c>
      <c r="V506" t="s">
        <v>252</v>
      </c>
      <c r="W506" s="38" t="s">
        <v>430</v>
      </c>
    </row>
    <row r="507" spans="19:24">
      <c r="S507" t="s">
        <v>857</v>
      </c>
      <c r="T507" t="s">
        <v>862</v>
      </c>
      <c r="U507" s="38">
        <v>1</v>
      </c>
      <c r="V507" t="s">
        <v>252</v>
      </c>
      <c r="W507" s="38" t="s">
        <v>432</v>
      </c>
    </row>
    <row r="508" spans="19:24">
      <c r="S508" t="s">
        <v>857</v>
      </c>
      <c r="T508" t="s">
        <v>862</v>
      </c>
      <c r="U508" s="38">
        <v>1</v>
      </c>
      <c r="V508" t="s">
        <v>252</v>
      </c>
      <c r="W508" s="38" t="s">
        <v>841</v>
      </c>
    </row>
    <row r="509" spans="19:24">
      <c r="S509" t="s">
        <v>857</v>
      </c>
      <c r="T509" t="s">
        <v>862</v>
      </c>
      <c r="U509" s="38">
        <v>1</v>
      </c>
      <c r="V509" t="s">
        <v>252</v>
      </c>
      <c r="W509" t="s">
        <v>843</v>
      </c>
    </row>
    <row r="510" spans="19:24">
      <c r="S510" t="s">
        <v>857</v>
      </c>
      <c r="T510" t="s">
        <v>862</v>
      </c>
      <c r="U510" s="38">
        <v>1</v>
      </c>
      <c r="V510" t="s">
        <v>252</v>
      </c>
      <c r="W510" t="s">
        <v>845</v>
      </c>
    </row>
    <row r="511" spans="19:24">
      <c r="S511" t="s">
        <v>857</v>
      </c>
      <c r="T511" t="s">
        <v>862</v>
      </c>
      <c r="U511" s="41">
        <v>2</v>
      </c>
      <c r="V511" t="s">
        <v>252</v>
      </c>
      <c r="W511" t="s">
        <v>631</v>
      </c>
      <c r="X511">
        <v>2</v>
      </c>
    </row>
    <row r="512" spans="19:24">
      <c r="S512" t="s">
        <v>857</v>
      </c>
      <c r="T512" t="s">
        <v>862</v>
      </c>
      <c r="U512" s="41">
        <v>2</v>
      </c>
      <c r="V512" t="s">
        <v>252</v>
      </c>
      <c r="W512" s="38" t="s">
        <v>430</v>
      </c>
    </row>
    <row r="513" spans="19:23">
      <c r="S513" t="s">
        <v>857</v>
      </c>
      <c r="T513" t="s">
        <v>862</v>
      </c>
      <c r="U513" s="41">
        <v>2</v>
      </c>
      <c r="V513" t="s">
        <v>252</v>
      </c>
      <c r="W513" s="38" t="s">
        <v>432</v>
      </c>
    </row>
    <row r="514" spans="19:23">
      <c r="S514" t="s">
        <v>857</v>
      </c>
      <c r="T514" t="s">
        <v>862</v>
      </c>
      <c r="U514" s="41">
        <v>2</v>
      </c>
      <c r="V514" t="s">
        <v>252</v>
      </c>
      <c r="W514" s="38" t="s">
        <v>841</v>
      </c>
    </row>
    <row r="515" spans="19:23">
      <c r="S515" t="s">
        <v>857</v>
      </c>
      <c r="T515" t="s">
        <v>862</v>
      </c>
      <c r="U515" s="41">
        <v>2</v>
      </c>
      <c r="V515" t="s">
        <v>252</v>
      </c>
      <c r="W515" t="s">
        <v>843</v>
      </c>
    </row>
    <row r="516" spans="19:23">
      <c r="S516" t="s">
        <v>857</v>
      </c>
      <c r="T516" t="s">
        <v>862</v>
      </c>
      <c r="U516" s="41">
        <v>2</v>
      </c>
      <c r="V516" t="s">
        <v>252</v>
      </c>
      <c r="W516" t="s">
        <v>845</v>
      </c>
    </row>
    <row r="517" spans="19:23">
      <c r="S517" t="s">
        <v>857</v>
      </c>
      <c r="T517" t="s">
        <v>862</v>
      </c>
      <c r="U517" s="41">
        <v>3</v>
      </c>
      <c r="V517" t="s">
        <v>252</v>
      </c>
      <c r="W517" t="s">
        <v>631</v>
      </c>
    </row>
    <row r="518" spans="19:23">
      <c r="S518" t="s">
        <v>857</v>
      </c>
      <c r="T518" t="s">
        <v>862</v>
      </c>
      <c r="U518" s="41">
        <v>3</v>
      </c>
      <c r="V518" t="s">
        <v>252</v>
      </c>
      <c r="W518" s="38" t="s">
        <v>430</v>
      </c>
    </row>
    <row r="519" spans="19:23">
      <c r="S519" t="s">
        <v>857</v>
      </c>
      <c r="T519" t="s">
        <v>862</v>
      </c>
      <c r="U519" s="30">
        <v>3</v>
      </c>
      <c r="V519" t="s">
        <v>252</v>
      </c>
      <c r="W519" s="38" t="s">
        <v>432</v>
      </c>
    </row>
    <row r="520" spans="19:23">
      <c r="S520" t="s">
        <v>857</v>
      </c>
      <c r="T520" t="s">
        <v>862</v>
      </c>
      <c r="U520" s="30">
        <v>3</v>
      </c>
      <c r="V520" t="s">
        <v>252</v>
      </c>
      <c r="W520" s="38" t="s">
        <v>841</v>
      </c>
    </row>
    <row r="521" spans="19:23">
      <c r="S521" t="s">
        <v>857</v>
      </c>
      <c r="T521" t="s">
        <v>862</v>
      </c>
      <c r="U521" s="30">
        <v>3</v>
      </c>
      <c r="V521" t="s">
        <v>252</v>
      </c>
      <c r="W521" t="s">
        <v>843</v>
      </c>
    </row>
    <row r="522" spans="19:23">
      <c r="S522" t="s">
        <v>857</v>
      </c>
      <c r="T522" t="s">
        <v>862</v>
      </c>
      <c r="U522" s="30">
        <v>3</v>
      </c>
      <c r="V522" t="s">
        <v>252</v>
      </c>
      <c r="W522" t="s">
        <v>845</v>
      </c>
    </row>
    <row r="523" spans="19:23">
      <c r="S523" t="s">
        <v>857</v>
      </c>
      <c r="T523" t="s">
        <v>862</v>
      </c>
      <c r="U523" s="30">
        <v>4</v>
      </c>
      <c r="V523" t="s">
        <v>252</v>
      </c>
      <c r="W523" t="s">
        <v>631</v>
      </c>
    </row>
    <row r="524" spans="19:23">
      <c r="S524" t="s">
        <v>857</v>
      </c>
      <c r="T524" t="s">
        <v>862</v>
      </c>
      <c r="U524" s="30">
        <v>4</v>
      </c>
      <c r="V524" t="s">
        <v>252</v>
      </c>
      <c r="W524" s="38" t="s">
        <v>430</v>
      </c>
    </row>
    <row r="525" spans="19:23">
      <c r="S525" t="s">
        <v>857</v>
      </c>
      <c r="T525" t="s">
        <v>862</v>
      </c>
      <c r="U525" s="30">
        <v>4</v>
      </c>
      <c r="V525" t="s">
        <v>252</v>
      </c>
      <c r="W525" s="38" t="s">
        <v>432</v>
      </c>
    </row>
    <row r="526" spans="19:23">
      <c r="S526" t="s">
        <v>857</v>
      </c>
      <c r="T526" t="s">
        <v>862</v>
      </c>
      <c r="U526" s="30">
        <v>4</v>
      </c>
      <c r="V526" t="s">
        <v>252</v>
      </c>
      <c r="W526" s="38" t="s">
        <v>841</v>
      </c>
    </row>
    <row r="527" spans="19:23">
      <c r="S527" t="s">
        <v>857</v>
      </c>
      <c r="T527" t="s">
        <v>862</v>
      </c>
      <c r="U527" s="30">
        <v>4</v>
      </c>
      <c r="V527" t="s">
        <v>252</v>
      </c>
      <c r="W527" t="s">
        <v>843</v>
      </c>
    </row>
    <row r="528" spans="19:23">
      <c r="S528" t="s">
        <v>857</v>
      </c>
      <c r="T528" t="s">
        <v>862</v>
      </c>
      <c r="U528" s="30">
        <v>4</v>
      </c>
      <c r="V528" t="s">
        <v>252</v>
      </c>
      <c r="W528" t="s">
        <v>845</v>
      </c>
    </row>
    <row r="529" spans="19:29">
      <c r="S529" t="s">
        <v>857</v>
      </c>
      <c r="T529" t="s">
        <v>862</v>
      </c>
      <c r="U529" s="30">
        <v>5</v>
      </c>
      <c r="V529" t="s">
        <v>252</v>
      </c>
      <c r="W529" t="s">
        <v>631</v>
      </c>
    </row>
    <row r="530" spans="19:29">
      <c r="S530" t="s">
        <v>857</v>
      </c>
      <c r="T530" t="s">
        <v>862</v>
      </c>
      <c r="U530" s="30">
        <v>5</v>
      </c>
      <c r="V530" t="s">
        <v>252</v>
      </c>
      <c r="W530" s="38" t="s">
        <v>430</v>
      </c>
    </row>
    <row r="531" spans="19:29">
      <c r="S531" t="s">
        <v>857</v>
      </c>
      <c r="T531" t="s">
        <v>862</v>
      </c>
      <c r="U531" s="30">
        <v>5</v>
      </c>
      <c r="V531" t="s">
        <v>252</v>
      </c>
      <c r="W531" s="38" t="s">
        <v>432</v>
      </c>
    </row>
    <row r="532" spans="19:29">
      <c r="S532" t="s">
        <v>857</v>
      </c>
      <c r="T532" t="s">
        <v>862</v>
      </c>
      <c r="U532" s="30">
        <v>5</v>
      </c>
      <c r="V532" t="s">
        <v>252</v>
      </c>
      <c r="W532" s="38" t="s">
        <v>841</v>
      </c>
    </row>
    <row r="533" spans="19:29">
      <c r="S533" t="s">
        <v>857</v>
      </c>
      <c r="T533" t="s">
        <v>862</v>
      </c>
      <c r="U533" s="30">
        <v>5</v>
      </c>
      <c r="V533" t="s">
        <v>252</v>
      </c>
      <c r="W533" t="s">
        <v>843</v>
      </c>
    </row>
    <row r="534" spans="19:29">
      <c r="S534" t="s">
        <v>857</v>
      </c>
      <c r="T534" t="s">
        <v>862</v>
      </c>
      <c r="U534" s="30">
        <v>5</v>
      </c>
      <c r="V534" t="s">
        <v>252</v>
      </c>
      <c r="W534" t="s">
        <v>845</v>
      </c>
    </row>
    <row r="535" spans="19:29">
      <c r="S535" t="s">
        <v>857</v>
      </c>
      <c r="T535" t="s">
        <v>862</v>
      </c>
      <c r="U535" s="30">
        <v>6</v>
      </c>
      <c r="V535" t="s">
        <v>252</v>
      </c>
      <c r="W535" t="s">
        <v>631</v>
      </c>
    </row>
    <row r="536" spans="19:29">
      <c r="S536" t="s">
        <v>857</v>
      </c>
      <c r="T536" t="s">
        <v>862</v>
      </c>
      <c r="U536" s="30">
        <v>6</v>
      </c>
      <c r="V536" t="s">
        <v>252</v>
      </c>
      <c r="W536" s="38" t="s">
        <v>430</v>
      </c>
    </row>
    <row r="537" spans="19:29">
      <c r="S537" t="s">
        <v>857</v>
      </c>
      <c r="T537" t="s">
        <v>862</v>
      </c>
      <c r="U537" s="30">
        <v>6</v>
      </c>
      <c r="V537" t="s">
        <v>252</v>
      </c>
      <c r="W537" s="38" t="s">
        <v>432</v>
      </c>
    </row>
    <row r="538" spans="19:29">
      <c r="S538" t="s">
        <v>857</v>
      </c>
      <c r="T538" t="s">
        <v>862</v>
      </c>
      <c r="U538" s="30">
        <v>6</v>
      </c>
      <c r="V538" t="s">
        <v>252</v>
      </c>
      <c r="W538" s="38" t="s">
        <v>841</v>
      </c>
    </row>
    <row r="539" spans="19:29">
      <c r="S539" t="s">
        <v>857</v>
      </c>
      <c r="T539" t="s">
        <v>862</v>
      </c>
      <c r="U539" s="30">
        <v>6</v>
      </c>
      <c r="V539" t="s">
        <v>252</v>
      </c>
      <c r="W539" t="s">
        <v>843</v>
      </c>
    </row>
    <row r="540" spans="19:29">
      <c r="S540" t="s">
        <v>857</v>
      </c>
      <c r="T540" t="s">
        <v>862</v>
      </c>
      <c r="U540" s="30">
        <v>6</v>
      </c>
      <c r="V540" t="s">
        <v>252</v>
      </c>
      <c r="W540" t="s">
        <v>845</v>
      </c>
    </row>
    <row r="541" spans="19:29">
      <c r="S541" t="s">
        <v>537</v>
      </c>
      <c r="T541" t="s">
        <v>863</v>
      </c>
      <c r="U541" s="38">
        <v>1</v>
      </c>
      <c r="V541" t="s">
        <v>252</v>
      </c>
      <c r="W541" t="s">
        <v>631</v>
      </c>
      <c r="X541" s="43">
        <v>3</v>
      </c>
    </row>
    <row r="542" spans="19:29">
      <c r="S542" t="s">
        <v>537</v>
      </c>
      <c r="T542" t="s">
        <v>863</v>
      </c>
      <c r="U542" s="38">
        <v>1</v>
      </c>
      <c r="V542" t="s">
        <v>252</v>
      </c>
      <c r="W542" s="38" t="s">
        <v>430</v>
      </c>
      <c r="X542" s="43"/>
    </row>
    <row r="543" spans="19:29">
      <c r="S543" t="s">
        <v>537</v>
      </c>
      <c r="T543" t="s">
        <v>863</v>
      </c>
      <c r="U543" s="38">
        <v>1</v>
      </c>
      <c r="V543" t="s">
        <v>252</v>
      </c>
      <c r="W543" s="38" t="s">
        <v>432</v>
      </c>
      <c r="X543" s="43"/>
      <c r="Y543" s="7"/>
      <c r="Z543" s="7"/>
      <c r="AA543" s="7"/>
      <c r="AB543" s="7"/>
      <c r="AC543" s="7"/>
    </row>
    <row r="544" spans="19:29">
      <c r="S544" t="s">
        <v>537</v>
      </c>
      <c r="T544" t="s">
        <v>863</v>
      </c>
      <c r="U544" s="38">
        <v>1</v>
      </c>
      <c r="V544" t="s">
        <v>252</v>
      </c>
      <c r="W544" s="38" t="s">
        <v>841</v>
      </c>
      <c r="X544" s="43"/>
      <c r="Y544" s="7"/>
      <c r="Z544" s="7"/>
      <c r="AA544" s="7"/>
      <c r="AB544" s="7"/>
      <c r="AC544" s="7"/>
    </row>
    <row r="545" spans="19:29">
      <c r="S545" t="s">
        <v>537</v>
      </c>
      <c r="T545" t="s">
        <v>863</v>
      </c>
      <c r="U545" s="38">
        <v>1</v>
      </c>
      <c r="V545" t="s">
        <v>252</v>
      </c>
      <c r="W545" t="s">
        <v>843</v>
      </c>
      <c r="X545" s="43"/>
      <c r="Y545" s="7"/>
      <c r="Z545" s="7"/>
      <c r="AA545" s="7"/>
      <c r="AB545" s="7"/>
      <c r="AC545" s="7"/>
    </row>
    <row r="546" spans="19:29">
      <c r="S546" t="s">
        <v>537</v>
      </c>
      <c r="T546" t="s">
        <v>863</v>
      </c>
      <c r="U546" s="38">
        <v>1</v>
      </c>
      <c r="V546" t="s">
        <v>252</v>
      </c>
      <c r="W546" t="s">
        <v>845</v>
      </c>
      <c r="X546" s="43"/>
      <c r="Y546" s="7"/>
      <c r="Z546" s="7"/>
      <c r="AA546" s="7"/>
      <c r="AB546" s="7"/>
      <c r="AC546" s="7"/>
    </row>
    <row r="547" spans="19:29">
      <c r="S547" t="s">
        <v>537</v>
      </c>
      <c r="T547" t="s">
        <v>863</v>
      </c>
      <c r="U547" s="41">
        <v>2</v>
      </c>
      <c r="V547" t="s">
        <v>252</v>
      </c>
      <c r="W547" t="s">
        <v>631</v>
      </c>
      <c r="Y547" s="7"/>
      <c r="Z547" s="7"/>
      <c r="AA547" s="7"/>
      <c r="AB547" s="7"/>
      <c r="AC547" s="7"/>
    </row>
    <row r="548" spans="19:29">
      <c r="S548" t="s">
        <v>537</v>
      </c>
      <c r="T548" t="s">
        <v>863</v>
      </c>
      <c r="U548" s="41">
        <v>2</v>
      </c>
      <c r="V548" t="s">
        <v>252</v>
      </c>
      <c r="W548" s="38" t="s">
        <v>430</v>
      </c>
      <c r="Y548" s="7"/>
      <c r="Z548" s="7"/>
      <c r="AA548" s="7"/>
      <c r="AB548" s="7"/>
      <c r="AC548" s="7"/>
    </row>
    <row r="549" spans="19:29">
      <c r="S549" t="s">
        <v>537</v>
      </c>
      <c r="T549" t="s">
        <v>863</v>
      </c>
      <c r="U549" s="41">
        <v>2</v>
      </c>
      <c r="V549" t="s">
        <v>252</v>
      </c>
      <c r="W549" s="38" t="s">
        <v>432</v>
      </c>
    </row>
    <row r="550" spans="19:29">
      <c r="S550" t="s">
        <v>537</v>
      </c>
      <c r="T550" t="s">
        <v>863</v>
      </c>
      <c r="U550" s="41">
        <v>2</v>
      </c>
      <c r="V550" t="s">
        <v>252</v>
      </c>
      <c r="W550" s="38" t="s">
        <v>841</v>
      </c>
    </row>
    <row r="551" spans="19:29">
      <c r="S551" t="s">
        <v>537</v>
      </c>
      <c r="T551" t="s">
        <v>863</v>
      </c>
      <c r="U551" s="41">
        <v>2</v>
      </c>
      <c r="V551" t="s">
        <v>252</v>
      </c>
      <c r="W551" t="s">
        <v>843</v>
      </c>
    </row>
    <row r="552" spans="19:29">
      <c r="S552" t="s">
        <v>537</v>
      </c>
      <c r="T552" t="s">
        <v>863</v>
      </c>
      <c r="U552" s="41">
        <v>2</v>
      </c>
      <c r="V552" t="s">
        <v>252</v>
      </c>
      <c r="W552" t="s">
        <v>845</v>
      </c>
    </row>
    <row r="553" spans="19:29">
      <c r="S553" t="s">
        <v>537</v>
      </c>
      <c r="T553" t="s">
        <v>863</v>
      </c>
      <c r="U553" s="41">
        <v>3</v>
      </c>
      <c r="V553" t="s">
        <v>252</v>
      </c>
      <c r="W553" t="s">
        <v>631</v>
      </c>
      <c r="X553" s="7"/>
    </row>
    <row r="554" spans="19:29">
      <c r="S554" t="s">
        <v>537</v>
      </c>
      <c r="T554" t="s">
        <v>863</v>
      </c>
      <c r="U554" s="41">
        <v>3</v>
      </c>
      <c r="V554" t="s">
        <v>252</v>
      </c>
      <c r="W554" s="38" t="s">
        <v>430</v>
      </c>
      <c r="X554" s="7"/>
    </row>
    <row r="555" spans="19:29">
      <c r="S555" t="s">
        <v>537</v>
      </c>
      <c r="T555" t="s">
        <v>863</v>
      </c>
      <c r="U555" s="30">
        <v>3</v>
      </c>
      <c r="V555" t="s">
        <v>252</v>
      </c>
      <c r="W555" s="38" t="s">
        <v>432</v>
      </c>
      <c r="X555" s="7"/>
    </row>
    <row r="556" spans="19:29">
      <c r="S556" t="s">
        <v>537</v>
      </c>
      <c r="T556" t="s">
        <v>863</v>
      </c>
      <c r="U556" s="30">
        <v>3</v>
      </c>
      <c r="V556" t="s">
        <v>252</v>
      </c>
      <c r="W556" s="38" t="s">
        <v>841</v>
      </c>
      <c r="X556" s="7">
        <v>1</v>
      </c>
    </row>
    <row r="557" spans="19:29">
      <c r="S557" t="s">
        <v>537</v>
      </c>
      <c r="T557" t="s">
        <v>863</v>
      </c>
      <c r="U557" s="30">
        <v>3</v>
      </c>
      <c r="V557" t="s">
        <v>252</v>
      </c>
      <c r="W557" t="s">
        <v>843</v>
      </c>
      <c r="X557" s="7"/>
    </row>
    <row r="558" spans="19:29">
      <c r="S558" t="s">
        <v>537</v>
      </c>
      <c r="T558" t="s">
        <v>863</v>
      </c>
      <c r="U558" s="30">
        <v>3</v>
      </c>
      <c r="V558" t="s">
        <v>252</v>
      </c>
      <c r="W558" t="s">
        <v>845</v>
      </c>
    </row>
    <row r="559" spans="19:29">
      <c r="S559" t="s">
        <v>537</v>
      </c>
      <c r="T559" t="s">
        <v>863</v>
      </c>
      <c r="U559" s="30">
        <v>4</v>
      </c>
      <c r="V559" t="s">
        <v>252</v>
      </c>
      <c r="W559" t="s">
        <v>631</v>
      </c>
    </row>
    <row r="560" spans="19:29">
      <c r="S560" t="s">
        <v>537</v>
      </c>
      <c r="T560" t="s">
        <v>863</v>
      </c>
      <c r="U560" s="30">
        <v>4</v>
      </c>
      <c r="V560" t="s">
        <v>252</v>
      </c>
      <c r="W560" s="38" t="s">
        <v>430</v>
      </c>
    </row>
    <row r="561" spans="19:29">
      <c r="S561" t="s">
        <v>537</v>
      </c>
      <c r="T561" t="s">
        <v>863</v>
      </c>
      <c r="U561" s="30">
        <v>4</v>
      </c>
      <c r="V561" t="s">
        <v>252</v>
      </c>
      <c r="W561" s="38" t="s">
        <v>432</v>
      </c>
    </row>
    <row r="562" spans="19:29">
      <c r="S562" t="s">
        <v>537</v>
      </c>
      <c r="T562" t="s">
        <v>863</v>
      </c>
      <c r="U562" s="30">
        <v>4</v>
      </c>
      <c r="V562" t="s">
        <v>252</v>
      </c>
      <c r="W562" s="38" t="s">
        <v>841</v>
      </c>
    </row>
    <row r="563" spans="19:29">
      <c r="S563" t="s">
        <v>537</v>
      </c>
      <c r="T563" t="s">
        <v>863</v>
      </c>
      <c r="U563" s="30">
        <v>4</v>
      </c>
      <c r="V563" t="s">
        <v>252</v>
      </c>
      <c r="W563" t="s">
        <v>843</v>
      </c>
    </row>
    <row r="564" spans="19:29">
      <c r="S564" t="s">
        <v>537</v>
      </c>
      <c r="T564" t="s">
        <v>863</v>
      </c>
      <c r="U564" s="30">
        <v>4</v>
      </c>
      <c r="V564" t="s">
        <v>252</v>
      </c>
      <c r="W564" t="s">
        <v>845</v>
      </c>
    </row>
    <row r="565" spans="19:29">
      <c r="S565" t="s">
        <v>537</v>
      </c>
      <c r="T565" t="s">
        <v>863</v>
      </c>
      <c r="U565" s="30">
        <v>5</v>
      </c>
      <c r="V565" t="s">
        <v>252</v>
      </c>
      <c r="W565" t="s">
        <v>631</v>
      </c>
      <c r="X565" s="7">
        <v>1</v>
      </c>
    </row>
    <row r="566" spans="19:29">
      <c r="S566" t="s">
        <v>537</v>
      </c>
      <c r="T566" t="s">
        <v>863</v>
      </c>
      <c r="U566" s="30">
        <v>5</v>
      </c>
      <c r="V566" t="s">
        <v>252</v>
      </c>
      <c r="W566" s="38" t="s">
        <v>430</v>
      </c>
      <c r="X566" s="7">
        <v>1</v>
      </c>
    </row>
    <row r="567" spans="19:29">
      <c r="S567" t="s">
        <v>537</v>
      </c>
      <c r="T567" t="s">
        <v>863</v>
      </c>
      <c r="U567" s="30">
        <v>5</v>
      </c>
      <c r="V567" t="s">
        <v>252</v>
      </c>
      <c r="W567" s="38" t="s">
        <v>432</v>
      </c>
      <c r="X567" s="7"/>
    </row>
    <row r="568" spans="19:29">
      <c r="S568" t="s">
        <v>537</v>
      </c>
      <c r="T568" t="s">
        <v>863</v>
      </c>
      <c r="U568" s="30">
        <v>5</v>
      </c>
      <c r="V568" t="s">
        <v>252</v>
      </c>
      <c r="W568" s="38" t="s">
        <v>841</v>
      </c>
      <c r="X568" s="7"/>
    </row>
    <row r="569" spans="19:29">
      <c r="S569" t="s">
        <v>537</v>
      </c>
      <c r="T569" t="s">
        <v>863</v>
      </c>
      <c r="U569" s="30">
        <v>5</v>
      </c>
      <c r="V569" t="s">
        <v>252</v>
      </c>
      <c r="W569" t="s">
        <v>843</v>
      </c>
      <c r="X569" s="7"/>
    </row>
    <row r="570" spans="19:29">
      <c r="S570" t="s">
        <v>537</v>
      </c>
      <c r="T570" t="s">
        <v>863</v>
      </c>
      <c r="U570" s="30">
        <v>5</v>
      </c>
      <c r="V570" t="s">
        <v>252</v>
      </c>
      <c r="W570" t="s">
        <v>845</v>
      </c>
    </row>
    <row r="571" spans="19:29">
      <c r="S571" t="s">
        <v>537</v>
      </c>
      <c r="T571" t="s">
        <v>864</v>
      </c>
      <c r="U571" s="38">
        <v>1</v>
      </c>
      <c r="V571" t="s">
        <v>252</v>
      </c>
      <c r="W571" t="s">
        <v>631</v>
      </c>
    </row>
    <row r="572" spans="19:29">
      <c r="S572" t="s">
        <v>537</v>
      </c>
      <c r="T572" t="s">
        <v>864</v>
      </c>
      <c r="U572" s="38">
        <v>1</v>
      </c>
      <c r="V572" t="s">
        <v>252</v>
      </c>
      <c r="W572" s="38" t="s">
        <v>430</v>
      </c>
    </row>
    <row r="573" spans="19:29">
      <c r="S573" t="s">
        <v>537</v>
      </c>
      <c r="T573" t="s">
        <v>864</v>
      </c>
      <c r="U573" s="38">
        <v>1</v>
      </c>
      <c r="V573" t="s">
        <v>252</v>
      </c>
      <c r="W573" s="38" t="s">
        <v>432</v>
      </c>
      <c r="Y573" s="7"/>
      <c r="Z573" s="7"/>
      <c r="AA573" s="7"/>
      <c r="AB573" s="7"/>
      <c r="AC573" s="7"/>
    </row>
    <row r="574" spans="19:29">
      <c r="S574" t="s">
        <v>537</v>
      </c>
      <c r="T574" t="s">
        <v>864</v>
      </c>
      <c r="U574" s="38">
        <v>1</v>
      </c>
      <c r="V574" t="s">
        <v>252</v>
      </c>
      <c r="W574" s="38" t="s">
        <v>841</v>
      </c>
      <c r="Z574" s="7"/>
      <c r="AA574" s="7"/>
      <c r="AB574" s="7"/>
      <c r="AC574" s="7"/>
    </row>
    <row r="575" spans="19:29">
      <c r="S575" t="s">
        <v>537</v>
      </c>
      <c r="T575" t="s">
        <v>864</v>
      </c>
      <c r="U575" s="38">
        <v>1</v>
      </c>
      <c r="V575" t="s">
        <v>252</v>
      </c>
      <c r="W575" t="s">
        <v>843</v>
      </c>
      <c r="Z575" s="7"/>
      <c r="AA575" s="7"/>
      <c r="AB575" s="7"/>
      <c r="AC575" s="7"/>
    </row>
    <row r="576" spans="19:29">
      <c r="S576" t="s">
        <v>537</v>
      </c>
      <c r="T576" t="s">
        <v>864</v>
      </c>
      <c r="U576" s="38">
        <v>1</v>
      </c>
      <c r="V576" t="s">
        <v>252</v>
      </c>
      <c r="W576" t="s">
        <v>845</v>
      </c>
      <c r="Y576" s="7"/>
      <c r="Z576" s="7"/>
      <c r="AA576" s="7"/>
      <c r="AB576" s="7"/>
      <c r="AC576" s="7"/>
    </row>
    <row r="577" spans="19:29">
      <c r="S577" t="s">
        <v>537</v>
      </c>
      <c r="T577" t="s">
        <v>864</v>
      </c>
      <c r="U577" s="41">
        <v>2</v>
      </c>
      <c r="V577" t="s">
        <v>252</v>
      </c>
      <c r="W577" t="s">
        <v>631</v>
      </c>
      <c r="Y577" s="7"/>
      <c r="Z577" s="7"/>
      <c r="AA577" s="7"/>
      <c r="AB577" s="7"/>
      <c r="AC577" s="7"/>
    </row>
    <row r="578" spans="19:29">
      <c r="S578" t="s">
        <v>537</v>
      </c>
      <c r="T578" t="s">
        <v>864</v>
      </c>
      <c r="U578" s="41">
        <v>2</v>
      </c>
      <c r="V578" t="s">
        <v>252</v>
      </c>
      <c r="W578" s="38" t="s">
        <v>430</v>
      </c>
      <c r="Y578" s="7"/>
      <c r="Z578" s="7"/>
      <c r="AA578" s="7"/>
      <c r="AB578" s="7"/>
      <c r="AC578" s="7"/>
    </row>
    <row r="579" spans="19:29">
      <c r="S579" t="s">
        <v>537</v>
      </c>
      <c r="T579" t="s">
        <v>864</v>
      </c>
      <c r="U579" s="41">
        <v>2</v>
      </c>
      <c r="V579" t="s">
        <v>252</v>
      </c>
      <c r="W579" s="38" t="s">
        <v>432</v>
      </c>
    </row>
    <row r="580" spans="19:29">
      <c r="S580" t="s">
        <v>537</v>
      </c>
      <c r="T580" t="s">
        <v>864</v>
      </c>
      <c r="U580" s="41">
        <v>2</v>
      </c>
      <c r="V580" t="s">
        <v>252</v>
      </c>
      <c r="W580" s="38" t="s">
        <v>841</v>
      </c>
    </row>
    <row r="581" spans="19:29">
      <c r="S581" t="s">
        <v>537</v>
      </c>
      <c r="T581" t="s">
        <v>864</v>
      </c>
      <c r="U581" s="41">
        <v>2</v>
      </c>
      <c r="V581" t="s">
        <v>252</v>
      </c>
      <c r="W581" t="s">
        <v>843</v>
      </c>
    </row>
    <row r="582" spans="19:29">
      <c r="S582" t="s">
        <v>537</v>
      </c>
      <c r="T582" t="s">
        <v>864</v>
      </c>
      <c r="U582" s="41">
        <v>2</v>
      </c>
      <c r="V582" t="s">
        <v>252</v>
      </c>
      <c r="W582" t="s">
        <v>845</v>
      </c>
    </row>
    <row r="583" spans="19:29">
      <c r="S583" t="s">
        <v>537</v>
      </c>
      <c r="T583" t="s">
        <v>864</v>
      </c>
      <c r="U583" s="41">
        <v>3</v>
      </c>
      <c r="V583" t="s">
        <v>252</v>
      </c>
      <c r="W583" t="s">
        <v>631</v>
      </c>
    </row>
    <row r="584" spans="19:29">
      <c r="S584" t="s">
        <v>537</v>
      </c>
      <c r="T584" t="s">
        <v>864</v>
      </c>
      <c r="U584" s="41">
        <v>3</v>
      </c>
      <c r="V584" t="s">
        <v>252</v>
      </c>
      <c r="W584" s="38" t="s">
        <v>430</v>
      </c>
    </row>
    <row r="585" spans="19:29">
      <c r="S585" t="s">
        <v>537</v>
      </c>
      <c r="T585" t="s">
        <v>864</v>
      </c>
      <c r="U585" s="30">
        <v>3</v>
      </c>
      <c r="V585" t="s">
        <v>252</v>
      </c>
      <c r="W585" s="38" t="s">
        <v>432</v>
      </c>
    </row>
    <row r="586" spans="19:29">
      <c r="S586" t="s">
        <v>537</v>
      </c>
      <c r="T586" t="s">
        <v>864</v>
      </c>
      <c r="U586" s="30">
        <v>3</v>
      </c>
      <c r="V586" t="s">
        <v>252</v>
      </c>
      <c r="W586" s="38" t="s">
        <v>841</v>
      </c>
    </row>
    <row r="587" spans="19:29">
      <c r="S587" t="s">
        <v>537</v>
      </c>
      <c r="T587" t="s">
        <v>864</v>
      </c>
      <c r="U587" s="30">
        <v>3</v>
      </c>
      <c r="V587" t="s">
        <v>252</v>
      </c>
      <c r="W587" t="s">
        <v>843</v>
      </c>
    </row>
    <row r="588" spans="19:29">
      <c r="S588" t="s">
        <v>537</v>
      </c>
      <c r="T588" t="s">
        <v>864</v>
      </c>
      <c r="U588" s="30">
        <v>3</v>
      </c>
      <c r="V588" t="s">
        <v>252</v>
      </c>
      <c r="W588" t="s">
        <v>845</v>
      </c>
    </row>
    <row r="589" spans="19:29">
      <c r="S589" t="s">
        <v>537</v>
      </c>
      <c r="T589" t="s">
        <v>864</v>
      </c>
      <c r="U589" s="30">
        <v>4</v>
      </c>
      <c r="V589" t="s">
        <v>252</v>
      </c>
      <c r="W589" t="s">
        <v>631</v>
      </c>
    </row>
    <row r="590" spans="19:29">
      <c r="S590" t="s">
        <v>537</v>
      </c>
      <c r="T590" t="s">
        <v>864</v>
      </c>
      <c r="U590" s="30">
        <v>4</v>
      </c>
      <c r="V590" t="s">
        <v>252</v>
      </c>
      <c r="W590" s="38" t="s">
        <v>430</v>
      </c>
    </row>
    <row r="591" spans="19:29">
      <c r="S591" t="s">
        <v>537</v>
      </c>
      <c r="T591" t="s">
        <v>864</v>
      </c>
      <c r="U591" s="30">
        <v>4</v>
      </c>
      <c r="V591" t="s">
        <v>252</v>
      </c>
      <c r="W591" s="38" t="s">
        <v>432</v>
      </c>
    </row>
    <row r="592" spans="19:29">
      <c r="S592" t="s">
        <v>537</v>
      </c>
      <c r="T592" t="s">
        <v>864</v>
      </c>
      <c r="U592" s="30">
        <v>4</v>
      </c>
      <c r="V592" t="s">
        <v>252</v>
      </c>
      <c r="W592" s="38" t="s">
        <v>841</v>
      </c>
    </row>
    <row r="593" spans="19:24">
      <c r="S593" t="s">
        <v>537</v>
      </c>
      <c r="T593" t="s">
        <v>864</v>
      </c>
      <c r="U593" s="30">
        <v>4</v>
      </c>
      <c r="V593" t="s">
        <v>252</v>
      </c>
      <c r="W593" t="s">
        <v>843</v>
      </c>
    </row>
    <row r="594" spans="19:24">
      <c r="S594" t="s">
        <v>537</v>
      </c>
      <c r="T594" t="s">
        <v>864</v>
      </c>
      <c r="U594" s="30">
        <v>4</v>
      </c>
      <c r="V594" t="s">
        <v>252</v>
      </c>
      <c r="W594" t="s">
        <v>845</v>
      </c>
    </row>
    <row r="595" spans="19:24">
      <c r="S595" t="s">
        <v>537</v>
      </c>
      <c r="T595" t="s">
        <v>779</v>
      </c>
      <c r="U595" s="38">
        <v>1</v>
      </c>
      <c r="V595" t="s">
        <v>252</v>
      </c>
      <c r="W595" t="s">
        <v>631</v>
      </c>
      <c r="X595" s="43"/>
    </row>
    <row r="596" spans="19:24">
      <c r="S596" t="s">
        <v>537</v>
      </c>
      <c r="T596" t="s">
        <v>779</v>
      </c>
      <c r="U596" s="38">
        <v>1</v>
      </c>
      <c r="V596" t="s">
        <v>252</v>
      </c>
      <c r="W596" s="38" t="s">
        <v>430</v>
      </c>
      <c r="X596" s="43"/>
    </row>
    <row r="597" spans="19:24">
      <c r="S597" t="s">
        <v>537</v>
      </c>
      <c r="T597" t="s">
        <v>779</v>
      </c>
      <c r="U597" s="38">
        <v>1</v>
      </c>
      <c r="V597" t="s">
        <v>252</v>
      </c>
      <c r="W597" s="38" t="s">
        <v>432</v>
      </c>
      <c r="X597" s="43"/>
    </row>
    <row r="598" spans="19:24">
      <c r="S598" t="s">
        <v>537</v>
      </c>
      <c r="T598" t="s">
        <v>779</v>
      </c>
      <c r="U598" s="38">
        <v>1</v>
      </c>
      <c r="V598" t="s">
        <v>252</v>
      </c>
      <c r="W598" s="38" t="s">
        <v>841</v>
      </c>
      <c r="X598" s="43"/>
    </row>
    <row r="599" spans="19:24">
      <c r="S599" t="s">
        <v>537</v>
      </c>
      <c r="T599" t="s">
        <v>779</v>
      </c>
      <c r="U599" s="38">
        <v>1</v>
      </c>
      <c r="V599" t="s">
        <v>252</v>
      </c>
      <c r="W599" t="s">
        <v>843</v>
      </c>
      <c r="X599" s="43"/>
    </row>
    <row r="600" spans="19:24">
      <c r="S600" t="s">
        <v>537</v>
      </c>
      <c r="T600" t="s">
        <v>779</v>
      </c>
      <c r="U600" s="38">
        <v>1</v>
      </c>
      <c r="V600" t="s">
        <v>252</v>
      </c>
      <c r="W600" t="s">
        <v>845</v>
      </c>
      <c r="X600" s="43"/>
    </row>
    <row r="601" spans="19:24">
      <c r="S601" t="s">
        <v>537</v>
      </c>
      <c r="T601" t="s">
        <v>779</v>
      </c>
      <c r="U601" s="41">
        <v>2</v>
      </c>
      <c r="V601" t="s">
        <v>252</v>
      </c>
      <c r="W601" t="s">
        <v>631</v>
      </c>
      <c r="X601" s="7">
        <v>1</v>
      </c>
    </row>
    <row r="602" spans="19:24">
      <c r="S602" t="s">
        <v>537</v>
      </c>
      <c r="T602" t="s">
        <v>779</v>
      </c>
      <c r="U602" s="41">
        <v>2</v>
      </c>
      <c r="V602" t="s">
        <v>252</v>
      </c>
      <c r="W602" s="38" t="s">
        <v>430</v>
      </c>
      <c r="X602" s="7"/>
    </row>
    <row r="603" spans="19:24">
      <c r="S603" t="s">
        <v>537</v>
      </c>
      <c r="T603" t="s">
        <v>779</v>
      </c>
      <c r="U603" s="41">
        <v>2</v>
      </c>
      <c r="V603" t="s">
        <v>252</v>
      </c>
      <c r="W603" s="38" t="s">
        <v>432</v>
      </c>
      <c r="X603" s="7"/>
    </row>
    <row r="604" spans="19:24">
      <c r="S604" t="s">
        <v>537</v>
      </c>
      <c r="T604" t="s">
        <v>779</v>
      </c>
      <c r="U604" s="41">
        <v>2</v>
      </c>
      <c r="V604" t="s">
        <v>252</v>
      </c>
      <c r="W604" s="38" t="s">
        <v>841</v>
      </c>
      <c r="X604" s="7"/>
    </row>
    <row r="605" spans="19:24">
      <c r="S605" t="s">
        <v>537</v>
      </c>
      <c r="T605" t="s">
        <v>779</v>
      </c>
      <c r="U605" s="41">
        <v>2</v>
      </c>
      <c r="V605" t="s">
        <v>252</v>
      </c>
      <c r="W605" t="s">
        <v>843</v>
      </c>
      <c r="X605" s="7"/>
    </row>
    <row r="606" spans="19:24">
      <c r="S606" t="s">
        <v>537</v>
      </c>
      <c r="T606" t="s">
        <v>779</v>
      </c>
      <c r="U606" s="41">
        <v>2</v>
      </c>
      <c r="V606" t="s">
        <v>252</v>
      </c>
      <c r="W606" t="s">
        <v>845</v>
      </c>
    </row>
    <row r="607" spans="19:24">
      <c r="S607" t="s">
        <v>537</v>
      </c>
      <c r="T607" t="s">
        <v>779</v>
      </c>
      <c r="U607" s="41">
        <v>3</v>
      </c>
      <c r="V607" t="s">
        <v>252</v>
      </c>
      <c r="W607" t="s">
        <v>631</v>
      </c>
    </row>
    <row r="608" spans="19:24">
      <c r="S608" t="s">
        <v>537</v>
      </c>
      <c r="T608" t="s">
        <v>779</v>
      </c>
      <c r="U608" s="41">
        <v>3</v>
      </c>
      <c r="V608" t="s">
        <v>252</v>
      </c>
      <c r="W608" s="38" t="s">
        <v>430</v>
      </c>
    </row>
    <row r="609" spans="19:30">
      <c r="S609" t="s">
        <v>537</v>
      </c>
      <c r="T609" t="s">
        <v>779</v>
      </c>
      <c r="U609" s="30">
        <v>3</v>
      </c>
      <c r="V609" t="s">
        <v>252</v>
      </c>
      <c r="W609" s="38" t="s">
        <v>432</v>
      </c>
      <c r="Z609" s="7"/>
      <c r="AB609" s="7"/>
      <c r="AC609" s="7"/>
      <c r="AD609" s="7"/>
    </row>
    <row r="610" spans="19:30">
      <c r="S610" t="s">
        <v>537</v>
      </c>
      <c r="T610" t="s">
        <v>779</v>
      </c>
      <c r="U610" s="30">
        <v>3</v>
      </c>
      <c r="V610" t="s">
        <v>252</v>
      </c>
      <c r="W610" s="38" t="s">
        <v>841</v>
      </c>
      <c r="Z610" s="7"/>
      <c r="AA610" s="7"/>
      <c r="AB610" s="7"/>
      <c r="AC610" s="7"/>
      <c r="AD610" s="7"/>
    </row>
    <row r="611" spans="19:30">
      <c r="S611" t="s">
        <v>537</v>
      </c>
      <c r="T611" t="s">
        <v>779</v>
      </c>
      <c r="U611" s="30">
        <v>3</v>
      </c>
      <c r="V611" t="s">
        <v>252</v>
      </c>
      <c r="W611" t="s">
        <v>843</v>
      </c>
      <c r="Z611" s="7"/>
      <c r="AA611" s="7"/>
      <c r="AB611" s="7"/>
      <c r="AC611" s="7"/>
      <c r="AD611" s="7"/>
    </row>
    <row r="612" spans="19:30">
      <c r="S612" t="s">
        <v>537</v>
      </c>
      <c r="T612" t="s">
        <v>779</v>
      </c>
      <c r="U612" s="30">
        <v>3</v>
      </c>
      <c r="V612" t="s">
        <v>252</v>
      </c>
      <c r="W612" t="s">
        <v>845</v>
      </c>
      <c r="Z612" s="7"/>
      <c r="AA612" s="7"/>
      <c r="AB612" s="7"/>
      <c r="AC612" s="7"/>
      <c r="AD612" s="7"/>
    </row>
    <row r="613" spans="19:30">
      <c r="S613" t="s">
        <v>537</v>
      </c>
      <c r="T613" t="s">
        <v>779</v>
      </c>
      <c r="U613" s="30">
        <v>4</v>
      </c>
      <c r="V613" t="s">
        <v>252</v>
      </c>
      <c r="W613" t="s">
        <v>631</v>
      </c>
      <c r="X613">
        <v>2</v>
      </c>
      <c r="Z613" s="7"/>
      <c r="AA613" s="7"/>
      <c r="AB613" s="7"/>
      <c r="AC613" s="7"/>
      <c r="AD613" s="7"/>
    </row>
    <row r="614" spans="19:30">
      <c r="S614" t="s">
        <v>537</v>
      </c>
      <c r="T614" t="s">
        <v>779</v>
      </c>
      <c r="U614" s="30">
        <v>4</v>
      </c>
      <c r="V614" t="s">
        <v>252</v>
      </c>
      <c r="W614" s="38" t="s">
        <v>430</v>
      </c>
      <c r="Z614" s="7"/>
      <c r="AA614" s="7"/>
      <c r="AB614" s="7"/>
      <c r="AC614" s="7"/>
      <c r="AD614" s="7"/>
    </row>
    <row r="615" spans="19:30">
      <c r="S615" t="s">
        <v>537</v>
      </c>
      <c r="T615" t="s">
        <v>779</v>
      </c>
      <c r="U615" s="30">
        <v>4</v>
      </c>
      <c r="V615" t="s">
        <v>252</v>
      </c>
      <c r="W615" s="38" t="s">
        <v>432</v>
      </c>
    </row>
    <row r="616" spans="19:30">
      <c r="S616" t="s">
        <v>537</v>
      </c>
      <c r="T616" t="s">
        <v>779</v>
      </c>
      <c r="U616" s="30">
        <v>4</v>
      </c>
      <c r="V616" t="s">
        <v>252</v>
      </c>
      <c r="W616" s="38" t="s">
        <v>841</v>
      </c>
    </row>
    <row r="617" spans="19:30">
      <c r="S617" t="s">
        <v>537</v>
      </c>
      <c r="T617" t="s">
        <v>779</v>
      </c>
      <c r="U617" s="30">
        <v>4</v>
      </c>
      <c r="V617" t="s">
        <v>252</v>
      </c>
      <c r="W617" t="s">
        <v>843</v>
      </c>
    </row>
    <row r="618" spans="19:30">
      <c r="S618" t="s">
        <v>537</v>
      </c>
      <c r="T618" t="s">
        <v>779</v>
      </c>
      <c r="U618" s="30">
        <v>4</v>
      </c>
      <c r="V618" t="s">
        <v>252</v>
      </c>
      <c r="W618" t="s">
        <v>845</v>
      </c>
    </row>
    <row r="619" spans="19:30">
      <c r="S619" t="s">
        <v>537</v>
      </c>
      <c r="T619" t="s">
        <v>779</v>
      </c>
      <c r="U619" s="30">
        <v>5</v>
      </c>
      <c r="V619" t="s">
        <v>252</v>
      </c>
      <c r="W619" t="s">
        <v>631</v>
      </c>
      <c r="X619" s="7">
        <v>1</v>
      </c>
    </row>
    <row r="620" spans="19:30">
      <c r="S620" t="s">
        <v>537</v>
      </c>
      <c r="T620" t="s">
        <v>779</v>
      </c>
      <c r="U620" s="30">
        <v>5</v>
      </c>
      <c r="V620" t="s">
        <v>252</v>
      </c>
      <c r="W620" s="38" t="s">
        <v>430</v>
      </c>
      <c r="X620" s="7"/>
    </row>
    <row r="621" spans="19:30">
      <c r="S621" t="s">
        <v>537</v>
      </c>
      <c r="T621" t="s">
        <v>779</v>
      </c>
      <c r="U621" s="30">
        <v>5</v>
      </c>
      <c r="V621" t="s">
        <v>252</v>
      </c>
      <c r="W621" s="38" t="s">
        <v>432</v>
      </c>
      <c r="X621" s="7"/>
    </row>
    <row r="622" spans="19:30">
      <c r="S622" t="s">
        <v>537</v>
      </c>
      <c r="T622" t="s">
        <v>779</v>
      </c>
      <c r="U622" s="30">
        <v>5</v>
      </c>
      <c r="V622" t="s">
        <v>252</v>
      </c>
      <c r="W622" s="38" t="s">
        <v>841</v>
      </c>
      <c r="X622" s="7"/>
    </row>
    <row r="623" spans="19:30">
      <c r="S623" t="s">
        <v>537</v>
      </c>
      <c r="T623" t="s">
        <v>779</v>
      </c>
      <c r="U623" s="30">
        <v>5</v>
      </c>
      <c r="V623" t="s">
        <v>252</v>
      </c>
      <c r="W623" t="s">
        <v>843</v>
      </c>
      <c r="X623" s="7"/>
    </row>
    <row r="624" spans="19:30">
      <c r="S624" t="s">
        <v>537</v>
      </c>
      <c r="T624" t="s">
        <v>779</v>
      </c>
      <c r="U624" s="30">
        <v>5</v>
      </c>
      <c r="V624" t="s">
        <v>252</v>
      </c>
      <c r="W624" t="s">
        <v>845</v>
      </c>
      <c r="X624" s="7"/>
    </row>
    <row r="625" spans="19:24">
      <c r="S625" t="s">
        <v>778</v>
      </c>
      <c r="T625" t="s">
        <v>867</v>
      </c>
      <c r="U625" s="38">
        <v>1</v>
      </c>
      <c r="V625" t="s">
        <v>252</v>
      </c>
      <c r="W625" t="s">
        <v>631</v>
      </c>
      <c r="X625" s="43"/>
    </row>
    <row r="626" spans="19:24">
      <c r="S626" t="s">
        <v>778</v>
      </c>
      <c r="T626" t="s">
        <v>867</v>
      </c>
      <c r="U626" s="38">
        <v>1</v>
      </c>
      <c r="V626" t="s">
        <v>252</v>
      </c>
      <c r="W626" s="38" t="s">
        <v>430</v>
      </c>
      <c r="X626" s="43"/>
    </row>
    <row r="627" spans="19:24">
      <c r="S627" t="s">
        <v>778</v>
      </c>
      <c r="T627" t="s">
        <v>867</v>
      </c>
      <c r="U627" s="38">
        <v>1</v>
      </c>
      <c r="V627" t="s">
        <v>252</v>
      </c>
      <c r="W627" s="38" t="s">
        <v>432</v>
      </c>
      <c r="X627" s="43"/>
    </row>
    <row r="628" spans="19:24">
      <c r="S628" t="s">
        <v>778</v>
      </c>
      <c r="T628" t="s">
        <v>867</v>
      </c>
      <c r="U628" s="38">
        <v>1</v>
      </c>
      <c r="V628" t="s">
        <v>252</v>
      </c>
      <c r="W628" s="38" t="s">
        <v>841</v>
      </c>
      <c r="X628" s="43"/>
    </row>
    <row r="629" spans="19:24">
      <c r="S629" t="s">
        <v>778</v>
      </c>
      <c r="T629" t="s">
        <v>867</v>
      </c>
      <c r="U629" s="38">
        <v>1</v>
      </c>
      <c r="V629" t="s">
        <v>252</v>
      </c>
      <c r="W629" t="s">
        <v>843</v>
      </c>
      <c r="X629" s="43"/>
    </row>
    <row r="630" spans="19:24">
      <c r="S630" t="s">
        <v>778</v>
      </c>
      <c r="T630" t="s">
        <v>867</v>
      </c>
      <c r="U630" s="38">
        <v>1</v>
      </c>
      <c r="V630" t="s">
        <v>252</v>
      </c>
      <c r="W630" t="s">
        <v>845</v>
      </c>
      <c r="X630" s="43"/>
    </row>
    <row r="631" spans="19:24">
      <c r="S631" t="s">
        <v>778</v>
      </c>
      <c r="T631" t="s">
        <v>867</v>
      </c>
      <c r="U631" s="41">
        <v>2</v>
      </c>
      <c r="V631" t="s">
        <v>252</v>
      </c>
      <c r="W631" t="s">
        <v>631</v>
      </c>
    </row>
    <row r="632" spans="19:24">
      <c r="S632" t="s">
        <v>778</v>
      </c>
      <c r="T632" t="s">
        <v>867</v>
      </c>
      <c r="U632" s="41">
        <v>2</v>
      </c>
      <c r="V632" t="s">
        <v>252</v>
      </c>
      <c r="W632" s="38" t="s">
        <v>430</v>
      </c>
      <c r="X632" t="s">
        <v>782</v>
      </c>
    </row>
    <row r="633" spans="19:24">
      <c r="S633" t="s">
        <v>778</v>
      </c>
      <c r="T633" t="s">
        <v>867</v>
      </c>
      <c r="U633" s="41">
        <v>2</v>
      </c>
      <c r="V633" t="s">
        <v>252</v>
      </c>
      <c r="W633" s="38" t="s">
        <v>432</v>
      </c>
      <c r="X633" t="s">
        <v>783</v>
      </c>
    </row>
    <row r="634" spans="19:24">
      <c r="S634" t="s">
        <v>778</v>
      </c>
      <c r="T634" t="s">
        <v>867</v>
      </c>
      <c r="U634" s="41">
        <v>2</v>
      </c>
      <c r="V634" t="s">
        <v>252</v>
      </c>
      <c r="W634" s="38" t="s">
        <v>841</v>
      </c>
      <c r="X634">
        <v>2</v>
      </c>
    </row>
    <row r="635" spans="19:24">
      <c r="S635" t="s">
        <v>778</v>
      </c>
      <c r="T635" t="s">
        <v>867</v>
      </c>
      <c r="U635" s="41">
        <v>2</v>
      </c>
      <c r="V635" t="s">
        <v>252</v>
      </c>
      <c r="W635" t="s">
        <v>843</v>
      </c>
    </row>
    <row r="636" spans="19:24">
      <c r="S636" t="s">
        <v>778</v>
      </c>
      <c r="T636" t="s">
        <v>867</v>
      </c>
      <c r="U636" s="41">
        <v>2</v>
      </c>
      <c r="V636" t="s">
        <v>252</v>
      </c>
      <c r="W636" t="s">
        <v>845</v>
      </c>
    </row>
    <row r="637" spans="19:24">
      <c r="S637" t="s">
        <v>778</v>
      </c>
      <c r="T637" t="s">
        <v>867</v>
      </c>
      <c r="U637" s="41">
        <v>3</v>
      </c>
      <c r="V637" t="s">
        <v>252</v>
      </c>
      <c r="W637" t="s">
        <v>631</v>
      </c>
      <c r="X637">
        <v>4</v>
      </c>
    </row>
    <row r="638" spans="19:24">
      <c r="S638" t="s">
        <v>778</v>
      </c>
      <c r="T638" t="s">
        <v>867</v>
      </c>
      <c r="U638" s="41">
        <v>3</v>
      </c>
      <c r="V638" t="s">
        <v>252</v>
      </c>
      <c r="W638" s="38" t="s">
        <v>430</v>
      </c>
      <c r="X638">
        <v>2</v>
      </c>
    </row>
    <row r="639" spans="19:24">
      <c r="S639" t="s">
        <v>778</v>
      </c>
      <c r="T639" t="s">
        <v>867</v>
      </c>
      <c r="U639" s="30">
        <v>3</v>
      </c>
      <c r="V639" t="s">
        <v>252</v>
      </c>
      <c r="W639" s="38" t="s">
        <v>432</v>
      </c>
      <c r="X639">
        <v>1</v>
      </c>
    </row>
    <row r="640" spans="19:24">
      <c r="S640" t="s">
        <v>778</v>
      </c>
      <c r="T640" t="s">
        <v>867</v>
      </c>
      <c r="U640" s="30">
        <v>3</v>
      </c>
      <c r="V640" t="s">
        <v>252</v>
      </c>
      <c r="W640" s="38" t="s">
        <v>841</v>
      </c>
      <c r="X640">
        <v>1</v>
      </c>
    </row>
    <row r="641" spans="19:31">
      <c r="S641" t="s">
        <v>778</v>
      </c>
      <c r="T641" t="s">
        <v>867</v>
      </c>
      <c r="U641" s="30">
        <v>3</v>
      </c>
      <c r="V641" t="s">
        <v>252</v>
      </c>
      <c r="W641" t="s">
        <v>843</v>
      </c>
    </row>
    <row r="642" spans="19:31">
      <c r="S642" t="s">
        <v>778</v>
      </c>
      <c r="T642" t="s">
        <v>867</v>
      </c>
      <c r="U642" s="30">
        <v>3</v>
      </c>
      <c r="V642" t="s">
        <v>252</v>
      </c>
      <c r="W642" t="s">
        <v>845</v>
      </c>
    </row>
    <row r="643" spans="19:31">
      <c r="S643" t="s">
        <v>778</v>
      </c>
      <c r="T643" t="s">
        <v>867</v>
      </c>
      <c r="U643" s="30">
        <v>4</v>
      </c>
      <c r="V643" t="s">
        <v>252</v>
      </c>
      <c r="W643" t="s">
        <v>631</v>
      </c>
      <c r="X643">
        <v>1</v>
      </c>
    </row>
    <row r="644" spans="19:31">
      <c r="S644" t="s">
        <v>778</v>
      </c>
      <c r="T644" t="s">
        <v>867</v>
      </c>
      <c r="U644" s="30">
        <v>4</v>
      </c>
      <c r="V644" t="s">
        <v>252</v>
      </c>
      <c r="W644" s="38" t="s">
        <v>430</v>
      </c>
      <c r="X644">
        <v>1</v>
      </c>
    </row>
    <row r="645" spans="19:31">
      <c r="S645" t="s">
        <v>778</v>
      </c>
      <c r="T645" t="s">
        <v>867</v>
      </c>
      <c r="U645" s="30">
        <v>4</v>
      </c>
      <c r="V645" t="s">
        <v>252</v>
      </c>
      <c r="W645" s="38" t="s">
        <v>432</v>
      </c>
    </row>
    <row r="646" spans="19:31">
      <c r="S646" t="s">
        <v>778</v>
      </c>
      <c r="T646" t="s">
        <v>867</v>
      </c>
      <c r="U646" s="30">
        <v>4</v>
      </c>
      <c r="V646" t="s">
        <v>252</v>
      </c>
      <c r="W646" s="38" t="s">
        <v>841</v>
      </c>
    </row>
    <row r="647" spans="19:31">
      <c r="S647" t="s">
        <v>778</v>
      </c>
      <c r="T647" t="s">
        <v>867</v>
      </c>
      <c r="U647" s="30">
        <v>4</v>
      </c>
      <c r="V647" t="s">
        <v>252</v>
      </c>
      <c r="W647" t="s">
        <v>843</v>
      </c>
    </row>
    <row r="648" spans="19:31">
      <c r="S648" t="s">
        <v>778</v>
      </c>
      <c r="T648" t="s">
        <v>867</v>
      </c>
      <c r="U648" s="30">
        <v>4</v>
      </c>
      <c r="V648" t="s">
        <v>252</v>
      </c>
      <c r="W648" t="s">
        <v>845</v>
      </c>
    </row>
    <row r="649" spans="19:31">
      <c r="S649" t="s">
        <v>778</v>
      </c>
      <c r="T649" t="s">
        <v>867</v>
      </c>
      <c r="U649" s="30">
        <v>5</v>
      </c>
      <c r="V649" t="s">
        <v>252</v>
      </c>
      <c r="W649" t="s">
        <v>631</v>
      </c>
    </row>
    <row r="650" spans="19:31">
      <c r="S650" t="s">
        <v>778</v>
      </c>
      <c r="T650" t="s">
        <v>867</v>
      </c>
      <c r="U650" s="30">
        <v>5</v>
      </c>
      <c r="V650" t="s">
        <v>252</v>
      </c>
      <c r="W650" s="38" t="s">
        <v>430</v>
      </c>
      <c r="X650">
        <v>1</v>
      </c>
    </row>
    <row r="651" spans="19:31">
      <c r="S651" t="s">
        <v>778</v>
      </c>
      <c r="T651" t="s">
        <v>867</v>
      </c>
      <c r="U651" s="30">
        <v>5</v>
      </c>
      <c r="V651" t="s">
        <v>252</v>
      </c>
      <c r="W651" s="38" t="s">
        <v>432</v>
      </c>
      <c r="Z651" s="7"/>
      <c r="AA651" s="7"/>
      <c r="AB651" s="7"/>
      <c r="AC651" s="7"/>
      <c r="AD651" s="7"/>
    </row>
    <row r="652" spans="19:31">
      <c r="S652" t="s">
        <v>778</v>
      </c>
      <c r="T652" t="s">
        <v>867</v>
      </c>
      <c r="U652" s="30">
        <v>5</v>
      </c>
      <c r="V652" t="s">
        <v>252</v>
      </c>
      <c r="W652" s="38" t="s">
        <v>841</v>
      </c>
      <c r="Z652" s="7"/>
      <c r="AA652" s="7"/>
      <c r="AB652" s="7"/>
      <c r="AC652" s="7"/>
      <c r="AD652" s="7"/>
      <c r="AE652" s="7"/>
    </row>
    <row r="653" spans="19:31">
      <c r="S653" t="s">
        <v>778</v>
      </c>
      <c r="T653" t="s">
        <v>867</v>
      </c>
      <c r="U653" s="30">
        <v>5</v>
      </c>
      <c r="V653" t="s">
        <v>252</v>
      </c>
      <c r="W653" t="s">
        <v>843</v>
      </c>
      <c r="Z653" s="7"/>
      <c r="AA653" s="7"/>
      <c r="AB653" s="7"/>
      <c r="AC653" s="7"/>
      <c r="AD653" s="7"/>
      <c r="AE653" s="7"/>
    </row>
    <row r="654" spans="19:31">
      <c r="S654" t="s">
        <v>778</v>
      </c>
      <c r="T654" t="s">
        <v>867</v>
      </c>
      <c r="U654" s="30">
        <v>5</v>
      </c>
      <c r="V654" t="s">
        <v>252</v>
      </c>
      <c r="W654" t="s">
        <v>845</v>
      </c>
      <c r="Z654" s="7"/>
      <c r="AA654" s="7"/>
      <c r="AB654" s="7"/>
      <c r="AC654" s="7"/>
      <c r="AD654" s="7"/>
      <c r="AE654" s="7"/>
    </row>
    <row r="655" spans="19:31">
      <c r="S655" t="s">
        <v>778</v>
      </c>
      <c r="T655" t="s">
        <v>867</v>
      </c>
      <c r="U655" s="30">
        <v>6</v>
      </c>
      <c r="V655" t="s">
        <v>252</v>
      </c>
      <c r="W655" t="s">
        <v>631</v>
      </c>
      <c r="X655" s="7"/>
      <c r="Z655" s="7"/>
      <c r="AA655" s="7"/>
      <c r="AB655" s="7"/>
      <c r="AC655" s="7"/>
      <c r="AD655" s="7"/>
      <c r="AE655" s="7"/>
    </row>
    <row r="656" spans="19:31">
      <c r="S656" t="s">
        <v>778</v>
      </c>
      <c r="T656" t="s">
        <v>867</v>
      </c>
      <c r="U656" s="30">
        <v>6</v>
      </c>
      <c r="V656" t="s">
        <v>252</v>
      </c>
      <c r="W656" s="38" t="s">
        <v>430</v>
      </c>
      <c r="X656" s="7">
        <v>1</v>
      </c>
      <c r="Z656" s="7"/>
      <c r="AA656" s="7"/>
      <c r="AB656" s="7"/>
      <c r="AC656" s="7"/>
      <c r="AD656" s="7"/>
      <c r="AE656" s="7"/>
    </row>
    <row r="657" spans="19:24">
      <c r="S657" t="s">
        <v>778</v>
      </c>
      <c r="T657" t="s">
        <v>867</v>
      </c>
      <c r="U657" s="30">
        <v>6</v>
      </c>
      <c r="V657" t="s">
        <v>252</v>
      </c>
      <c r="W657" s="38" t="s">
        <v>432</v>
      </c>
      <c r="X657" s="7"/>
    </row>
    <row r="658" spans="19:24">
      <c r="S658" t="s">
        <v>778</v>
      </c>
      <c r="T658" t="s">
        <v>867</v>
      </c>
      <c r="U658" s="30">
        <v>6</v>
      </c>
      <c r="V658" t="s">
        <v>252</v>
      </c>
      <c r="W658" s="38" t="s">
        <v>841</v>
      </c>
      <c r="X658" s="7"/>
    </row>
    <row r="659" spans="19:24">
      <c r="S659" t="s">
        <v>778</v>
      </c>
      <c r="T659" t="s">
        <v>867</v>
      </c>
      <c r="U659" s="30">
        <v>6</v>
      </c>
      <c r="V659" t="s">
        <v>252</v>
      </c>
      <c r="W659" t="s">
        <v>843</v>
      </c>
      <c r="X659" s="7"/>
    </row>
    <row r="660" spans="19:24">
      <c r="S660" t="s">
        <v>778</v>
      </c>
      <c r="T660" t="s">
        <v>867</v>
      </c>
      <c r="U660" s="30">
        <v>6</v>
      </c>
      <c r="V660" t="s">
        <v>252</v>
      </c>
      <c r="W660" t="s">
        <v>845</v>
      </c>
      <c r="X660" s="7"/>
    </row>
    <row r="661" spans="19:24">
      <c r="S661" t="s">
        <v>778</v>
      </c>
      <c r="T661" t="s">
        <v>780</v>
      </c>
      <c r="U661" s="38">
        <v>1</v>
      </c>
      <c r="V661" t="s">
        <v>252</v>
      </c>
      <c r="W661" t="s">
        <v>631</v>
      </c>
      <c r="X661" s="43"/>
    </row>
    <row r="662" spans="19:24">
      <c r="S662" t="s">
        <v>778</v>
      </c>
      <c r="T662" t="s">
        <v>780</v>
      </c>
      <c r="U662" s="38">
        <v>1</v>
      </c>
      <c r="V662" t="s">
        <v>252</v>
      </c>
      <c r="W662" s="38" t="s">
        <v>430</v>
      </c>
      <c r="X662" s="43">
        <v>2</v>
      </c>
    </row>
    <row r="663" spans="19:24">
      <c r="S663" t="s">
        <v>778</v>
      </c>
      <c r="T663" t="s">
        <v>780</v>
      </c>
      <c r="U663" s="38">
        <v>1</v>
      </c>
      <c r="V663" t="s">
        <v>252</v>
      </c>
      <c r="W663" s="38" t="s">
        <v>432</v>
      </c>
      <c r="X663" s="43">
        <v>2</v>
      </c>
    </row>
    <row r="664" spans="19:24">
      <c r="S664" t="s">
        <v>778</v>
      </c>
      <c r="T664" t="s">
        <v>780</v>
      </c>
      <c r="U664" s="38">
        <v>1</v>
      </c>
      <c r="V664" t="s">
        <v>252</v>
      </c>
      <c r="W664" s="38" t="s">
        <v>841</v>
      </c>
      <c r="X664" s="43"/>
    </row>
    <row r="665" spans="19:24">
      <c r="S665" t="s">
        <v>778</v>
      </c>
      <c r="T665" t="s">
        <v>780</v>
      </c>
      <c r="U665" s="38">
        <v>1</v>
      </c>
      <c r="V665" t="s">
        <v>252</v>
      </c>
      <c r="W665" t="s">
        <v>843</v>
      </c>
      <c r="X665" s="43">
        <v>3</v>
      </c>
    </row>
    <row r="666" spans="19:24">
      <c r="S666" t="s">
        <v>778</v>
      </c>
      <c r="T666" t="s">
        <v>780</v>
      </c>
      <c r="U666" s="38">
        <v>1</v>
      </c>
      <c r="V666" t="s">
        <v>252</v>
      </c>
      <c r="W666" t="s">
        <v>845</v>
      </c>
      <c r="X666" s="43">
        <v>2</v>
      </c>
    </row>
    <row r="667" spans="19:24">
      <c r="S667" t="s">
        <v>778</v>
      </c>
      <c r="T667" t="s">
        <v>780</v>
      </c>
      <c r="U667" s="41">
        <v>2</v>
      </c>
      <c r="V667" t="s">
        <v>252</v>
      </c>
      <c r="W667" t="s">
        <v>631</v>
      </c>
      <c r="X667" t="s">
        <v>583</v>
      </c>
    </row>
    <row r="668" spans="19:24">
      <c r="S668" t="s">
        <v>778</v>
      </c>
      <c r="T668" t="s">
        <v>780</v>
      </c>
      <c r="U668" s="41">
        <v>2</v>
      </c>
      <c r="V668" t="s">
        <v>252</v>
      </c>
      <c r="W668" s="38" t="s">
        <v>430</v>
      </c>
      <c r="X668" s="7">
        <v>4</v>
      </c>
    </row>
    <row r="669" spans="19:24">
      <c r="S669" t="s">
        <v>778</v>
      </c>
      <c r="T669" t="s">
        <v>780</v>
      </c>
      <c r="U669" s="41">
        <v>2</v>
      </c>
      <c r="V669" t="s">
        <v>252</v>
      </c>
      <c r="W669" s="38" t="s">
        <v>432</v>
      </c>
      <c r="X669" s="7">
        <v>1</v>
      </c>
    </row>
    <row r="670" spans="19:24">
      <c r="S670" t="s">
        <v>778</v>
      </c>
      <c r="T670" t="s">
        <v>780</v>
      </c>
      <c r="U670" s="41">
        <v>2</v>
      </c>
      <c r="V670" t="s">
        <v>252</v>
      </c>
      <c r="W670" s="38" t="s">
        <v>841</v>
      </c>
      <c r="X670" s="7"/>
    </row>
    <row r="671" spans="19:24">
      <c r="S671" t="s">
        <v>778</v>
      </c>
      <c r="T671" t="s">
        <v>780</v>
      </c>
      <c r="U671" s="41">
        <v>2</v>
      </c>
      <c r="V671" t="s">
        <v>252</v>
      </c>
      <c r="W671" t="s">
        <v>843</v>
      </c>
      <c r="X671" s="7">
        <v>1</v>
      </c>
    </row>
    <row r="672" spans="19:24">
      <c r="S672" t="s">
        <v>778</v>
      </c>
      <c r="T672" t="s">
        <v>780</v>
      </c>
      <c r="U672" s="41">
        <v>2</v>
      </c>
      <c r="V672" t="s">
        <v>252</v>
      </c>
      <c r="W672" t="s">
        <v>845</v>
      </c>
      <c r="X672" s="7">
        <v>1</v>
      </c>
    </row>
    <row r="673" spans="19:24">
      <c r="S673" t="s">
        <v>778</v>
      </c>
      <c r="T673" t="s">
        <v>780</v>
      </c>
      <c r="U673" s="41">
        <v>3</v>
      </c>
      <c r="V673" t="s">
        <v>252</v>
      </c>
      <c r="W673" t="s">
        <v>631</v>
      </c>
      <c r="X673" s="7">
        <v>1</v>
      </c>
    </row>
    <row r="674" spans="19:24">
      <c r="S674" t="s">
        <v>778</v>
      </c>
      <c r="T674" t="s">
        <v>780</v>
      </c>
      <c r="U674" s="41">
        <v>3</v>
      </c>
      <c r="V674" t="s">
        <v>252</v>
      </c>
      <c r="W674" s="38" t="s">
        <v>430</v>
      </c>
      <c r="X674" s="7">
        <v>2</v>
      </c>
    </row>
    <row r="675" spans="19:24">
      <c r="S675" t="s">
        <v>778</v>
      </c>
      <c r="T675" t="s">
        <v>780</v>
      </c>
      <c r="U675" s="30">
        <v>3</v>
      </c>
      <c r="V675" t="s">
        <v>252</v>
      </c>
      <c r="W675" s="38" t="s">
        <v>432</v>
      </c>
      <c r="X675" s="7">
        <v>1</v>
      </c>
    </row>
    <row r="676" spans="19:24">
      <c r="S676" t="s">
        <v>778</v>
      </c>
      <c r="T676" t="s">
        <v>780</v>
      </c>
      <c r="U676" s="30">
        <v>3</v>
      </c>
      <c r="V676" t="s">
        <v>252</v>
      </c>
      <c r="W676" s="38" t="s">
        <v>841</v>
      </c>
      <c r="X676" s="7"/>
    </row>
    <row r="677" spans="19:24">
      <c r="S677" t="s">
        <v>778</v>
      </c>
      <c r="T677" t="s">
        <v>780</v>
      </c>
      <c r="U677" s="30">
        <v>3</v>
      </c>
      <c r="V677" t="s">
        <v>252</v>
      </c>
      <c r="W677" t="s">
        <v>843</v>
      </c>
      <c r="X677" s="7"/>
    </row>
    <row r="678" spans="19:24">
      <c r="S678" t="s">
        <v>778</v>
      </c>
      <c r="T678" t="s">
        <v>780</v>
      </c>
      <c r="U678" s="30">
        <v>3</v>
      </c>
      <c r="V678" t="s">
        <v>252</v>
      </c>
      <c r="W678" t="s">
        <v>845</v>
      </c>
      <c r="X678" s="7"/>
    </row>
    <row r="679" spans="19:24">
      <c r="S679" t="s">
        <v>778</v>
      </c>
      <c r="T679" t="s">
        <v>780</v>
      </c>
      <c r="U679" s="30">
        <v>4</v>
      </c>
      <c r="V679" t="s">
        <v>252</v>
      </c>
      <c r="W679" t="s">
        <v>631</v>
      </c>
      <c r="X679" t="s">
        <v>596</v>
      </c>
    </row>
    <row r="680" spans="19:24">
      <c r="S680" t="s">
        <v>778</v>
      </c>
      <c r="T680" t="s">
        <v>780</v>
      </c>
      <c r="U680" s="30">
        <v>4</v>
      </c>
      <c r="V680" t="s">
        <v>252</v>
      </c>
      <c r="W680" s="38" t="s">
        <v>430</v>
      </c>
      <c r="X680" s="7">
        <v>10</v>
      </c>
    </row>
    <row r="681" spans="19:24">
      <c r="S681" t="s">
        <v>778</v>
      </c>
      <c r="T681" t="s">
        <v>780</v>
      </c>
      <c r="U681" s="30">
        <v>4</v>
      </c>
      <c r="V681" t="s">
        <v>252</v>
      </c>
      <c r="W681" s="38" t="s">
        <v>432</v>
      </c>
      <c r="X681" s="7">
        <v>5</v>
      </c>
    </row>
    <row r="682" spans="19:24">
      <c r="S682" t="s">
        <v>778</v>
      </c>
      <c r="T682" t="s">
        <v>780</v>
      </c>
      <c r="U682" s="30">
        <v>4</v>
      </c>
      <c r="V682" t="s">
        <v>252</v>
      </c>
      <c r="W682" s="38" t="s">
        <v>841</v>
      </c>
      <c r="X682" s="7">
        <v>3</v>
      </c>
    </row>
    <row r="683" spans="19:24">
      <c r="S683" t="s">
        <v>778</v>
      </c>
      <c r="T683" t="s">
        <v>780</v>
      </c>
      <c r="U683" s="30">
        <v>4</v>
      </c>
      <c r="V683" t="s">
        <v>252</v>
      </c>
      <c r="W683" t="s">
        <v>843</v>
      </c>
      <c r="X683" s="7"/>
    </row>
    <row r="684" spans="19:24">
      <c r="S684" t="s">
        <v>778</v>
      </c>
      <c r="T684" t="s">
        <v>780</v>
      </c>
      <c r="U684" s="30">
        <v>4</v>
      </c>
      <c r="V684" t="s">
        <v>252</v>
      </c>
      <c r="W684" t="s">
        <v>845</v>
      </c>
      <c r="X684" s="7"/>
    </row>
    <row r="685" spans="19:24">
      <c r="S685" t="s">
        <v>778</v>
      </c>
      <c r="T685" t="s">
        <v>780</v>
      </c>
      <c r="U685" s="30">
        <v>5</v>
      </c>
      <c r="V685" t="s">
        <v>252</v>
      </c>
      <c r="W685" t="s">
        <v>631</v>
      </c>
    </row>
    <row r="686" spans="19:24">
      <c r="S686" t="s">
        <v>778</v>
      </c>
      <c r="T686" t="s">
        <v>780</v>
      </c>
      <c r="U686" s="30">
        <v>5</v>
      </c>
      <c r="V686" t="s">
        <v>252</v>
      </c>
      <c r="W686" s="38" t="s">
        <v>430</v>
      </c>
    </row>
    <row r="687" spans="19:24">
      <c r="S687" t="s">
        <v>778</v>
      </c>
      <c r="T687" t="s">
        <v>780</v>
      </c>
      <c r="U687" s="30">
        <v>5</v>
      </c>
      <c r="V687" t="s">
        <v>252</v>
      </c>
      <c r="W687" s="38" t="s">
        <v>432</v>
      </c>
    </row>
    <row r="688" spans="19:24">
      <c r="S688" t="s">
        <v>778</v>
      </c>
      <c r="T688" t="s">
        <v>780</v>
      </c>
      <c r="U688" s="30">
        <v>5</v>
      </c>
      <c r="V688" t="s">
        <v>252</v>
      </c>
      <c r="W688" s="38" t="s">
        <v>841</v>
      </c>
    </row>
    <row r="689" spans="19:24">
      <c r="S689" t="s">
        <v>778</v>
      </c>
      <c r="T689" t="s">
        <v>780</v>
      </c>
      <c r="U689" s="30">
        <v>5</v>
      </c>
      <c r="V689" t="s">
        <v>252</v>
      </c>
      <c r="W689" t="s">
        <v>843</v>
      </c>
    </row>
    <row r="690" spans="19:24">
      <c r="S690" t="s">
        <v>778</v>
      </c>
      <c r="T690" t="s">
        <v>780</v>
      </c>
      <c r="U690" s="30">
        <v>5</v>
      </c>
      <c r="V690" t="s">
        <v>252</v>
      </c>
      <c r="W690" t="s">
        <v>845</v>
      </c>
    </row>
    <row r="691" spans="19:24">
      <c r="S691" t="s">
        <v>778</v>
      </c>
      <c r="T691" t="s">
        <v>780</v>
      </c>
      <c r="U691" s="30">
        <v>6</v>
      </c>
      <c r="V691" t="s">
        <v>252</v>
      </c>
      <c r="W691" t="s">
        <v>631</v>
      </c>
    </row>
    <row r="692" spans="19:24">
      <c r="S692" t="s">
        <v>778</v>
      </c>
      <c r="T692" t="s">
        <v>780</v>
      </c>
      <c r="U692" s="30">
        <v>6</v>
      </c>
      <c r="V692" t="s">
        <v>252</v>
      </c>
      <c r="W692" s="38" t="s">
        <v>430</v>
      </c>
    </row>
    <row r="693" spans="19:24">
      <c r="S693" t="s">
        <v>778</v>
      </c>
      <c r="T693" t="s">
        <v>780</v>
      </c>
      <c r="U693" s="30">
        <v>6</v>
      </c>
      <c r="V693" t="s">
        <v>252</v>
      </c>
      <c r="W693" s="38" t="s">
        <v>432</v>
      </c>
    </row>
    <row r="694" spans="19:24">
      <c r="S694" t="s">
        <v>778</v>
      </c>
      <c r="T694" t="s">
        <v>780</v>
      </c>
      <c r="U694" s="30">
        <v>6</v>
      </c>
      <c r="V694" t="s">
        <v>252</v>
      </c>
      <c r="W694" s="38" t="s">
        <v>841</v>
      </c>
    </row>
    <row r="695" spans="19:24">
      <c r="S695" t="s">
        <v>778</v>
      </c>
      <c r="T695" t="s">
        <v>780</v>
      </c>
      <c r="U695" s="30">
        <v>6</v>
      </c>
      <c r="V695" t="s">
        <v>252</v>
      </c>
      <c r="W695" t="s">
        <v>843</v>
      </c>
    </row>
    <row r="696" spans="19:24">
      <c r="S696" t="s">
        <v>778</v>
      </c>
      <c r="T696" t="s">
        <v>780</v>
      </c>
      <c r="U696" s="30">
        <v>6</v>
      </c>
      <c r="V696" t="s">
        <v>252</v>
      </c>
      <c r="W696" t="s">
        <v>845</v>
      </c>
    </row>
    <row r="697" spans="19:24">
      <c r="S697" t="s">
        <v>778</v>
      </c>
      <c r="T697" t="s">
        <v>780</v>
      </c>
      <c r="U697" s="30">
        <v>7</v>
      </c>
      <c r="V697" t="s">
        <v>252</v>
      </c>
      <c r="W697" t="s">
        <v>631</v>
      </c>
    </row>
    <row r="698" spans="19:24">
      <c r="S698" t="s">
        <v>778</v>
      </c>
      <c r="T698" t="s">
        <v>780</v>
      </c>
      <c r="U698" s="30">
        <v>7</v>
      </c>
      <c r="V698" t="s">
        <v>252</v>
      </c>
      <c r="W698" s="38" t="s">
        <v>430</v>
      </c>
    </row>
    <row r="699" spans="19:24">
      <c r="S699" t="s">
        <v>778</v>
      </c>
      <c r="T699" t="s">
        <v>780</v>
      </c>
      <c r="U699" s="30">
        <v>7</v>
      </c>
      <c r="V699" t="s">
        <v>252</v>
      </c>
      <c r="W699" s="38" t="s">
        <v>432</v>
      </c>
    </row>
    <row r="700" spans="19:24">
      <c r="S700" t="s">
        <v>778</v>
      </c>
      <c r="T700" t="s">
        <v>780</v>
      </c>
      <c r="U700" s="30">
        <v>7</v>
      </c>
      <c r="V700" t="s">
        <v>252</v>
      </c>
      <c r="W700" s="38" t="s">
        <v>841</v>
      </c>
    </row>
    <row r="701" spans="19:24">
      <c r="S701" t="s">
        <v>778</v>
      </c>
      <c r="T701" t="s">
        <v>780</v>
      </c>
      <c r="U701" s="30">
        <v>7</v>
      </c>
      <c r="V701" t="s">
        <v>252</v>
      </c>
      <c r="W701" t="s">
        <v>843</v>
      </c>
    </row>
    <row r="702" spans="19:24">
      <c r="S702" t="s">
        <v>778</v>
      </c>
      <c r="T702" t="s">
        <v>780</v>
      </c>
      <c r="U702" s="30">
        <v>7</v>
      </c>
      <c r="V702" t="s">
        <v>252</v>
      </c>
      <c r="W702" t="s">
        <v>845</v>
      </c>
    </row>
    <row r="703" spans="19:24">
      <c r="S703" t="s">
        <v>778</v>
      </c>
      <c r="T703" t="s">
        <v>781</v>
      </c>
      <c r="U703" s="38">
        <v>1</v>
      </c>
      <c r="V703" t="s">
        <v>252</v>
      </c>
      <c r="W703" t="s">
        <v>631</v>
      </c>
      <c r="X703" s="43"/>
    </row>
    <row r="704" spans="19:24">
      <c r="S704" t="s">
        <v>778</v>
      </c>
      <c r="T704" t="s">
        <v>781</v>
      </c>
      <c r="U704" s="38">
        <v>1</v>
      </c>
      <c r="V704" t="s">
        <v>252</v>
      </c>
      <c r="W704" s="38" t="s">
        <v>430</v>
      </c>
      <c r="X704" s="43"/>
    </row>
    <row r="705" spans="19:24">
      <c r="S705" t="s">
        <v>778</v>
      </c>
      <c r="T705" t="s">
        <v>781</v>
      </c>
      <c r="U705" s="38">
        <v>1</v>
      </c>
      <c r="V705" t="s">
        <v>252</v>
      </c>
      <c r="W705" s="38" t="s">
        <v>432</v>
      </c>
      <c r="X705" s="43"/>
    </row>
    <row r="706" spans="19:24">
      <c r="S706" t="s">
        <v>778</v>
      </c>
      <c r="T706" t="s">
        <v>781</v>
      </c>
      <c r="U706" s="38">
        <v>1</v>
      </c>
      <c r="V706" t="s">
        <v>252</v>
      </c>
      <c r="W706" s="38" t="s">
        <v>841</v>
      </c>
      <c r="X706" s="43"/>
    </row>
    <row r="707" spans="19:24">
      <c r="S707" t="s">
        <v>778</v>
      </c>
      <c r="T707" t="s">
        <v>781</v>
      </c>
      <c r="U707" s="38">
        <v>1</v>
      </c>
      <c r="V707" t="s">
        <v>252</v>
      </c>
      <c r="W707" t="s">
        <v>843</v>
      </c>
      <c r="X707" s="43"/>
    </row>
    <row r="708" spans="19:24">
      <c r="S708" t="s">
        <v>778</v>
      </c>
      <c r="T708" t="s">
        <v>781</v>
      </c>
      <c r="U708" s="38">
        <v>1</v>
      </c>
      <c r="V708" t="s">
        <v>252</v>
      </c>
      <c r="W708" t="s">
        <v>845</v>
      </c>
      <c r="X708" s="43"/>
    </row>
    <row r="709" spans="19:24">
      <c r="S709" t="s">
        <v>778</v>
      </c>
      <c r="T709" t="s">
        <v>781</v>
      </c>
      <c r="U709" s="41">
        <v>2</v>
      </c>
      <c r="V709" t="s">
        <v>252</v>
      </c>
      <c r="W709" t="s">
        <v>631</v>
      </c>
      <c r="X709" s="7">
        <v>1</v>
      </c>
    </row>
    <row r="710" spans="19:24">
      <c r="S710" t="s">
        <v>778</v>
      </c>
      <c r="T710" t="s">
        <v>781</v>
      </c>
      <c r="U710" s="41">
        <v>2</v>
      </c>
      <c r="V710" t="s">
        <v>252</v>
      </c>
      <c r="W710" s="38" t="s">
        <v>430</v>
      </c>
      <c r="X710" s="7"/>
    </row>
    <row r="711" spans="19:24">
      <c r="S711" t="s">
        <v>778</v>
      </c>
      <c r="T711" t="s">
        <v>781</v>
      </c>
      <c r="U711" s="41">
        <v>2</v>
      </c>
      <c r="V711" t="s">
        <v>252</v>
      </c>
      <c r="W711" s="38" t="s">
        <v>432</v>
      </c>
      <c r="X711" s="7"/>
    </row>
    <row r="712" spans="19:24">
      <c r="S712" t="s">
        <v>778</v>
      </c>
      <c r="T712" t="s">
        <v>781</v>
      </c>
      <c r="U712" s="41">
        <v>2</v>
      </c>
      <c r="V712" t="s">
        <v>252</v>
      </c>
      <c r="W712" s="38" t="s">
        <v>841</v>
      </c>
      <c r="X712" s="7"/>
    </row>
    <row r="713" spans="19:24">
      <c r="S713" t="s">
        <v>778</v>
      </c>
      <c r="T713" t="s">
        <v>781</v>
      </c>
      <c r="U713" s="41">
        <v>2</v>
      </c>
      <c r="V713" t="s">
        <v>252</v>
      </c>
      <c r="W713" t="s">
        <v>843</v>
      </c>
      <c r="X713" s="7"/>
    </row>
    <row r="714" spans="19:24">
      <c r="S714" t="s">
        <v>778</v>
      </c>
      <c r="T714" t="s">
        <v>781</v>
      </c>
      <c r="U714" s="41">
        <v>2</v>
      </c>
      <c r="V714" t="s">
        <v>252</v>
      </c>
      <c r="W714" t="s">
        <v>845</v>
      </c>
      <c r="X714" s="7"/>
    </row>
    <row r="715" spans="19:24">
      <c r="S715" t="s">
        <v>778</v>
      </c>
      <c r="T715" t="s">
        <v>781</v>
      </c>
      <c r="U715" s="41">
        <v>3</v>
      </c>
      <c r="V715" t="s">
        <v>252</v>
      </c>
      <c r="W715" t="s">
        <v>631</v>
      </c>
    </row>
    <row r="716" spans="19:24">
      <c r="S716" t="s">
        <v>778</v>
      </c>
      <c r="T716" t="s">
        <v>781</v>
      </c>
      <c r="U716" s="41">
        <v>3</v>
      </c>
      <c r="V716" t="s">
        <v>252</v>
      </c>
      <c r="W716" s="38" t="s">
        <v>430</v>
      </c>
    </row>
    <row r="717" spans="19:24">
      <c r="S717" t="s">
        <v>778</v>
      </c>
      <c r="T717" t="s">
        <v>781</v>
      </c>
      <c r="U717" s="30">
        <v>3</v>
      </c>
      <c r="V717" t="s">
        <v>252</v>
      </c>
      <c r="W717" s="38" t="s">
        <v>432</v>
      </c>
    </row>
    <row r="718" spans="19:24">
      <c r="S718" t="s">
        <v>778</v>
      </c>
      <c r="T718" t="s">
        <v>781</v>
      </c>
      <c r="U718" s="30">
        <v>3</v>
      </c>
      <c r="V718" t="s">
        <v>252</v>
      </c>
      <c r="W718" s="38" t="s">
        <v>841</v>
      </c>
    </row>
    <row r="719" spans="19:24">
      <c r="S719" t="s">
        <v>778</v>
      </c>
      <c r="T719" t="s">
        <v>781</v>
      </c>
      <c r="U719" s="30">
        <v>3</v>
      </c>
      <c r="V719" t="s">
        <v>252</v>
      </c>
      <c r="W719" t="s">
        <v>843</v>
      </c>
    </row>
    <row r="720" spans="19:24">
      <c r="S720" t="s">
        <v>778</v>
      </c>
      <c r="T720" t="s">
        <v>781</v>
      </c>
      <c r="U720" s="30">
        <v>3</v>
      </c>
      <c r="V720" t="s">
        <v>252</v>
      </c>
      <c r="W720" t="s">
        <v>845</v>
      </c>
    </row>
    <row r="721" spans="19:24">
      <c r="S721" t="s">
        <v>778</v>
      </c>
      <c r="T721" t="s">
        <v>781</v>
      </c>
      <c r="U721" s="30">
        <v>4</v>
      </c>
      <c r="V721" t="s">
        <v>252</v>
      </c>
      <c r="W721" t="s">
        <v>631</v>
      </c>
    </row>
    <row r="722" spans="19:24">
      <c r="S722" t="s">
        <v>778</v>
      </c>
      <c r="T722" t="s">
        <v>781</v>
      </c>
      <c r="U722" s="30">
        <v>4</v>
      </c>
      <c r="V722" t="s">
        <v>252</v>
      </c>
      <c r="W722" s="38" t="s">
        <v>430</v>
      </c>
    </row>
    <row r="723" spans="19:24">
      <c r="S723" t="s">
        <v>778</v>
      </c>
      <c r="T723" t="s">
        <v>781</v>
      </c>
      <c r="U723" s="30">
        <v>4</v>
      </c>
      <c r="V723" t="s">
        <v>252</v>
      </c>
      <c r="W723" s="38" t="s">
        <v>432</v>
      </c>
    </row>
    <row r="724" spans="19:24">
      <c r="S724" t="s">
        <v>778</v>
      </c>
      <c r="T724" t="s">
        <v>781</v>
      </c>
      <c r="U724" s="30">
        <v>4</v>
      </c>
      <c r="V724" t="s">
        <v>252</v>
      </c>
      <c r="W724" s="38" t="s">
        <v>841</v>
      </c>
    </row>
    <row r="725" spans="19:24">
      <c r="S725" t="s">
        <v>778</v>
      </c>
      <c r="T725" t="s">
        <v>781</v>
      </c>
      <c r="U725" s="30">
        <v>4</v>
      </c>
      <c r="V725" t="s">
        <v>252</v>
      </c>
      <c r="W725" t="s">
        <v>843</v>
      </c>
    </row>
    <row r="726" spans="19:24">
      <c r="S726" t="s">
        <v>778</v>
      </c>
      <c r="T726" t="s">
        <v>781</v>
      </c>
      <c r="U726" s="30">
        <v>4</v>
      </c>
      <c r="V726" t="s">
        <v>252</v>
      </c>
      <c r="W726" t="s">
        <v>845</v>
      </c>
    </row>
    <row r="727" spans="19:24">
      <c r="S727" t="s">
        <v>778</v>
      </c>
      <c r="T727" t="s">
        <v>781</v>
      </c>
      <c r="U727" s="30">
        <v>5</v>
      </c>
      <c r="V727" t="s">
        <v>252</v>
      </c>
      <c r="W727" t="s">
        <v>631</v>
      </c>
    </row>
    <row r="728" spans="19:24">
      <c r="S728" t="s">
        <v>778</v>
      </c>
      <c r="T728" t="s">
        <v>781</v>
      </c>
      <c r="U728" s="30">
        <v>5</v>
      </c>
      <c r="V728" t="s">
        <v>252</v>
      </c>
      <c r="W728" s="38" t="s">
        <v>430</v>
      </c>
    </row>
    <row r="729" spans="19:24">
      <c r="S729" t="s">
        <v>778</v>
      </c>
      <c r="T729" t="s">
        <v>781</v>
      </c>
      <c r="U729" s="30">
        <v>5</v>
      </c>
      <c r="V729" t="s">
        <v>252</v>
      </c>
      <c r="W729" s="38" t="s">
        <v>432</v>
      </c>
    </row>
    <row r="730" spans="19:24">
      <c r="S730" t="s">
        <v>778</v>
      </c>
      <c r="T730" t="s">
        <v>781</v>
      </c>
      <c r="U730" s="30">
        <v>5</v>
      </c>
      <c r="V730" t="s">
        <v>252</v>
      </c>
      <c r="W730" s="38" t="s">
        <v>841</v>
      </c>
    </row>
    <row r="731" spans="19:24">
      <c r="S731" t="s">
        <v>778</v>
      </c>
      <c r="T731" t="s">
        <v>781</v>
      </c>
      <c r="U731" s="30">
        <v>5</v>
      </c>
      <c r="V731" t="s">
        <v>252</v>
      </c>
      <c r="W731" t="s">
        <v>843</v>
      </c>
    </row>
    <row r="732" spans="19:24">
      <c r="S732" t="s">
        <v>778</v>
      </c>
      <c r="T732" t="s">
        <v>781</v>
      </c>
      <c r="U732" s="30">
        <v>5</v>
      </c>
      <c r="V732" t="s">
        <v>252</v>
      </c>
      <c r="W732" t="s">
        <v>845</v>
      </c>
    </row>
    <row r="733" spans="19:24">
      <c r="S733" t="s">
        <v>778</v>
      </c>
      <c r="T733" t="s">
        <v>781</v>
      </c>
      <c r="U733" s="30">
        <v>6</v>
      </c>
      <c r="V733" t="s">
        <v>252</v>
      </c>
      <c r="W733" t="s">
        <v>631</v>
      </c>
      <c r="X733" s="7">
        <v>3</v>
      </c>
    </row>
    <row r="734" spans="19:24">
      <c r="S734" t="s">
        <v>778</v>
      </c>
      <c r="T734" t="s">
        <v>781</v>
      </c>
      <c r="U734" s="30">
        <v>6</v>
      </c>
      <c r="V734" t="s">
        <v>252</v>
      </c>
      <c r="W734" s="38" t="s">
        <v>430</v>
      </c>
      <c r="X734" s="7">
        <v>2</v>
      </c>
    </row>
    <row r="735" spans="19:24">
      <c r="S735" t="s">
        <v>778</v>
      </c>
      <c r="T735" t="s">
        <v>781</v>
      </c>
      <c r="U735" s="30">
        <v>6</v>
      </c>
      <c r="V735" t="s">
        <v>252</v>
      </c>
      <c r="W735" s="38" t="s">
        <v>432</v>
      </c>
      <c r="X735" s="7">
        <v>2</v>
      </c>
    </row>
    <row r="736" spans="19:24">
      <c r="S736" t="s">
        <v>778</v>
      </c>
      <c r="T736" t="s">
        <v>781</v>
      </c>
      <c r="U736" s="30">
        <v>6</v>
      </c>
      <c r="V736" t="s">
        <v>252</v>
      </c>
      <c r="W736" s="38" t="s">
        <v>841</v>
      </c>
      <c r="X736" s="7"/>
    </row>
    <row r="737" spans="19:24">
      <c r="S737" t="s">
        <v>778</v>
      </c>
      <c r="T737" t="s">
        <v>781</v>
      </c>
      <c r="U737" s="30">
        <v>6</v>
      </c>
      <c r="V737" t="s">
        <v>252</v>
      </c>
      <c r="W737" t="s">
        <v>843</v>
      </c>
      <c r="X737" s="7"/>
    </row>
    <row r="738" spans="19:24">
      <c r="S738" t="s">
        <v>778</v>
      </c>
      <c r="T738" t="s">
        <v>781</v>
      </c>
      <c r="U738" s="30">
        <v>6</v>
      </c>
      <c r="V738" t="s">
        <v>252</v>
      </c>
      <c r="W738" t="s">
        <v>845</v>
      </c>
      <c r="X738" s="7"/>
    </row>
    <row r="739" spans="19:24">
      <c r="S739" t="s">
        <v>778</v>
      </c>
      <c r="T739" t="s">
        <v>781</v>
      </c>
      <c r="U739" s="30">
        <v>7</v>
      </c>
      <c r="V739" t="s">
        <v>252</v>
      </c>
      <c r="W739" t="s">
        <v>631</v>
      </c>
      <c r="X739" s="7"/>
    </row>
    <row r="740" spans="19:24">
      <c r="S740" t="s">
        <v>778</v>
      </c>
      <c r="T740" t="s">
        <v>781</v>
      </c>
      <c r="U740" s="30">
        <v>7</v>
      </c>
      <c r="V740" t="s">
        <v>252</v>
      </c>
      <c r="W740" s="38" t="s">
        <v>430</v>
      </c>
      <c r="X740" s="7">
        <v>1</v>
      </c>
    </row>
    <row r="741" spans="19:24">
      <c r="S741" t="s">
        <v>778</v>
      </c>
      <c r="T741" t="s">
        <v>781</v>
      </c>
      <c r="U741" s="30">
        <v>7</v>
      </c>
      <c r="V741" t="s">
        <v>252</v>
      </c>
      <c r="W741" s="38" t="s">
        <v>432</v>
      </c>
      <c r="X741" s="7"/>
    </row>
    <row r="742" spans="19:24">
      <c r="S742" t="s">
        <v>778</v>
      </c>
      <c r="T742" t="s">
        <v>781</v>
      </c>
      <c r="U742" s="30">
        <v>7</v>
      </c>
      <c r="V742" t="s">
        <v>252</v>
      </c>
      <c r="W742" s="38" t="s">
        <v>841</v>
      </c>
      <c r="X742" s="7"/>
    </row>
    <row r="743" spans="19:24">
      <c r="S743" t="s">
        <v>778</v>
      </c>
      <c r="T743" t="s">
        <v>781</v>
      </c>
      <c r="U743" s="30">
        <v>7</v>
      </c>
      <c r="V743" t="s">
        <v>252</v>
      </c>
      <c r="W743" t="s">
        <v>843</v>
      </c>
      <c r="X743" s="7"/>
    </row>
    <row r="744" spans="19:24">
      <c r="S744" t="s">
        <v>778</v>
      </c>
      <c r="T744" t="s">
        <v>781</v>
      </c>
      <c r="U744" s="30">
        <v>7</v>
      </c>
      <c r="V744" t="s">
        <v>252</v>
      </c>
      <c r="W744" t="s">
        <v>845</v>
      </c>
      <c r="X744" s="7"/>
    </row>
    <row r="745" spans="19:24">
      <c r="S745" t="s">
        <v>778</v>
      </c>
      <c r="T745" t="s">
        <v>781</v>
      </c>
      <c r="U745" s="30">
        <v>8</v>
      </c>
      <c r="V745" t="s">
        <v>252</v>
      </c>
      <c r="W745" t="s">
        <v>631</v>
      </c>
      <c r="X745" t="s">
        <v>699</v>
      </c>
    </row>
    <row r="746" spans="19:24">
      <c r="S746" t="s">
        <v>778</v>
      </c>
      <c r="T746" t="s">
        <v>781</v>
      </c>
      <c r="U746" s="30">
        <v>8</v>
      </c>
      <c r="V746" t="s">
        <v>252</v>
      </c>
      <c r="W746" s="38" t="s">
        <v>430</v>
      </c>
      <c r="X746" s="7"/>
    </row>
    <row r="747" spans="19:24">
      <c r="S747" t="s">
        <v>778</v>
      </c>
      <c r="T747" t="s">
        <v>781</v>
      </c>
      <c r="U747" s="30">
        <v>8</v>
      </c>
      <c r="V747" t="s">
        <v>252</v>
      </c>
      <c r="W747" s="38" t="s">
        <v>432</v>
      </c>
      <c r="X747" s="7"/>
    </row>
    <row r="748" spans="19:24">
      <c r="S748" t="s">
        <v>778</v>
      </c>
      <c r="T748" t="s">
        <v>781</v>
      </c>
      <c r="U748" s="30">
        <v>8</v>
      </c>
      <c r="V748" t="s">
        <v>252</v>
      </c>
      <c r="W748" s="38" t="s">
        <v>841</v>
      </c>
      <c r="X748" s="7"/>
    </row>
    <row r="749" spans="19:24">
      <c r="S749" t="s">
        <v>778</v>
      </c>
      <c r="T749" t="s">
        <v>781</v>
      </c>
      <c r="U749" s="30">
        <v>8</v>
      </c>
      <c r="V749" t="s">
        <v>252</v>
      </c>
      <c r="W749" t="s">
        <v>843</v>
      </c>
      <c r="X749" s="7"/>
    </row>
    <row r="750" spans="19:24">
      <c r="S750" t="s">
        <v>778</v>
      </c>
      <c r="T750" t="s">
        <v>781</v>
      </c>
      <c r="U750" s="30">
        <v>8</v>
      </c>
      <c r="V750" t="s">
        <v>252</v>
      </c>
      <c r="W750" t="s">
        <v>845</v>
      </c>
      <c r="X750" s="7"/>
    </row>
  </sheetData>
  <phoneticPr fontId="3" type="noConversion"/>
  <pageMargins left="0.75" right="0.75" top="1" bottom="1" header="0.5" footer="0.5"/>
  <rowBreaks count="1" manualBreakCount="1">
    <brk id="158" max="16383" man="1" pt="1"/>
  </rowBreaks>
  <colBreaks count="2" manualBreakCount="2">
    <brk id="5" max="1048575" man="1"/>
    <brk id="1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32"/>
  <sheetViews>
    <sheetView workbookViewId="0">
      <selection activeCell="I19" sqref="I19"/>
    </sheetView>
  </sheetViews>
  <sheetFormatPr baseColWidth="10" defaultRowHeight="12"/>
  <sheetData>
    <row r="1" spans="1:6">
      <c r="A1" s="38" t="s">
        <v>854</v>
      </c>
      <c r="B1" s="38" t="s">
        <v>69</v>
      </c>
      <c r="C1" s="38" t="s">
        <v>859</v>
      </c>
      <c r="D1" s="38" t="s">
        <v>855</v>
      </c>
      <c r="E1" s="38" t="s">
        <v>856</v>
      </c>
      <c r="F1" s="38" t="s">
        <v>609</v>
      </c>
    </row>
    <row r="2" spans="1:6">
      <c r="A2" s="38" t="s">
        <v>857</v>
      </c>
      <c r="B2" s="38" t="s">
        <v>858</v>
      </c>
      <c r="C2" s="38">
        <v>3</v>
      </c>
      <c r="D2" s="38" t="s">
        <v>170</v>
      </c>
      <c r="E2" s="38" t="s">
        <v>847</v>
      </c>
      <c r="F2" s="38">
        <v>8</v>
      </c>
    </row>
    <row r="3" spans="1:6">
      <c r="A3" s="38" t="s">
        <v>857</v>
      </c>
      <c r="B3" s="38" t="s">
        <v>858</v>
      </c>
      <c r="C3" s="38">
        <v>3</v>
      </c>
      <c r="D3" s="38" t="s">
        <v>170</v>
      </c>
      <c r="E3" s="38" t="s">
        <v>847</v>
      </c>
      <c r="F3" s="38">
        <v>8</v>
      </c>
    </row>
    <row r="4" spans="1:6">
      <c r="A4" s="38" t="s">
        <v>857</v>
      </c>
      <c r="B4" s="38" t="s">
        <v>858</v>
      </c>
      <c r="C4" s="38">
        <v>3</v>
      </c>
      <c r="D4" s="38" t="s">
        <v>170</v>
      </c>
      <c r="E4" s="38" t="s">
        <v>847</v>
      </c>
      <c r="F4" s="38">
        <v>8</v>
      </c>
    </row>
    <row r="5" spans="1:6">
      <c r="A5" s="38" t="s">
        <v>857</v>
      </c>
      <c r="B5" s="38" t="s">
        <v>858</v>
      </c>
      <c r="C5" s="41">
        <v>3</v>
      </c>
      <c r="D5" s="38" t="s">
        <v>170</v>
      </c>
      <c r="E5" s="38" t="s">
        <v>631</v>
      </c>
      <c r="F5" s="47">
        <v>17.5</v>
      </c>
    </row>
    <row r="6" spans="1:6">
      <c r="A6" s="38" t="s">
        <v>857</v>
      </c>
      <c r="B6" s="38" t="s">
        <v>858</v>
      </c>
      <c r="C6" s="41">
        <v>3</v>
      </c>
      <c r="D6" s="38" t="s">
        <v>170</v>
      </c>
      <c r="E6" s="38" t="s">
        <v>631</v>
      </c>
      <c r="F6" s="47">
        <v>17.5</v>
      </c>
    </row>
    <row r="7" spans="1:6">
      <c r="A7" s="38" t="s">
        <v>857</v>
      </c>
      <c r="B7" s="38" t="s">
        <v>858</v>
      </c>
      <c r="C7" s="41">
        <v>3</v>
      </c>
      <c r="D7" s="38" t="s">
        <v>170</v>
      </c>
      <c r="E7" s="38" t="s">
        <v>631</v>
      </c>
      <c r="F7" s="47">
        <v>17.5</v>
      </c>
    </row>
    <row r="8" spans="1:6">
      <c r="A8" s="38" t="s">
        <v>857</v>
      </c>
      <c r="B8" s="38" t="s">
        <v>858</v>
      </c>
      <c r="C8" s="41">
        <v>3</v>
      </c>
      <c r="D8" s="38" t="s">
        <v>170</v>
      </c>
      <c r="E8" s="38" t="s">
        <v>631</v>
      </c>
      <c r="F8" s="47">
        <v>17.5</v>
      </c>
    </row>
    <row r="9" spans="1:6">
      <c r="A9" s="38" t="s">
        <v>857</v>
      </c>
      <c r="B9" s="38" t="s">
        <v>858</v>
      </c>
      <c r="C9" s="38">
        <v>4</v>
      </c>
      <c r="D9" s="38" t="s">
        <v>170</v>
      </c>
      <c r="E9" s="38" t="s">
        <v>847</v>
      </c>
      <c r="F9" s="38">
        <v>7</v>
      </c>
    </row>
    <row r="10" spans="1:6">
      <c r="A10" s="38" t="s">
        <v>857</v>
      </c>
      <c r="B10" s="38" t="s">
        <v>858</v>
      </c>
      <c r="C10" s="38">
        <v>4</v>
      </c>
      <c r="D10" s="38" t="s">
        <v>170</v>
      </c>
      <c r="E10" s="38" t="s">
        <v>847</v>
      </c>
      <c r="F10" s="38">
        <v>8</v>
      </c>
    </row>
    <row r="11" spans="1:6">
      <c r="A11" s="38" t="s">
        <v>857</v>
      </c>
      <c r="B11" s="38" t="s">
        <v>858</v>
      </c>
      <c r="C11" s="38">
        <v>4</v>
      </c>
      <c r="D11" s="38" t="s">
        <v>170</v>
      </c>
      <c r="E11" s="38" t="s">
        <v>866</v>
      </c>
      <c r="F11" s="38">
        <v>10</v>
      </c>
    </row>
    <row r="12" spans="1:6">
      <c r="A12" s="38" t="s">
        <v>857</v>
      </c>
      <c r="B12" s="38" t="s">
        <v>858</v>
      </c>
      <c r="C12" s="38">
        <v>5</v>
      </c>
      <c r="D12" s="38" t="s">
        <v>170</v>
      </c>
      <c r="E12" s="38" t="s">
        <v>847</v>
      </c>
      <c r="F12" s="38">
        <v>8</v>
      </c>
    </row>
    <row r="13" spans="1:6">
      <c r="A13" s="38" t="s">
        <v>857</v>
      </c>
      <c r="B13" s="38" t="s">
        <v>858</v>
      </c>
      <c r="C13" s="38">
        <v>5</v>
      </c>
      <c r="D13" s="38" t="s">
        <v>170</v>
      </c>
      <c r="E13" s="38" t="s">
        <v>847</v>
      </c>
      <c r="F13" s="38">
        <v>7</v>
      </c>
    </row>
    <row r="14" spans="1:6">
      <c r="A14" s="38" t="s">
        <v>857</v>
      </c>
      <c r="B14" s="38" t="s">
        <v>858</v>
      </c>
      <c r="C14" s="38">
        <v>5</v>
      </c>
      <c r="D14" s="38" t="s">
        <v>170</v>
      </c>
      <c r="E14" s="38" t="s">
        <v>847</v>
      </c>
      <c r="F14" s="38">
        <v>8</v>
      </c>
    </row>
    <row r="15" spans="1:6">
      <c r="A15" s="38" t="s">
        <v>857</v>
      </c>
      <c r="B15" s="38" t="s">
        <v>858</v>
      </c>
      <c r="C15" s="38">
        <v>5</v>
      </c>
      <c r="D15" s="38" t="s">
        <v>170</v>
      </c>
      <c r="E15" s="38" t="s">
        <v>866</v>
      </c>
      <c r="F15" s="38">
        <v>10</v>
      </c>
    </row>
    <row r="16" spans="1:6">
      <c r="A16" s="38" t="s">
        <v>857</v>
      </c>
      <c r="B16" s="38" t="s">
        <v>858</v>
      </c>
      <c r="C16" s="41">
        <v>5</v>
      </c>
      <c r="D16" s="38" t="s">
        <v>170</v>
      </c>
      <c r="E16" s="38" t="s">
        <v>631</v>
      </c>
      <c r="F16" s="47">
        <v>17.5</v>
      </c>
    </row>
    <row r="17" spans="1:6">
      <c r="A17" s="38" t="s">
        <v>857</v>
      </c>
      <c r="B17" s="38" t="s">
        <v>858</v>
      </c>
      <c r="C17" s="41">
        <v>5</v>
      </c>
      <c r="D17" s="38" t="s">
        <v>170</v>
      </c>
      <c r="E17" s="38" t="s">
        <v>841</v>
      </c>
      <c r="F17" s="47">
        <v>32.5</v>
      </c>
    </row>
    <row r="18" spans="1:6">
      <c r="A18" s="38" t="s">
        <v>857</v>
      </c>
      <c r="B18" s="38" t="s">
        <v>858</v>
      </c>
      <c r="C18" s="41">
        <v>6</v>
      </c>
      <c r="D18" s="38" t="s">
        <v>170</v>
      </c>
      <c r="E18" s="38" t="s">
        <v>847</v>
      </c>
      <c r="F18" s="47">
        <v>7</v>
      </c>
    </row>
    <row r="19" spans="1:6">
      <c r="A19" s="38" t="s">
        <v>857</v>
      </c>
      <c r="B19" s="38" t="s">
        <v>861</v>
      </c>
      <c r="C19" s="38">
        <v>1</v>
      </c>
      <c r="D19" s="38" t="s">
        <v>170</v>
      </c>
      <c r="E19" s="38" t="s">
        <v>847</v>
      </c>
      <c r="F19" s="38">
        <v>9</v>
      </c>
    </row>
    <row r="20" spans="1:6">
      <c r="A20" s="38" t="s">
        <v>857</v>
      </c>
      <c r="B20" s="38" t="s">
        <v>861</v>
      </c>
      <c r="C20" s="38">
        <v>1</v>
      </c>
      <c r="D20" s="38" t="s">
        <v>170</v>
      </c>
      <c r="E20" s="38" t="s">
        <v>847</v>
      </c>
      <c r="F20" s="41">
        <v>9</v>
      </c>
    </row>
    <row r="21" spans="1:6">
      <c r="A21" s="38" t="s">
        <v>857</v>
      </c>
      <c r="B21" s="38" t="s">
        <v>861</v>
      </c>
      <c r="C21" s="38">
        <v>1</v>
      </c>
      <c r="D21" s="38" t="s">
        <v>170</v>
      </c>
      <c r="E21" s="38" t="s">
        <v>847</v>
      </c>
      <c r="F21" s="38">
        <v>8</v>
      </c>
    </row>
    <row r="22" spans="1:6">
      <c r="A22" s="38" t="s">
        <v>857</v>
      </c>
      <c r="B22" s="38" t="s">
        <v>861</v>
      </c>
      <c r="C22" s="38">
        <v>1</v>
      </c>
      <c r="D22" s="38" t="s">
        <v>170</v>
      </c>
      <c r="E22" s="38" t="s">
        <v>866</v>
      </c>
      <c r="F22" s="38">
        <v>10</v>
      </c>
    </row>
    <row r="23" spans="1:6">
      <c r="A23" s="38" t="s">
        <v>857</v>
      </c>
      <c r="B23" s="38" t="s">
        <v>861</v>
      </c>
      <c r="C23" s="38">
        <v>1</v>
      </c>
      <c r="D23" s="38" t="s">
        <v>170</v>
      </c>
      <c r="E23" s="38" t="s">
        <v>866</v>
      </c>
      <c r="F23" s="38">
        <v>10</v>
      </c>
    </row>
    <row r="24" spans="1:6">
      <c r="A24" s="38" t="s">
        <v>857</v>
      </c>
      <c r="B24" s="38" t="s">
        <v>861</v>
      </c>
      <c r="C24" s="38">
        <v>1</v>
      </c>
      <c r="D24" s="38" t="s">
        <v>170</v>
      </c>
      <c r="E24" s="38" t="s">
        <v>430</v>
      </c>
      <c r="F24" s="47">
        <v>22.5</v>
      </c>
    </row>
    <row r="25" spans="1:6">
      <c r="A25" s="38" t="s">
        <v>857</v>
      </c>
      <c r="B25" s="38" t="s">
        <v>861</v>
      </c>
      <c r="C25" s="38">
        <v>1</v>
      </c>
      <c r="D25" s="38" t="s">
        <v>170</v>
      </c>
      <c r="E25" s="38" t="s">
        <v>845</v>
      </c>
      <c r="F25" s="47">
        <v>42.5</v>
      </c>
    </row>
    <row r="26" spans="1:6">
      <c r="A26" s="38" t="s">
        <v>857</v>
      </c>
      <c r="B26" s="38" t="s">
        <v>861</v>
      </c>
      <c r="C26" s="38">
        <v>2</v>
      </c>
      <c r="D26" s="38" t="s">
        <v>170</v>
      </c>
      <c r="E26" s="38" t="s">
        <v>866</v>
      </c>
      <c r="F26" s="38">
        <v>10</v>
      </c>
    </row>
    <row r="27" spans="1:6">
      <c r="A27" s="38" t="s">
        <v>857</v>
      </c>
      <c r="B27" s="38" t="s">
        <v>861</v>
      </c>
      <c r="C27" s="41">
        <v>2</v>
      </c>
      <c r="D27" s="38" t="s">
        <v>170</v>
      </c>
      <c r="E27" s="38" t="s">
        <v>631</v>
      </c>
      <c r="F27" s="47">
        <v>17.5</v>
      </c>
    </row>
    <row r="28" spans="1:6">
      <c r="A28" s="38" t="s">
        <v>857</v>
      </c>
      <c r="B28" s="38" t="s">
        <v>861</v>
      </c>
      <c r="C28" s="41">
        <v>2</v>
      </c>
      <c r="D28" s="38" t="s">
        <v>170</v>
      </c>
      <c r="E28" s="38" t="s">
        <v>841</v>
      </c>
      <c r="F28" s="47">
        <v>32.5</v>
      </c>
    </row>
    <row r="29" spans="1:6">
      <c r="A29" s="38" t="s">
        <v>857</v>
      </c>
      <c r="B29" s="38" t="s">
        <v>861</v>
      </c>
      <c r="C29" s="41">
        <v>2</v>
      </c>
      <c r="D29" s="38" t="s">
        <v>170</v>
      </c>
      <c r="E29" s="38" t="s">
        <v>843</v>
      </c>
      <c r="F29" s="47">
        <v>37.5</v>
      </c>
    </row>
    <row r="30" spans="1:6">
      <c r="A30" s="38" t="s">
        <v>857</v>
      </c>
      <c r="B30" s="38" t="s">
        <v>861</v>
      </c>
      <c r="C30" s="38">
        <v>3</v>
      </c>
      <c r="D30" s="38" t="s">
        <v>170</v>
      </c>
      <c r="E30" s="38" t="s">
        <v>847</v>
      </c>
      <c r="F30" s="38">
        <v>8</v>
      </c>
    </row>
    <row r="31" spans="1:6">
      <c r="A31" s="38" t="s">
        <v>857</v>
      </c>
      <c r="B31" s="38" t="s">
        <v>861</v>
      </c>
      <c r="C31" s="38">
        <v>3</v>
      </c>
      <c r="D31" s="38" t="s">
        <v>170</v>
      </c>
      <c r="E31" s="38" t="s">
        <v>847</v>
      </c>
      <c r="F31" s="41">
        <v>9</v>
      </c>
    </row>
    <row r="32" spans="1:6">
      <c r="A32" s="38" t="s">
        <v>857</v>
      </c>
      <c r="B32" s="38" t="s">
        <v>861</v>
      </c>
      <c r="C32" s="38">
        <v>3</v>
      </c>
      <c r="D32" s="38" t="s">
        <v>170</v>
      </c>
      <c r="E32" s="38" t="s">
        <v>866</v>
      </c>
      <c r="F32" s="38">
        <v>10</v>
      </c>
    </row>
    <row r="33" spans="1:6">
      <c r="A33" s="38" t="s">
        <v>857</v>
      </c>
      <c r="B33" s="38" t="s">
        <v>861</v>
      </c>
      <c r="C33" s="41">
        <v>3</v>
      </c>
      <c r="D33" s="38" t="s">
        <v>170</v>
      </c>
      <c r="E33" s="38" t="s">
        <v>631</v>
      </c>
      <c r="F33" s="47">
        <v>17.5</v>
      </c>
    </row>
    <row r="34" spans="1:6">
      <c r="A34" s="38" t="s">
        <v>857</v>
      </c>
      <c r="B34" s="38" t="s">
        <v>861</v>
      </c>
      <c r="C34" s="41">
        <v>3</v>
      </c>
      <c r="D34" s="38" t="s">
        <v>170</v>
      </c>
      <c r="E34" s="38" t="s">
        <v>845</v>
      </c>
      <c r="F34" s="47">
        <v>42.5</v>
      </c>
    </row>
    <row r="35" spans="1:6">
      <c r="A35" s="38" t="s">
        <v>857</v>
      </c>
      <c r="B35" s="38" t="s">
        <v>861</v>
      </c>
      <c r="C35" s="38">
        <v>4</v>
      </c>
      <c r="D35" s="38" t="s">
        <v>170</v>
      </c>
      <c r="E35" s="38" t="s">
        <v>847</v>
      </c>
      <c r="F35" s="38">
        <v>8</v>
      </c>
    </row>
    <row r="36" spans="1:6">
      <c r="A36" s="38" t="s">
        <v>857</v>
      </c>
      <c r="B36" s="38" t="s">
        <v>861</v>
      </c>
      <c r="C36" s="38">
        <v>4</v>
      </c>
      <c r="D36" s="38" t="s">
        <v>170</v>
      </c>
      <c r="E36" s="38" t="s">
        <v>847</v>
      </c>
      <c r="F36" s="38">
        <v>8</v>
      </c>
    </row>
    <row r="37" spans="1:6">
      <c r="A37" s="38" t="s">
        <v>857</v>
      </c>
      <c r="B37" s="38" t="s">
        <v>861</v>
      </c>
      <c r="C37" s="38">
        <v>4</v>
      </c>
      <c r="D37" s="38" t="s">
        <v>170</v>
      </c>
      <c r="E37" s="38" t="s">
        <v>847</v>
      </c>
      <c r="F37" s="38">
        <v>7</v>
      </c>
    </row>
    <row r="38" spans="1:6">
      <c r="A38" s="38" t="s">
        <v>857</v>
      </c>
      <c r="B38" s="38" t="s">
        <v>861</v>
      </c>
      <c r="C38" s="38">
        <v>4</v>
      </c>
      <c r="D38" s="38" t="s">
        <v>170</v>
      </c>
      <c r="E38" s="38" t="s">
        <v>847</v>
      </c>
      <c r="F38" s="38">
        <v>6</v>
      </c>
    </row>
    <row r="39" spans="1:6">
      <c r="A39" s="38" t="s">
        <v>857</v>
      </c>
      <c r="B39" s="38" t="s">
        <v>861</v>
      </c>
      <c r="C39" s="38">
        <v>4</v>
      </c>
      <c r="D39" s="38" t="s">
        <v>170</v>
      </c>
      <c r="E39" s="38" t="s">
        <v>847</v>
      </c>
      <c r="F39" s="38">
        <v>7</v>
      </c>
    </row>
    <row r="40" spans="1:6">
      <c r="A40" s="38" t="s">
        <v>857</v>
      </c>
      <c r="B40" s="38" t="s">
        <v>861</v>
      </c>
      <c r="C40" s="38">
        <v>4</v>
      </c>
      <c r="D40" s="38" t="s">
        <v>170</v>
      </c>
      <c r="E40" s="38" t="s">
        <v>847</v>
      </c>
      <c r="F40" s="38">
        <v>7</v>
      </c>
    </row>
    <row r="41" spans="1:6">
      <c r="A41" s="38" t="s">
        <v>857</v>
      </c>
      <c r="B41" s="38" t="s">
        <v>861</v>
      </c>
      <c r="C41" s="38">
        <v>4</v>
      </c>
      <c r="D41" s="38" t="s">
        <v>170</v>
      </c>
      <c r="E41" s="38" t="s">
        <v>847</v>
      </c>
      <c r="F41" s="38">
        <v>7</v>
      </c>
    </row>
    <row r="42" spans="1:6">
      <c r="A42" s="38" t="s">
        <v>857</v>
      </c>
      <c r="B42" s="38" t="s">
        <v>861</v>
      </c>
      <c r="C42" s="38">
        <v>4</v>
      </c>
      <c r="D42" s="38" t="s">
        <v>170</v>
      </c>
      <c r="E42" s="38" t="s">
        <v>847</v>
      </c>
      <c r="F42" s="38">
        <v>8</v>
      </c>
    </row>
    <row r="43" spans="1:6">
      <c r="A43" s="38" t="s">
        <v>857</v>
      </c>
      <c r="B43" s="38" t="s">
        <v>861</v>
      </c>
      <c r="C43" s="38">
        <v>4</v>
      </c>
      <c r="D43" s="38" t="s">
        <v>170</v>
      </c>
      <c r="E43" s="38" t="s">
        <v>847</v>
      </c>
      <c r="F43" s="38">
        <v>8</v>
      </c>
    </row>
    <row r="44" spans="1:6">
      <c r="A44" s="38" t="s">
        <v>857</v>
      </c>
      <c r="B44" s="38" t="s">
        <v>861</v>
      </c>
      <c r="C44" s="38">
        <v>4</v>
      </c>
      <c r="D44" s="38" t="s">
        <v>170</v>
      </c>
      <c r="E44" s="38" t="s">
        <v>847</v>
      </c>
      <c r="F44" s="38">
        <v>8</v>
      </c>
    </row>
    <row r="45" spans="1:6">
      <c r="A45" s="38" t="s">
        <v>857</v>
      </c>
      <c r="B45" s="38" t="s">
        <v>861</v>
      </c>
      <c r="C45" s="38">
        <v>4</v>
      </c>
      <c r="D45" s="38" t="s">
        <v>170</v>
      </c>
      <c r="E45" s="38" t="s">
        <v>866</v>
      </c>
      <c r="F45" s="38">
        <v>10</v>
      </c>
    </row>
    <row r="46" spans="1:6">
      <c r="A46" s="38" t="s">
        <v>857</v>
      </c>
      <c r="B46" s="38" t="s">
        <v>861</v>
      </c>
      <c r="C46" s="41">
        <v>4</v>
      </c>
      <c r="D46" s="38" t="s">
        <v>170</v>
      </c>
      <c r="E46" s="38" t="s">
        <v>841</v>
      </c>
      <c r="F46" s="47">
        <v>32.5</v>
      </c>
    </row>
    <row r="47" spans="1:6">
      <c r="A47" s="38" t="s">
        <v>857</v>
      </c>
      <c r="B47" s="38" t="s">
        <v>861</v>
      </c>
      <c r="C47" s="41">
        <v>4</v>
      </c>
      <c r="D47" s="38" t="s">
        <v>170</v>
      </c>
      <c r="E47" s="38" t="s">
        <v>843</v>
      </c>
      <c r="F47" s="47">
        <v>37.5</v>
      </c>
    </row>
    <row r="48" spans="1:6">
      <c r="A48" s="38" t="s">
        <v>857</v>
      </c>
      <c r="B48" s="38" t="s">
        <v>861</v>
      </c>
      <c r="C48" s="38">
        <v>5</v>
      </c>
      <c r="D48" s="38" t="s">
        <v>170</v>
      </c>
      <c r="E48" s="38" t="s">
        <v>847</v>
      </c>
      <c r="F48" s="38">
        <v>8</v>
      </c>
    </row>
    <row r="49" spans="1:6">
      <c r="A49" s="38" t="s">
        <v>857</v>
      </c>
      <c r="B49" s="38" t="s">
        <v>861</v>
      </c>
      <c r="C49" s="38">
        <v>5</v>
      </c>
      <c r="D49" s="38" t="s">
        <v>170</v>
      </c>
      <c r="E49" s="38" t="s">
        <v>847</v>
      </c>
      <c r="F49" s="38">
        <v>8</v>
      </c>
    </row>
    <row r="50" spans="1:6">
      <c r="A50" s="38" t="s">
        <v>857</v>
      </c>
      <c r="B50" s="38" t="s">
        <v>861</v>
      </c>
      <c r="C50" s="38">
        <v>5</v>
      </c>
      <c r="D50" s="38" t="s">
        <v>170</v>
      </c>
      <c r="E50" s="38" t="s">
        <v>866</v>
      </c>
      <c r="F50" s="38">
        <v>10</v>
      </c>
    </row>
    <row r="51" spans="1:6">
      <c r="A51" s="38" t="s">
        <v>857</v>
      </c>
      <c r="B51" s="38" t="s">
        <v>861</v>
      </c>
      <c r="C51" s="38">
        <v>5</v>
      </c>
      <c r="D51" s="38" t="s">
        <v>170</v>
      </c>
      <c r="E51" s="38" t="s">
        <v>866</v>
      </c>
      <c r="F51" s="38">
        <v>10</v>
      </c>
    </row>
    <row r="52" spans="1:6">
      <c r="A52" s="38" t="s">
        <v>857</v>
      </c>
      <c r="B52" s="38" t="s">
        <v>861</v>
      </c>
      <c r="C52" s="38">
        <v>5</v>
      </c>
      <c r="D52" s="38" t="s">
        <v>170</v>
      </c>
      <c r="E52" s="38" t="s">
        <v>866</v>
      </c>
      <c r="F52" s="38">
        <v>10</v>
      </c>
    </row>
    <row r="53" spans="1:6">
      <c r="A53" s="38" t="s">
        <v>857</v>
      </c>
      <c r="B53" s="38" t="s">
        <v>861</v>
      </c>
      <c r="C53" s="41">
        <v>5</v>
      </c>
      <c r="D53" s="38" t="s">
        <v>170</v>
      </c>
      <c r="E53" s="38" t="s">
        <v>631</v>
      </c>
      <c r="F53" s="38">
        <v>17.5</v>
      </c>
    </row>
    <row r="54" spans="1:6">
      <c r="A54" s="38" t="s">
        <v>857</v>
      </c>
      <c r="B54" s="38" t="s">
        <v>861</v>
      </c>
      <c r="C54" s="41">
        <v>5</v>
      </c>
      <c r="D54" s="38" t="s">
        <v>170</v>
      </c>
      <c r="E54" s="38" t="s">
        <v>631</v>
      </c>
      <c r="F54" s="38">
        <v>17.5</v>
      </c>
    </row>
    <row r="55" spans="1:6">
      <c r="A55" s="38" t="s">
        <v>857</v>
      </c>
      <c r="B55" s="38" t="s">
        <v>861</v>
      </c>
      <c r="C55" s="41">
        <v>5</v>
      </c>
      <c r="D55" s="38" t="s">
        <v>170</v>
      </c>
      <c r="E55" s="38" t="s">
        <v>430</v>
      </c>
      <c r="F55" s="38">
        <v>22.5</v>
      </c>
    </row>
    <row r="56" spans="1:6">
      <c r="A56" s="38" t="s">
        <v>857</v>
      </c>
      <c r="B56" s="38" t="s">
        <v>861</v>
      </c>
      <c r="C56" s="41">
        <v>5</v>
      </c>
      <c r="D56" s="38" t="s">
        <v>170</v>
      </c>
      <c r="E56" s="38" t="s">
        <v>430</v>
      </c>
      <c r="F56" s="38">
        <v>22.5</v>
      </c>
    </row>
    <row r="57" spans="1:6">
      <c r="A57" s="38" t="s">
        <v>857</v>
      </c>
      <c r="B57" s="38" t="s">
        <v>861</v>
      </c>
      <c r="C57" s="38">
        <v>6</v>
      </c>
      <c r="D57" s="38" t="s">
        <v>170</v>
      </c>
      <c r="E57" s="38" t="s">
        <v>847</v>
      </c>
      <c r="F57" s="38">
        <v>7</v>
      </c>
    </row>
    <row r="58" spans="1:6">
      <c r="A58" s="38" t="s">
        <v>857</v>
      </c>
      <c r="B58" s="38" t="s">
        <v>861</v>
      </c>
      <c r="C58" s="38">
        <v>6</v>
      </c>
      <c r="D58" s="38" t="s">
        <v>170</v>
      </c>
      <c r="E58" s="38" t="s">
        <v>847</v>
      </c>
      <c r="F58" s="38">
        <v>8</v>
      </c>
    </row>
    <row r="59" spans="1:6">
      <c r="A59" s="38" t="s">
        <v>857</v>
      </c>
      <c r="B59" s="38" t="s">
        <v>861</v>
      </c>
      <c r="C59" s="38">
        <v>6</v>
      </c>
      <c r="D59" s="38" t="s">
        <v>170</v>
      </c>
      <c r="E59" s="38" t="s">
        <v>847</v>
      </c>
      <c r="F59" s="38">
        <v>8</v>
      </c>
    </row>
    <row r="60" spans="1:6">
      <c r="A60" s="38" t="s">
        <v>857</v>
      </c>
      <c r="B60" s="38" t="s">
        <v>861</v>
      </c>
      <c r="C60" s="38">
        <v>6</v>
      </c>
      <c r="D60" s="38" t="s">
        <v>170</v>
      </c>
      <c r="E60" s="38" t="s">
        <v>847</v>
      </c>
      <c r="F60" s="38">
        <v>8</v>
      </c>
    </row>
    <row r="61" spans="1:6">
      <c r="A61" s="38" t="s">
        <v>857</v>
      </c>
      <c r="B61" s="38" t="s">
        <v>861</v>
      </c>
      <c r="C61" s="38">
        <v>6</v>
      </c>
      <c r="D61" s="38" t="s">
        <v>170</v>
      </c>
      <c r="E61" s="38" t="s">
        <v>847</v>
      </c>
      <c r="F61" s="38">
        <v>8</v>
      </c>
    </row>
    <row r="62" spans="1:6">
      <c r="A62" s="38" t="s">
        <v>857</v>
      </c>
      <c r="B62" s="38" t="s">
        <v>861</v>
      </c>
      <c r="C62" s="38">
        <v>6</v>
      </c>
      <c r="D62" s="38" t="s">
        <v>170</v>
      </c>
      <c r="E62" s="38" t="s">
        <v>847</v>
      </c>
      <c r="F62" s="38">
        <v>9</v>
      </c>
    </row>
    <row r="63" spans="1:6">
      <c r="A63" s="38" t="s">
        <v>857</v>
      </c>
      <c r="B63" s="38" t="s">
        <v>861</v>
      </c>
      <c r="C63" s="41">
        <v>6</v>
      </c>
      <c r="D63" s="38" t="s">
        <v>170</v>
      </c>
      <c r="E63" s="38" t="s">
        <v>631</v>
      </c>
      <c r="F63" s="47">
        <v>17.5</v>
      </c>
    </row>
    <row r="64" spans="1:6">
      <c r="A64" s="38" t="s">
        <v>857</v>
      </c>
      <c r="B64" s="38" t="s">
        <v>861</v>
      </c>
      <c r="C64" s="41">
        <v>6</v>
      </c>
      <c r="D64" s="38" t="s">
        <v>170</v>
      </c>
      <c r="E64" s="38" t="s">
        <v>631</v>
      </c>
      <c r="F64" s="47">
        <v>17.5</v>
      </c>
    </row>
    <row r="65" spans="1:6">
      <c r="A65" s="38" t="s">
        <v>857</v>
      </c>
      <c r="B65" s="38" t="s">
        <v>861</v>
      </c>
      <c r="C65" s="41">
        <v>6</v>
      </c>
      <c r="D65" s="38" t="s">
        <v>170</v>
      </c>
      <c r="E65" s="38" t="s">
        <v>631</v>
      </c>
      <c r="F65" s="47">
        <v>17.5</v>
      </c>
    </row>
    <row r="66" spans="1:6">
      <c r="A66" s="38" t="s">
        <v>857</v>
      </c>
      <c r="B66" s="38" t="s">
        <v>861</v>
      </c>
      <c r="C66" s="41">
        <v>6</v>
      </c>
      <c r="D66" s="38" t="s">
        <v>170</v>
      </c>
      <c r="E66" s="38" t="s">
        <v>430</v>
      </c>
      <c r="F66" s="47">
        <v>22.5</v>
      </c>
    </row>
    <row r="67" spans="1:6">
      <c r="A67" s="38" t="s">
        <v>857</v>
      </c>
      <c r="B67" s="38" t="s">
        <v>861</v>
      </c>
      <c r="C67" s="41">
        <v>6</v>
      </c>
      <c r="D67" s="38" t="s">
        <v>170</v>
      </c>
      <c r="E67" s="38" t="s">
        <v>430</v>
      </c>
      <c r="F67" s="47">
        <v>22.5</v>
      </c>
    </row>
    <row r="68" spans="1:6">
      <c r="A68" s="38" t="s">
        <v>857</v>
      </c>
      <c r="B68" s="38" t="s">
        <v>861</v>
      </c>
      <c r="C68" s="41">
        <v>6</v>
      </c>
      <c r="D68" s="38" t="s">
        <v>170</v>
      </c>
      <c r="E68" s="38" t="s">
        <v>430</v>
      </c>
      <c r="F68" s="47">
        <v>22.5</v>
      </c>
    </row>
    <row r="69" spans="1:6">
      <c r="A69" s="38" t="s">
        <v>857</v>
      </c>
      <c r="B69" s="38" t="s">
        <v>861</v>
      </c>
      <c r="C69" s="41">
        <v>6</v>
      </c>
      <c r="D69" s="38" t="s">
        <v>170</v>
      </c>
      <c r="E69" s="38" t="s">
        <v>432</v>
      </c>
      <c r="F69" s="47">
        <v>27.5</v>
      </c>
    </row>
    <row r="70" spans="1:6">
      <c r="A70" s="38" t="s">
        <v>857</v>
      </c>
      <c r="B70" s="38" t="s">
        <v>862</v>
      </c>
      <c r="C70" s="38">
        <v>1</v>
      </c>
      <c r="D70" s="38" t="s">
        <v>170</v>
      </c>
      <c r="E70" s="38" t="s">
        <v>847</v>
      </c>
      <c r="F70" s="51">
        <v>9</v>
      </c>
    </row>
    <row r="71" spans="1:6">
      <c r="A71" s="38" t="s">
        <v>857</v>
      </c>
      <c r="B71" s="38" t="s">
        <v>862</v>
      </c>
      <c r="C71" s="38">
        <v>1</v>
      </c>
      <c r="D71" s="38" t="s">
        <v>170</v>
      </c>
      <c r="E71" s="38" t="s">
        <v>847</v>
      </c>
      <c r="F71" s="51">
        <v>8</v>
      </c>
    </row>
    <row r="72" spans="1:6">
      <c r="A72" s="38" t="s">
        <v>857</v>
      </c>
      <c r="B72" s="38" t="s">
        <v>862</v>
      </c>
      <c r="C72" s="38">
        <v>1</v>
      </c>
      <c r="D72" s="38" t="s">
        <v>170</v>
      </c>
      <c r="E72" s="38" t="s">
        <v>866</v>
      </c>
      <c r="F72" s="51">
        <v>11</v>
      </c>
    </row>
    <row r="73" spans="1:6">
      <c r="A73" s="38" t="s">
        <v>857</v>
      </c>
      <c r="B73" s="38" t="s">
        <v>862</v>
      </c>
      <c r="C73" s="38">
        <v>1</v>
      </c>
      <c r="D73" s="38" t="s">
        <v>170</v>
      </c>
      <c r="E73" s="38" t="s">
        <v>866</v>
      </c>
      <c r="F73" s="51">
        <v>10</v>
      </c>
    </row>
    <row r="74" spans="1:6">
      <c r="A74" s="38" t="s">
        <v>857</v>
      </c>
      <c r="B74" s="38" t="s">
        <v>862</v>
      </c>
      <c r="C74" s="38">
        <v>1</v>
      </c>
      <c r="D74" s="38" t="s">
        <v>170</v>
      </c>
      <c r="E74" s="38" t="s">
        <v>866</v>
      </c>
      <c r="F74" s="51">
        <v>12</v>
      </c>
    </row>
    <row r="75" spans="1:6">
      <c r="A75" s="38" t="s">
        <v>857</v>
      </c>
      <c r="B75" s="38" t="s">
        <v>862</v>
      </c>
      <c r="C75" s="38">
        <v>1</v>
      </c>
      <c r="D75" s="38" t="s">
        <v>170</v>
      </c>
      <c r="E75" s="38" t="s">
        <v>866</v>
      </c>
      <c r="F75" s="51">
        <v>11</v>
      </c>
    </row>
    <row r="76" spans="1:6">
      <c r="A76" s="38" t="s">
        <v>857</v>
      </c>
      <c r="B76" s="38" t="s">
        <v>862</v>
      </c>
      <c r="C76" s="38">
        <v>1</v>
      </c>
      <c r="D76" s="38" t="s">
        <v>170</v>
      </c>
      <c r="E76" s="38" t="s">
        <v>866</v>
      </c>
      <c r="F76" s="51">
        <v>12</v>
      </c>
    </row>
    <row r="77" spans="1:6">
      <c r="A77" s="38" t="s">
        <v>857</v>
      </c>
      <c r="B77" s="38" t="s">
        <v>862</v>
      </c>
      <c r="C77" s="38">
        <v>1</v>
      </c>
      <c r="D77" s="38" t="s">
        <v>170</v>
      </c>
      <c r="E77" s="38" t="s">
        <v>866</v>
      </c>
      <c r="F77" s="51">
        <v>10</v>
      </c>
    </row>
    <row r="78" spans="1:6">
      <c r="A78" s="38" t="s">
        <v>857</v>
      </c>
      <c r="B78" s="38" t="s">
        <v>862</v>
      </c>
      <c r="C78" s="38">
        <v>1</v>
      </c>
      <c r="D78" s="38" t="s">
        <v>170</v>
      </c>
      <c r="E78" s="38" t="s">
        <v>866</v>
      </c>
      <c r="F78" s="51">
        <v>14</v>
      </c>
    </row>
    <row r="79" spans="1:6">
      <c r="A79" s="38" t="s">
        <v>857</v>
      </c>
      <c r="B79" s="38" t="s">
        <v>862</v>
      </c>
      <c r="C79" s="38">
        <v>1</v>
      </c>
      <c r="D79" s="38" t="s">
        <v>170</v>
      </c>
      <c r="E79" s="38" t="s">
        <v>631</v>
      </c>
      <c r="F79" s="47">
        <v>17.5</v>
      </c>
    </row>
    <row r="80" spans="1:6">
      <c r="A80" s="38" t="s">
        <v>857</v>
      </c>
      <c r="B80" s="38" t="s">
        <v>862</v>
      </c>
      <c r="C80" s="38">
        <v>1</v>
      </c>
      <c r="D80" s="38" t="s">
        <v>170</v>
      </c>
      <c r="E80" s="38" t="s">
        <v>430</v>
      </c>
      <c r="F80" s="47">
        <v>22.5</v>
      </c>
    </row>
    <row r="81" spans="1:6">
      <c r="A81" s="38" t="s">
        <v>857</v>
      </c>
      <c r="B81" s="38" t="s">
        <v>862</v>
      </c>
      <c r="C81" s="38">
        <v>1</v>
      </c>
      <c r="D81" s="38" t="s">
        <v>170</v>
      </c>
      <c r="E81" s="38" t="s">
        <v>430</v>
      </c>
      <c r="F81" s="47">
        <v>22.5</v>
      </c>
    </row>
    <row r="82" spans="1:6">
      <c r="A82" s="38" t="s">
        <v>857</v>
      </c>
      <c r="B82" s="38" t="s">
        <v>862</v>
      </c>
      <c r="C82" s="38">
        <v>2</v>
      </c>
      <c r="D82" s="38" t="s">
        <v>170</v>
      </c>
      <c r="E82" s="38" t="s">
        <v>847</v>
      </c>
      <c r="F82" s="38">
        <v>8</v>
      </c>
    </row>
    <row r="83" spans="1:6">
      <c r="A83" s="38" t="s">
        <v>857</v>
      </c>
      <c r="B83" s="38" t="s">
        <v>862</v>
      </c>
      <c r="C83" s="38">
        <v>2</v>
      </c>
      <c r="D83" s="38" t="s">
        <v>170</v>
      </c>
      <c r="E83" s="38" t="s">
        <v>847</v>
      </c>
      <c r="F83" s="38">
        <v>8</v>
      </c>
    </row>
    <row r="84" spans="1:6">
      <c r="A84" s="38" t="s">
        <v>857</v>
      </c>
      <c r="B84" s="38" t="s">
        <v>862</v>
      </c>
      <c r="C84" s="38">
        <v>2</v>
      </c>
      <c r="D84" s="38" t="s">
        <v>170</v>
      </c>
      <c r="E84" s="38" t="s">
        <v>866</v>
      </c>
      <c r="F84" s="38">
        <v>13</v>
      </c>
    </row>
    <row r="85" spans="1:6">
      <c r="A85" s="38" t="s">
        <v>857</v>
      </c>
      <c r="B85" s="38" t="s">
        <v>862</v>
      </c>
      <c r="C85" s="38">
        <v>2</v>
      </c>
      <c r="D85" s="38" t="s">
        <v>170</v>
      </c>
      <c r="E85" s="38" t="s">
        <v>866</v>
      </c>
      <c r="F85" s="38">
        <v>11</v>
      </c>
    </row>
    <row r="86" spans="1:6">
      <c r="A86" s="38" t="s">
        <v>857</v>
      </c>
      <c r="B86" s="38" t="s">
        <v>862</v>
      </c>
      <c r="C86" s="38">
        <v>3</v>
      </c>
      <c r="D86" s="38" t="s">
        <v>170</v>
      </c>
      <c r="E86" s="38" t="s">
        <v>847</v>
      </c>
      <c r="F86" s="51">
        <v>8</v>
      </c>
    </row>
    <row r="87" spans="1:6">
      <c r="A87" s="38" t="s">
        <v>857</v>
      </c>
      <c r="B87" s="38" t="s">
        <v>862</v>
      </c>
      <c r="C87" s="38">
        <v>3</v>
      </c>
      <c r="D87" s="38" t="s">
        <v>170</v>
      </c>
      <c r="E87" s="38" t="s">
        <v>847</v>
      </c>
      <c r="F87" s="51">
        <v>8</v>
      </c>
    </row>
    <row r="88" spans="1:6">
      <c r="A88" s="38" t="s">
        <v>857</v>
      </c>
      <c r="B88" s="38" t="s">
        <v>862</v>
      </c>
      <c r="C88" s="38">
        <v>3</v>
      </c>
      <c r="D88" s="38" t="s">
        <v>170</v>
      </c>
      <c r="E88" s="38" t="s">
        <v>866</v>
      </c>
      <c r="F88" s="51">
        <v>10</v>
      </c>
    </row>
    <row r="89" spans="1:6">
      <c r="A89" s="38" t="s">
        <v>857</v>
      </c>
      <c r="B89" s="38" t="s">
        <v>862</v>
      </c>
      <c r="C89" s="38">
        <v>3</v>
      </c>
      <c r="D89" s="38" t="s">
        <v>170</v>
      </c>
      <c r="E89" s="38" t="s">
        <v>866</v>
      </c>
      <c r="F89" s="51">
        <v>10</v>
      </c>
    </row>
    <row r="90" spans="1:6">
      <c r="A90" s="38" t="s">
        <v>857</v>
      </c>
      <c r="B90" s="38" t="s">
        <v>862</v>
      </c>
      <c r="C90" s="38">
        <v>3</v>
      </c>
      <c r="D90" s="38" t="s">
        <v>170</v>
      </c>
      <c r="E90" s="38" t="s">
        <v>866</v>
      </c>
      <c r="F90" s="51">
        <v>11</v>
      </c>
    </row>
    <row r="91" spans="1:6">
      <c r="A91" s="38" t="s">
        <v>857</v>
      </c>
      <c r="B91" s="38" t="s">
        <v>862</v>
      </c>
      <c r="C91" s="38">
        <v>3</v>
      </c>
      <c r="D91" s="38" t="s">
        <v>170</v>
      </c>
      <c r="E91" s="38" t="s">
        <v>866</v>
      </c>
      <c r="F91" s="51">
        <v>10</v>
      </c>
    </row>
    <row r="92" spans="1:6">
      <c r="A92" s="38" t="s">
        <v>857</v>
      </c>
      <c r="B92" s="38" t="s">
        <v>862</v>
      </c>
      <c r="C92" s="38">
        <v>3</v>
      </c>
      <c r="D92" s="38" t="s">
        <v>170</v>
      </c>
      <c r="E92" s="38" t="s">
        <v>866</v>
      </c>
      <c r="F92" s="51">
        <v>10</v>
      </c>
    </row>
    <row r="93" spans="1:6">
      <c r="A93" s="38" t="s">
        <v>857</v>
      </c>
      <c r="B93" s="38" t="s">
        <v>862</v>
      </c>
      <c r="C93" s="38">
        <v>3</v>
      </c>
      <c r="D93" s="38" t="s">
        <v>170</v>
      </c>
      <c r="E93" s="38" t="s">
        <v>866</v>
      </c>
      <c r="F93" s="51">
        <v>11</v>
      </c>
    </row>
    <row r="94" spans="1:6">
      <c r="A94" s="38" t="s">
        <v>857</v>
      </c>
      <c r="B94" s="38" t="s">
        <v>862</v>
      </c>
      <c r="C94" s="38">
        <v>3</v>
      </c>
      <c r="D94" s="38" t="s">
        <v>170</v>
      </c>
      <c r="E94" s="38" t="s">
        <v>866</v>
      </c>
      <c r="F94" s="51">
        <v>10</v>
      </c>
    </row>
    <row r="95" spans="1:6">
      <c r="A95" s="38" t="s">
        <v>857</v>
      </c>
      <c r="B95" s="38" t="s">
        <v>862</v>
      </c>
      <c r="C95" s="41">
        <v>3</v>
      </c>
      <c r="D95" s="38" t="s">
        <v>170</v>
      </c>
      <c r="E95" s="38" t="s">
        <v>631</v>
      </c>
      <c r="F95" s="47">
        <v>3</v>
      </c>
    </row>
    <row r="96" spans="1:6">
      <c r="A96" s="38" t="s">
        <v>857</v>
      </c>
      <c r="B96" s="38" t="s">
        <v>862</v>
      </c>
      <c r="C96" s="41">
        <v>3</v>
      </c>
      <c r="D96" s="38" t="s">
        <v>170</v>
      </c>
      <c r="E96" s="38" t="s">
        <v>430</v>
      </c>
      <c r="F96" s="47">
        <v>22.5</v>
      </c>
    </row>
    <row r="97" spans="1:6">
      <c r="A97" s="38" t="s">
        <v>857</v>
      </c>
      <c r="B97" s="38" t="s">
        <v>862</v>
      </c>
      <c r="C97" s="41">
        <v>3</v>
      </c>
      <c r="D97" s="38" t="s">
        <v>170</v>
      </c>
      <c r="E97" s="38" t="s">
        <v>430</v>
      </c>
      <c r="F97" s="47">
        <v>22.5</v>
      </c>
    </row>
    <row r="98" spans="1:6">
      <c r="A98" s="38" t="s">
        <v>857</v>
      </c>
      <c r="B98" s="38" t="s">
        <v>862</v>
      </c>
      <c r="C98" s="41">
        <v>3</v>
      </c>
      <c r="D98" s="38" t="s">
        <v>170</v>
      </c>
      <c r="E98" s="38" t="s">
        <v>430</v>
      </c>
      <c r="F98" s="47">
        <v>22.5</v>
      </c>
    </row>
    <row r="99" spans="1:6">
      <c r="A99" s="38" t="s">
        <v>857</v>
      </c>
      <c r="B99" s="38" t="s">
        <v>862</v>
      </c>
      <c r="C99" s="41">
        <v>3</v>
      </c>
      <c r="D99" s="38" t="s">
        <v>170</v>
      </c>
      <c r="E99" s="38" t="s">
        <v>430</v>
      </c>
      <c r="F99" s="47">
        <v>22.5</v>
      </c>
    </row>
    <row r="100" spans="1:6">
      <c r="A100" s="38" t="s">
        <v>857</v>
      </c>
      <c r="B100" s="38" t="s">
        <v>862</v>
      </c>
      <c r="C100" s="41">
        <v>3</v>
      </c>
      <c r="D100" s="38" t="s">
        <v>170</v>
      </c>
      <c r="E100" s="38" t="s">
        <v>841</v>
      </c>
      <c r="F100" s="47">
        <v>32.5</v>
      </c>
    </row>
    <row r="101" spans="1:6">
      <c r="A101" s="38" t="s">
        <v>857</v>
      </c>
      <c r="B101" s="38" t="s">
        <v>862</v>
      </c>
      <c r="C101" s="38">
        <v>4</v>
      </c>
      <c r="D101" s="38" t="s">
        <v>170</v>
      </c>
      <c r="E101" s="38" t="s">
        <v>847</v>
      </c>
      <c r="F101" s="51">
        <v>7</v>
      </c>
    </row>
    <row r="102" spans="1:6">
      <c r="A102" s="38" t="s">
        <v>857</v>
      </c>
      <c r="B102" s="38" t="s">
        <v>862</v>
      </c>
      <c r="C102" s="38">
        <v>4</v>
      </c>
      <c r="D102" s="38" t="s">
        <v>170</v>
      </c>
      <c r="E102" s="38" t="s">
        <v>847</v>
      </c>
      <c r="F102" s="51">
        <v>7</v>
      </c>
    </row>
    <row r="103" spans="1:6">
      <c r="A103" s="38" t="s">
        <v>857</v>
      </c>
      <c r="B103" s="38" t="s">
        <v>862</v>
      </c>
      <c r="C103" s="38">
        <v>4</v>
      </c>
      <c r="D103" s="38" t="s">
        <v>170</v>
      </c>
      <c r="E103" s="38" t="s">
        <v>847</v>
      </c>
      <c r="F103" s="51">
        <v>7</v>
      </c>
    </row>
    <row r="104" spans="1:6">
      <c r="A104" s="38" t="s">
        <v>857</v>
      </c>
      <c r="B104" s="38" t="s">
        <v>862</v>
      </c>
      <c r="C104" s="38">
        <v>4</v>
      </c>
      <c r="D104" s="38" t="s">
        <v>170</v>
      </c>
      <c r="E104" s="38" t="s">
        <v>847</v>
      </c>
      <c r="F104" s="51">
        <v>8</v>
      </c>
    </row>
    <row r="105" spans="1:6">
      <c r="A105" s="38" t="s">
        <v>857</v>
      </c>
      <c r="B105" s="38" t="s">
        <v>862</v>
      </c>
      <c r="C105" s="38">
        <v>4</v>
      </c>
      <c r="D105" s="38" t="s">
        <v>170</v>
      </c>
      <c r="E105" s="38" t="s">
        <v>847</v>
      </c>
      <c r="F105" s="51">
        <v>9</v>
      </c>
    </row>
    <row r="106" spans="1:6">
      <c r="A106" s="38" t="s">
        <v>857</v>
      </c>
      <c r="B106" s="38" t="s">
        <v>862</v>
      </c>
      <c r="C106" s="38">
        <v>4</v>
      </c>
      <c r="D106" s="38" t="s">
        <v>170</v>
      </c>
      <c r="E106" s="38" t="s">
        <v>866</v>
      </c>
      <c r="F106" s="51">
        <v>10</v>
      </c>
    </row>
    <row r="107" spans="1:6">
      <c r="A107" s="38" t="s">
        <v>857</v>
      </c>
      <c r="B107" s="38" t="s">
        <v>862</v>
      </c>
      <c r="C107" s="38">
        <v>4</v>
      </c>
      <c r="D107" s="38" t="s">
        <v>170</v>
      </c>
      <c r="E107" s="38" t="s">
        <v>866</v>
      </c>
      <c r="F107" s="51">
        <v>12</v>
      </c>
    </row>
    <row r="108" spans="1:6">
      <c r="A108" s="38" t="s">
        <v>857</v>
      </c>
      <c r="B108" s="38" t="s">
        <v>862</v>
      </c>
      <c r="C108" s="38">
        <v>4</v>
      </c>
      <c r="D108" s="38" t="s">
        <v>170</v>
      </c>
      <c r="E108" s="38" t="s">
        <v>866</v>
      </c>
      <c r="F108" s="51">
        <v>10</v>
      </c>
    </row>
    <row r="109" spans="1:6">
      <c r="A109" s="38" t="s">
        <v>857</v>
      </c>
      <c r="B109" s="38" t="s">
        <v>862</v>
      </c>
      <c r="C109" s="38">
        <v>4</v>
      </c>
      <c r="D109" s="38" t="s">
        <v>170</v>
      </c>
      <c r="E109" s="38" t="s">
        <v>866</v>
      </c>
      <c r="F109" s="51">
        <v>10</v>
      </c>
    </row>
    <row r="110" spans="1:6">
      <c r="A110" s="38" t="s">
        <v>857</v>
      </c>
      <c r="B110" s="38" t="s">
        <v>862</v>
      </c>
      <c r="C110" s="38">
        <v>4</v>
      </c>
      <c r="D110" s="38" t="s">
        <v>170</v>
      </c>
      <c r="E110" s="38" t="s">
        <v>866</v>
      </c>
      <c r="F110" s="51">
        <v>10</v>
      </c>
    </row>
    <row r="111" spans="1:6">
      <c r="A111" s="38" t="s">
        <v>857</v>
      </c>
      <c r="B111" s="38" t="s">
        <v>862</v>
      </c>
      <c r="C111" s="41">
        <v>4</v>
      </c>
      <c r="D111" s="38" t="s">
        <v>170</v>
      </c>
      <c r="E111" s="38" t="s">
        <v>631</v>
      </c>
      <c r="F111" s="47">
        <v>17.5</v>
      </c>
    </row>
    <row r="112" spans="1:6">
      <c r="A112" s="38" t="s">
        <v>857</v>
      </c>
      <c r="B112" s="38" t="s">
        <v>862</v>
      </c>
      <c r="C112" s="38">
        <v>5</v>
      </c>
      <c r="D112" s="38" t="s">
        <v>170</v>
      </c>
      <c r="E112" s="38" t="s">
        <v>847</v>
      </c>
      <c r="F112" s="51">
        <v>8</v>
      </c>
    </row>
    <row r="113" spans="1:6">
      <c r="A113" s="38" t="s">
        <v>857</v>
      </c>
      <c r="B113" s="38" t="s">
        <v>862</v>
      </c>
      <c r="C113" s="38">
        <v>5</v>
      </c>
      <c r="D113" s="38" t="s">
        <v>170</v>
      </c>
      <c r="E113" s="38" t="s">
        <v>847</v>
      </c>
      <c r="F113" s="51">
        <v>9</v>
      </c>
    </row>
    <row r="114" spans="1:6">
      <c r="A114" s="38" t="s">
        <v>857</v>
      </c>
      <c r="B114" s="38" t="s">
        <v>862</v>
      </c>
      <c r="C114" s="38">
        <v>5</v>
      </c>
      <c r="D114" s="38" t="s">
        <v>170</v>
      </c>
      <c r="E114" s="38" t="s">
        <v>847</v>
      </c>
      <c r="F114" s="51">
        <v>8</v>
      </c>
    </row>
    <row r="115" spans="1:6">
      <c r="A115" s="38" t="s">
        <v>857</v>
      </c>
      <c r="B115" s="38" t="s">
        <v>862</v>
      </c>
      <c r="C115" s="38">
        <v>5</v>
      </c>
      <c r="D115" s="38" t="s">
        <v>170</v>
      </c>
      <c r="E115" s="38" t="s">
        <v>866</v>
      </c>
      <c r="F115" s="51">
        <v>10</v>
      </c>
    </row>
    <row r="116" spans="1:6">
      <c r="A116" s="38" t="s">
        <v>857</v>
      </c>
      <c r="B116" s="38" t="s">
        <v>862</v>
      </c>
      <c r="C116" s="38">
        <v>6</v>
      </c>
      <c r="D116" s="38" t="s">
        <v>170</v>
      </c>
      <c r="E116" s="38" t="s">
        <v>847</v>
      </c>
      <c r="F116" s="51">
        <v>8</v>
      </c>
    </row>
    <row r="117" spans="1:6">
      <c r="A117" s="38" t="s">
        <v>857</v>
      </c>
      <c r="B117" s="38" t="s">
        <v>862</v>
      </c>
      <c r="C117" s="41">
        <v>6</v>
      </c>
      <c r="D117" s="38" t="s">
        <v>170</v>
      </c>
      <c r="E117" s="38" t="s">
        <v>631</v>
      </c>
      <c r="F117" s="47">
        <v>17.5</v>
      </c>
    </row>
    <row r="118" spans="1:6">
      <c r="A118" s="38" t="s">
        <v>857</v>
      </c>
      <c r="B118" s="38" t="s">
        <v>862</v>
      </c>
      <c r="C118" s="41">
        <v>6</v>
      </c>
      <c r="D118" s="38" t="s">
        <v>170</v>
      </c>
      <c r="E118" s="38" t="s">
        <v>432</v>
      </c>
      <c r="F118" s="47">
        <v>27.5</v>
      </c>
    </row>
    <row r="119" spans="1:6">
      <c r="A119" s="38" t="s">
        <v>537</v>
      </c>
      <c r="B119" s="38" t="s">
        <v>863</v>
      </c>
      <c r="C119" s="38">
        <v>1</v>
      </c>
      <c r="D119" s="38" t="s">
        <v>170</v>
      </c>
      <c r="E119" s="38" t="s">
        <v>866</v>
      </c>
      <c r="F119" s="47">
        <v>12.5</v>
      </c>
    </row>
    <row r="120" spans="1:6">
      <c r="A120" s="38" t="s">
        <v>537</v>
      </c>
      <c r="B120" s="38" t="s">
        <v>863</v>
      </c>
      <c r="C120" s="38">
        <v>1</v>
      </c>
      <c r="D120" s="38" t="s">
        <v>170</v>
      </c>
      <c r="E120" s="38" t="s">
        <v>843</v>
      </c>
      <c r="F120" s="47">
        <v>27.5</v>
      </c>
    </row>
    <row r="121" spans="1:6">
      <c r="A121" s="38" t="s">
        <v>537</v>
      </c>
      <c r="B121" s="38" t="s">
        <v>863</v>
      </c>
      <c r="C121" s="41">
        <v>2</v>
      </c>
      <c r="D121" s="38" t="s">
        <v>170</v>
      </c>
      <c r="E121" s="38" t="s">
        <v>841</v>
      </c>
      <c r="F121" s="47">
        <v>32.5</v>
      </c>
    </row>
    <row r="122" spans="1:6">
      <c r="A122" s="38" t="s">
        <v>537</v>
      </c>
      <c r="B122" s="38" t="s">
        <v>863</v>
      </c>
      <c r="C122" s="38">
        <v>3</v>
      </c>
      <c r="D122" s="38" t="s">
        <v>170</v>
      </c>
      <c r="E122" s="38" t="s">
        <v>866</v>
      </c>
      <c r="F122" s="47">
        <v>12.5</v>
      </c>
    </row>
    <row r="123" spans="1:6">
      <c r="A123" s="38" t="s">
        <v>793</v>
      </c>
      <c r="B123" s="38" t="s">
        <v>863</v>
      </c>
      <c r="C123" s="41">
        <v>4</v>
      </c>
      <c r="D123" s="38" t="s">
        <v>170</v>
      </c>
      <c r="E123" s="38" t="s">
        <v>430</v>
      </c>
      <c r="F123" s="47">
        <v>22.5</v>
      </c>
    </row>
    <row r="124" spans="1:6">
      <c r="A124" s="38" t="s">
        <v>537</v>
      </c>
      <c r="B124" s="38" t="s">
        <v>863</v>
      </c>
      <c r="C124" s="38">
        <v>5</v>
      </c>
      <c r="D124" s="38" t="s">
        <v>170</v>
      </c>
      <c r="E124" s="38" t="s">
        <v>866</v>
      </c>
      <c r="F124" s="38">
        <v>12.5</v>
      </c>
    </row>
    <row r="125" spans="1:6">
      <c r="A125" s="38" t="s">
        <v>537</v>
      </c>
      <c r="B125" s="38" t="s">
        <v>863</v>
      </c>
      <c r="C125" s="38">
        <v>5</v>
      </c>
      <c r="D125" s="38" t="s">
        <v>170</v>
      </c>
      <c r="E125" s="38" t="s">
        <v>866</v>
      </c>
      <c r="F125" s="38">
        <v>12.5</v>
      </c>
    </row>
    <row r="126" spans="1:6">
      <c r="A126" s="38" t="s">
        <v>537</v>
      </c>
      <c r="B126" s="38" t="s">
        <v>863</v>
      </c>
      <c r="C126" s="41">
        <v>5</v>
      </c>
      <c r="D126" s="38" t="s">
        <v>170</v>
      </c>
      <c r="E126" s="38" t="s">
        <v>430</v>
      </c>
      <c r="F126" s="47">
        <v>22.5</v>
      </c>
    </row>
    <row r="127" spans="1:6">
      <c r="A127" s="38" t="s">
        <v>537</v>
      </c>
      <c r="B127" s="38" t="s">
        <v>863</v>
      </c>
      <c r="C127" s="41">
        <v>5</v>
      </c>
      <c r="D127" s="38" t="s">
        <v>170</v>
      </c>
      <c r="E127" s="38" t="s">
        <v>430</v>
      </c>
      <c r="F127" s="47">
        <v>22.5</v>
      </c>
    </row>
    <row r="128" spans="1:6">
      <c r="A128" s="38" t="s">
        <v>537</v>
      </c>
      <c r="B128" s="38" t="s">
        <v>863</v>
      </c>
      <c r="C128" s="41">
        <v>5</v>
      </c>
      <c r="D128" s="38" t="s">
        <v>170</v>
      </c>
      <c r="E128" s="38" t="s">
        <v>432</v>
      </c>
      <c r="F128" s="47">
        <v>27.5</v>
      </c>
    </row>
    <row r="129" spans="1:6">
      <c r="A129" s="38" t="s">
        <v>537</v>
      </c>
      <c r="B129" s="38" t="s">
        <v>863</v>
      </c>
      <c r="C129" s="41">
        <v>5</v>
      </c>
      <c r="D129" s="38" t="s">
        <v>170</v>
      </c>
      <c r="E129" s="38" t="s">
        <v>432</v>
      </c>
      <c r="F129" s="47">
        <v>27.5</v>
      </c>
    </row>
    <row r="130" spans="1:6">
      <c r="A130" s="38" t="s">
        <v>537</v>
      </c>
      <c r="B130" s="38" t="s">
        <v>863</v>
      </c>
      <c r="C130" s="41">
        <v>5</v>
      </c>
      <c r="D130" s="38" t="s">
        <v>170</v>
      </c>
      <c r="E130" s="38" t="s">
        <v>843</v>
      </c>
      <c r="F130" s="47">
        <v>37.5</v>
      </c>
    </row>
    <row r="131" spans="1:6">
      <c r="A131" s="38" t="s">
        <v>537</v>
      </c>
      <c r="B131" s="38" t="s">
        <v>864</v>
      </c>
      <c r="C131" s="38">
        <v>1</v>
      </c>
      <c r="D131" s="38" t="s">
        <v>170</v>
      </c>
      <c r="E131" s="38" t="s">
        <v>866</v>
      </c>
      <c r="F131" s="38">
        <v>12.5</v>
      </c>
    </row>
    <row r="132" spans="1:6">
      <c r="A132" s="38" t="s">
        <v>537</v>
      </c>
      <c r="B132" s="38" t="s">
        <v>864</v>
      </c>
      <c r="C132" s="38">
        <v>1</v>
      </c>
      <c r="D132" s="38" t="s">
        <v>170</v>
      </c>
      <c r="E132" s="38" t="s">
        <v>866</v>
      </c>
      <c r="F132" s="38">
        <v>12.5</v>
      </c>
    </row>
    <row r="133" spans="1:6">
      <c r="A133" s="38" t="s">
        <v>537</v>
      </c>
      <c r="B133" s="38" t="s">
        <v>864</v>
      </c>
      <c r="C133" s="38">
        <v>1</v>
      </c>
      <c r="D133" s="38" t="s">
        <v>170</v>
      </c>
      <c r="E133" s="38" t="s">
        <v>866</v>
      </c>
      <c r="F133" s="38">
        <v>12.5</v>
      </c>
    </row>
    <row r="134" spans="1:6">
      <c r="A134" s="38" t="s">
        <v>537</v>
      </c>
      <c r="B134" s="38" t="s">
        <v>864</v>
      </c>
      <c r="C134" s="38">
        <v>1</v>
      </c>
      <c r="D134" s="38" t="s">
        <v>170</v>
      </c>
      <c r="E134" s="38" t="s">
        <v>866</v>
      </c>
      <c r="F134" s="38">
        <v>12.5</v>
      </c>
    </row>
    <row r="135" spans="1:6">
      <c r="A135" s="38" t="s">
        <v>537</v>
      </c>
      <c r="B135" s="38" t="s">
        <v>864</v>
      </c>
      <c r="C135" s="38">
        <v>1</v>
      </c>
      <c r="D135" s="38" t="s">
        <v>170</v>
      </c>
      <c r="E135" s="38" t="s">
        <v>866</v>
      </c>
      <c r="F135" s="38">
        <v>12.5</v>
      </c>
    </row>
    <row r="136" spans="1:6">
      <c r="A136" s="38" t="s">
        <v>537</v>
      </c>
      <c r="B136" s="38" t="s">
        <v>864</v>
      </c>
      <c r="C136" s="38">
        <v>1</v>
      </c>
      <c r="D136" s="38" t="s">
        <v>170</v>
      </c>
      <c r="E136" s="38" t="s">
        <v>430</v>
      </c>
      <c r="F136" s="47">
        <v>22.5</v>
      </c>
    </row>
    <row r="137" spans="1:6">
      <c r="A137" s="38" t="s">
        <v>537</v>
      </c>
      <c r="B137" s="38" t="s">
        <v>864</v>
      </c>
      <c r="C137" s="38">
        <v>1</v>
      </c>
      <c r="D137" s="38" t="s">
        <v>170</v>
      </c>
      <c r="E137" s="38" t="s">
        <v>432</v>
      </c>
      <c r="F137" s="47">
        <v>27.5</v>
      </c>
    </row>
    <row r="138" spans="1:6">
      <c r="A138" s="38" t="s">
        <v>537</v>
      </c>
      <c r="B138" s="38" t="s">
        <v>864</v>
      </c>
      <c r="C138" s="38">
        <v>1</v>
      </c>
      <c r="D138" s="38" t="s">
        <v>170</v>
      </c>
      <c r="E138" s="38" t="s">
        <v>432</v>
      </c>
      <c r="F138" s="47">
        <v>27.5</v>
      </c>
    </row>
    <row r="139" spans="1:6">
      <c r="A139" s="38" t="s">
        <v>537</v>
      </c>
      <c r="B139" s="38" t="s">
        <v>864</v>
      </c>
      <c r="C139" s="38">
        <v>1</v>
      </c>
      <c r="D139" s="38" t="s">
        <v>170</v>
      </c>
      <c r="E139" s="38" t="s">
        <v>432</v>
      </c>
      <c r="F139" s="47">
        <v>27.5</v>
      </c>
    </row>
    <row r="140" spans="1:6">
      <c r="A140" s="38" t="s">
        <v>537</v>
      </c>
      <c r="B140" s="38" t="s">
        <v>864</v>
      </c>
      <c r="C140" s="38">
        <v>2</v>
      </c>
      <c r="D140" s="38" t="s">
        <v>170</v>
      </c>
      <c r="E140" s="38" t="s">
        <v>847</v>
      </c>
      <c r="F140" s="38">
        <v>6</v>
      </c>
    </row>
    <row r="141" spans="1:6">
      <c r="A141" s="38" t="s">
        <v>537</v>
      </c>
      <c r="B141" s="38" t="s">
        <v>864</v>
      </c>
      <c r="C141" s="38">
        <v>2</v>
      </c>
      <c r="D141" s="38" t="s">
        <v>170</v>
      </c>
      <c r="E141" s="38" t="s">
        <v>847</v>
      </c>
      <c r="F141" s="38">
        <v>8</v>
      </c>
    </row>
    <row r="142" spans="1:6">
      <c r="A142" s="38" t="s">
        <v>537</v>
      </c>
      <c r="B142" s="38" t="s">
        <v>864</v>
      </c>
      <c r="C142" s="38">
        <v>2</v>
      </c>
      <c r="D142" s="38" t="s">
        <v>170</v>
      </c>
      <c r="E142" s="38" t="s">
        <v>866</v>
      </c>
      <c r="F142" s="38">
        <v>10</v>
      </c>
    </row>
    <row r="143" spans="1:6">
      <c r="A143" s="38" t="s">
        <v>537</v>
      </c>
      <c r="B143" s="38" t="s">
        <v>864</v>
      </c>
      <c r="C143" s="41">
        <v>2</v>
      </c>
      <c r="D143" s="38" t="s">
        <v>170</v>
      </c>
      <c r="E143" s="38" t="s">
        <v>631</v>
      </c>
      <c r="F143" s="47">
        <v>17.5</v>
      </c>
    </row>
    <row r="144" spans="1:6">
      <c r="A144" s="38" t="s">
        <v>537</v>
      </c>
      <c r="B144" s="38" t="s">
        <v>864</v>
      </c>
      <c r="C144" s="41">
        <v>2</v>
      </c>
      <c r="D144" s="38" t="s">
        <v>170</v>
      </c>
      <c r="E144" s="38" t="s">
        <v>430</v>
      </c>
      <c r="F144" s="47">
        <v>22.5</v>
      </c>
    </row>
    <row r="145" spans="1:6">
      <c r="A145" s="38" t="s">
        <v>537</v>
      </c>
      <c r="B145" s="38" t="s">
        <v>864</v>
      </c>
      <c r="C145" s="41">
        <v>2</v>
      </c>
      <c r="D145" s="38" t="s">
        <v>170</v>
      </c>
      <c r="E145" s="38" t="s">
        <v>843</v>
      </c>
      <c r="F145" s="47">
        <v>37.5</v>
      </c>
    </row>
    <row r="146" spans="1:6">
      <c r="A146" s="38" t="s">
        <v>537</v>
      </c>
      <c r="B146" s="38" t="s">
        <v>864</v>
      </c>
      <c r="C146" s="38">
        <v>3</v>
      </c>
      <c r="D146" s="38" t="s">
        <v>170</v>
      </c>
      <c r="E146" s="38" t="s">
        <v>847</v>
      </c>
      <c r="F146" s="52">
        <v>9</v>
      </c>
    </row>
    <row r="147" spans="1:6">
      <c r="A147" s="38" t="s">
        <v>537</v>
      </c>
      <c r="B147" s="38" t="s">
        <v>864</v>
      </c>
      <c r="C147" s="38">
        <v>3</v>
      </c>
      <c r="D147" s="38" t="s">
        <v>170</v>
      </c>
      <c r="E147" s="38" t="s">
        <v>847</v>
      </c>
      <c r="F147" s="52">
        <v>8</v>
      </c>
    </row>
    <row r="148" spans="1:6">
      <c r="A148" s="38" t="s">
        <v>537</v>
      </c>
      <c r="B148" s="38" t="s">
        <v>864</v>
      </c>
      <c r="C148" s="38">
        <v>3</v>
      </c>
      <c r="D148" s="38" t="s">
        <v>170</v>
      </c>
      <c r="E148" s="38" t="s">
        <v>866</v>
      </c>
      <c r="F148" s="38">
        <v>12.5</v>
      </c>
    </row>
    <row r="149" spans="1:6">
      <c r="A149" s="38" t="s">
        <v>537</v>
      </c>
      <c r="B149" s="38" t="s">
        <v>864</v>
      </c>
      <c r="C149" s="38">
        <v>3</v>
      </c>
      <c r="D149" s="38" t="s">
        <v>170</v>
      </c>
      <c r="E149" s="38" t="s">
        <v>866</v>
      </c>
      <c r="F149" s="38">
        <v>12.5</v>
      </c>
    </row>
    <row r="150" spans="1:6">
      <c r="A150" s="38" t="s">
        <v>537</v>
      </c>
      <c r="B150" s="38" t="s">
        <v>864</v>
      </c>
      <c r="C150" s="41">
        <v>4</v>
      </c>
      <c r="D150" s="38" t="s">
        <v>170</v>
      </c>
      <c r="E150" s="38" t="s">
        <v>631</v>
      </c>
      <c r="F150" s="38">
        <v>17.5</v>
      </c>
    </row>
    <row r="151" spans="1:6">
      <c r="A151" s="38" t="s">
        <v>537</v>
      </c>
      <c r="B151" s="38" t="s">
        <v>864</v>
      </c>
      <c r="C151" s="41">
        <v>4</v>
      </c>
      <c r="D151" s="38" t="s">
        <v>170</v>
      </c>
      <c r="E151" s="38" t="s">
        <v>430</v>
      </c>
      <c r="F151" s="38">
        <v>22.5</v>
      </c>
    </row>
    <row r="152" spans="1:6">
      <c r="A152" s="38" t="s">
        <v>537</v>
      </c>
      <c r="B152" s="38" t="s">
        <v>864</v>
      </c>
      <c r="C152" s="41">
        <v>4</v>
      </c>
      <c r="D152" s="38" t="s">
        <v>170</v>
      </c>
      <c r="E152" s="38" t="s">
        <v>432</v>
      </c>
      <c r="F152" s="38">
        <v>27.5</v>
      </c>
    </row>
    <row r="153" spans="1:6">
      <c r="A153" s="38" t="s">
        <v>537</v>
      </c>
      <c r="B153" s="38" t="s">
        <v>864</v>
      </c>
      <c r="C153" s="41">
        <v>4</v>
      </c>
      <c r="D153" s="38" t="s">
        <v>170</v>
      </c>
      <c r="E153" s="38" t="s">
        <v>841</v>
      </c>
      <c r="F153" s="38">
        <v>32.5</v>
      </c>
    </row>
    <row r="154" spans="1:6">
      <c r="A154" s="38" t="s">
        <v>537</v>
      </c>
      <c r="B154" s="38" t="s">
        <v>865</v>
      </c>
      <c r="C154" s="38">
        <v>1</v>
      </c>
      <c r="D154" s="38" t="s">
        <v>170</v>
      </c>
      <c r="E154" s="38" t="s">
        <v>847</v>
      </c>
      <c r="F154" s="38">
        <v>4</v>
      </c>
    </row>
    <row r="155" spans="1:6">
      <c r="A155" s="38" t="s">
        <v>537</v>
      </c>
      <c r="B155" s="38" t="s">
        <v>865</v>
      </c>
      <c r="C155" s="38">
        <v>1</v>
      </c>
      <c r="D155" s="38" t="s">
        <v>170</v>
      </c>
      <c r="E155" s="38" t="s">
        <v>866</v>
      </c>
      <c r="F155" s="47">
        <v>12.5</v>
      </c>
    </row>
    <row r="156" spans="1:6">
      <c r="A156" s="38" t="s">
        <v>537</v>
      </c>
      <c r="B156" s="38" t="s">
        <v>865</v>
      </c>
      <c r="C156" s="38">
        <v>1</v>
      </c>
      <c r="D156" s="38" t="s">
        <v>170</v>
      </c>
      <c r="E156" s="38" t="s">
        <v>430</v>
      </c>
      <c r="F156" s="47">
        <v>22.5</v>
      </c>
    </row>
    <row r="157" spans="1:6">
      <c r="A157" s="38" t="s">
        <v>537</v>
      </c>
      <c r="B157" s="38" t="s">
        <v>865</v>
      </c>
      <c r="C157" s="38">
        <v>1</v>
      </c>
      <c r="D157" s="38" t="s">
        <v>170</v>
      </c>
      <c r="E157" s="38" t="s">
        <v>430</v>
      </c>
      <c r="F157" s="47">
        <v>22.5</v>
      </c>
    </row>
    <row r="158" spans="1:6">
      <c r="A158" s="38" t="s">
        <v>537</v>
      </c>
      <c r="B158" s="38" t="s">
        <v>865</v>
      </c>
      <c r="C158" s="41">
        <v>2</v>
      </c>
      <c r="D158" s="38" t="s">
        <v>170</v>
      </c>
      <c r="E158" s="38" t="s">
        <v>631</v>
      </c>
      <c r="F158" s="47">
        <v>17.5</v>
      </c>
    </row>
    <row r="159" spans="1:6">
      <c r="A159" s="38" t="s">
        <v>537</v>
      </c>
      <c r="B159" s="38" t="s">
        <v>865</v>
      </c>
      <c r="C159" s="41">
        <v>2</v>
      </c>
      <c r="D159" s="38" t="s">
        <v>170</v>
      </c>
      <c r="E159" s="38" t="s">
        <v>432</v>
      </c>
      <c r="F159" s="47">
        <v>27.5</v>
      </c>
    </row>
    <row r="160" spans="1:6">
      <c r="A160" s="38" t="s">
        <v>537</v>
      </c>
      <c r="B160" s="38" t="s">
        <v>865</v>
      </c>
      <c r="C160" s="41">
        <v>3</v>
      </c>
      <c r="D160" s="38" t="s">
        <v>170</v>
      </c>
      <c r="E160" s="38" t="s">
        <v>631</v>
      </c>
      <c r="F160" s="47">
        <v>17.5</v>
      </c>
    </row>
    <row r="161" spans="1:6">
      <c r="A161" s="38" t="s">
        <v>537</v>
      </c>
      <c r="B161" s="38" t="s">
        <v>865</v>
      </c>
      <c r="C161" s="41">
        <v>4</v>
      </c>
      <c r="D161" s="38" t="s">
        <v>170</v>
      </c>
      <c r="E161" s="38" t="s">
        <v>866</v>
      </c>
      <c r="F161" s="51">
        <v>12.5</v>
      </c>
    </row>
    <row r="162" spans="1:6">
      <c r="A162" s="38" t="s">
        <v>537</v>
      </c>
      <c r="B162" s="38" t="s">
        <v>865</v>
      </c>
      <c r="C162" s="41">
        <v>4</v>
      </c>
      <c r="D162" s="38" t="s">
        <v>170</v>
      </c>
      <c r="E162" s="38" t="s">
        <v>430</v>
      </c>
      <c r="F162" s="47">
        <v>22.5</v>
      </c>
    </row>
    <row r="163" spans="1:6">
      <c r="A163" s="38" t="s">
        <v>537</v>
      </c>
      <c r="B163" s="38" t="s">
        <v>865</v>
      </c>
      <c r="C163" s="41">
        <v>4</v>
      </c>
      <c r="D163" s="38" t="s">
        <v>170</v>
      </c>
      <c r="E163" s="38" t="s">
        <v>432</v>
      </c>
      <c r="F163" s="47">
        <v>27.5</v>
      </c>
    </row>
    <row r="164" spans="1:6">
      <c r="A164" s="38" t="s">
        <v>537</v>
      </c>
      <c r="B164" s="38" t="s">
        <v>865</v>
      </c>
      <c r="C164" s="41">
        <v>5</v>
      </c>
      <c r="D164" s="38" t="s">
        <v>170</v>
      </c>
      <c r="E164" s="38" t="s">
        <v>847</v>
      </c>
      <c r="F164" s="38">
        <v>8</v>
      </c>
    </row>
    <row r="165" spans="1:6">
      <c r="A165" s="38" t="s">
        <v>537</v>
      </c>
      <c r="B165" s="38" t="s">
        <v>865</v>
      </c>
      <c r="C165" s="41">
        <v>5</v>
      </c>
      <c r="D165" s="38" t="s">
        <v>170</v>
      </c>
      <c r="E165" s="38" t="s">
        <v>866</v>
      </c>
      <c r="F165" s="51">
        <v>12.5</v>
      </c>
    </row>
    <row r="166" spans="1:6">
      <c r="A166" s="38" t="s">
        <v>537</v>
      </c>
      <c r="B166" s="38" t="s">
        <v>865</v>
      </c>
      <c r="C166" s="41">
        <v>5</v>
      </c>
      <c r="D166" s="38" t="s">
        <v>170</v>
      </c>
      <c r="E166" s="38" t="s">
        <v>631</v>
      </c>
      <c r="F166" s="47">
        <v>17.5</v>
      </c>
    </row>
    <row r="167" spans="1:6">
      <c r="A167" s="38" t="s">
        <v>537</v>
      </c>
      <c r="B167" s="38" t="s">
        <v>865</v>
      </c>
      <c r="C167" s="41">
        <v>5</v>
      </c>
      <c r="D167" s="38" t="s">
        <v>170</v>
      </c>
      <c r="E167" s="38" t="s">
        <v>843</v>
      </c>
      <c r="F167" s="47">
        <v>37.5</v>
      </c>
    </row>
    <row r="168" spans="1:6">
      <c r="A168" s="38" t="s">
        <v>537</v>
      </c>
      <c r="B168" s="38" t="s">
        <v>865</v>
      </c>
      <c r="C168" s="41">
        <v>6</v>
      </c>
      <c r="D168" s="38" t="s">
        <v>170</v>
      </c>
      <c r="E168" s="38" t="s">
        <v>847</v>
      </c>
      <c r="F168" s="38">
        <v>9</v>
      </c>
    </row>
    <row r="169" spans="1:6">
      <c r="A169" s="38" t="s">
        <v>537</v>
      </c>
      <c r="B169" s="38" t="s">
        <v>865</v>
      </c>
      <c r="C169" s="41">
        <v>6</v>
      </c>
      <c r="D169" s="38" t="s">
        <v>170</v>
      </c>
      <c r="E169" s="38" t="s">
        <v>866</v>
      </c>
      <c r="F169" s="47">
        <v>12.5</v>
      </c>
    </row>
    <row r="170" spans="1:6">
      <c r="A170" s="38" t="s">
        <v>537</v>
      </c>
      <c r="B170" s="38" t="s">
        <v>865</v>
      </c>
      <c r="C170" s="41">
        <v>6</v>
      </c>
      <c r="D170" s="38" t="s">
        <v>170</v>
      </c>
      <c r="E170" s="38" t="s">
        <v>430</v>
      </c>
      <c r="F170" s="47">
        <v>22.5</v>
      </c>
    </row>
    <row r="171" spans="1:6">
      <c r="A171" s="38" t="s">
        <v>778</v>
      </c>
      <c r="B171" s="38" t="s">
        <v>867</v>
      </c>
      <c r="C171" s="38">
        <v>1</v>
      </c>
      <c r="D171" s="38" t="s">
        <v>170</v>
      </c>
      <c r="E171" s="38" t="s">
        <v>866</v>
      </c>
      <c r="F171" s="38">
        <v>12</v>
      </c>
    </row>
    <row r="172" spans="1:6">
      <c r="A172" s="38" t="s">
        <v>778</v>
      </c>
      <c r="B172" s="38" t="s">
        <v>867</v>
      </c>
      <c r="C172" s="38">
        <v>1</v>
      </c>
      <c r="D172" s="38" t="s">
        <v>170</v>
      </c>
      <c r="E172" s="38" t="s">
        <v>631</v>
      </c>
      <c r="F172" s="47">
        <v>17.5</v>
      </c>
    </row>
    <row r="173" spans="1:6">
      <c r="A173" s="38" t="s">
        <v>778</v>
      </c>
      <c r="B173" s="38" t="s">
        <v>867</v>
      </c>
      <c r="C173" s="38">
        <v>1</v>
      </c>
      <c r="D173" s="38" t="s">
        <v>170</v>
      </c>
      <c r="E173" s="38" t="s">
        <v>631</v>
      </c>
      <c r="F173" s="47">
        <v>17.5</v>
      </c>
    </row>
    <row r="174" spans="1:6">
      <c r="A174" s="38" t="s">
        <v>778</v>
      </c>
      <c r="B174" s="38" t="s">
        <v>867</v>
      </c>
      <c r="C174" s="38">
        <v>1</v>
      </c>
      <c r="D174" s="38" t="s">
        <v>170</v>
      </c>
      <c r="E174" s="38" t="s">
        <v>430</v>
      </c>
      <c r="F174" s="47">
        <v>22.5</v>
      </c>
    </row>
    <row r="175" spans="1:6">
      <c r="A175" s="38" t="s">
        <v>778</v>
      </c>
      <c r="B175" s="38" t="s">
        <v>867</v>
      </c>
      <c r="C175" s="38">
        <v>1</v>
      </c>
      <c r="D175" s="38" t="s">
        <v>170</v>
      </c>
      <c r="E175" s="38" t="s">
        <v>432</v>
      </c>
      <c r="F175" s="47">
        <v>27.5</v>
      </c>
    </row>
    <row r="176" spans="1:6">
      <c r="A176" s="38" t="s">
        <v>778</v>
      </c>
      <c r="B176" s="38" t="s">
        <v>867</v>
      </c>
      <c r="C176" s="38">
        <v>1</v>
      </c>
      <c r="D176" s="38" t="s">
        <v>170</v>
      </c>
      <c r="E176" s="38" t="s">
        <v>841</v>
      </c>
      <c r="F176" s="47">
        <v>32.5</v>
      </c>
    </row>
    <row r="177" spans="1:6">
      <c r="A177" s="38" t="s">
        <v>778</v>
      </c>
      <c r="B177" s="38" t="s">
        <v>867</v>
      </c>
      <c r="C177" s="38">
        <v>1</v>
      </c>
      <c r="D177" s="38" t="s">
        <v>170</v>
      </c>
      <c r="E177" s="38" t="s">
        <v>843</v>
      </c>
      <c r="F177" s="47">
        <v>37.5</v>
      </c>
    </row>
    <row r="178" spans="1:6">
      <c r="A178" s="38" t="s">
        <v>778</v>
      </c>
      <c r="B178" s="38" t="s">
        <v>867</v>
      </c>
      <c r="C178" s="41">
        <v>2</v>
      </c>
      <c r="D178" s="38" t="s">
        <v>170</v>
      </c>
      <c r="E178" s="38" t="s">
        <v>841</v>
      </c>
      <c r="F178" s="47">
        <v>32.5</v>
      </c>
    </row>
    <row r="179" spans="1:6">
      <c r="A179" s="38" t="s">
        <v>778</v>
      </c>
      <c r="B179" s="38" t="s">
        <v>867</v>
      </c>
      <c r="C179" s="41">
        <v>2</v>
      </c>
      <c r="D179" s="38" t="s">
        <v>170</v>
      </c>
      <c r="E179" s="38" t="s">
        <v>843</v>
      </c>
      <c r="F179" s="47">
        <v>37.5</v>
      </c>
    </row>
    <row r="180" spans="1:6">
      <c r="A180" s="38" t="s">
        <v>778</v>
      </c>
      <c r="B180" s="38" t="s">
        <v>867</v>
      </c>
      <c r="C180" s="41">
        <v>2</v>
      </c>
      <c r="D180" s="38" t="s">
        <v>170</v>
      </c>
      <c r="E180" s="38" t="s">
        <v>843</v>
      </c>
      <c r="F180" s="47">
        <v>37.5</v>
      </c>
    </row>
    <row r="181" spans="1:6">
      <c r="A181" s="38" t="s">
        <v>778</v>
      </c>
      <c r="B181" s="38" t="s">
        <v>867</v>
      </c>
      <c r="C181" s="41">
        <v>3</v>
      </c>
      <c r="D181" s="38" t="s">
        <v>170</v>
      </c>
      <c r="E181" s="38" t="s">
        <v>432</v>
      </c>
      <c r="F181" s="47">
        <v>27.5</v>
      </c>
    </row>
    <row r="182" spans="1:6">
      <c r="A182" s="38" t="s">
        <v>778</v>
      </c>
      <c r="B182" s="38" t="s">
        <v>867</v>
      </c>
      <c r="C182" s="41">
        <v>3</v>
      </c>
      <c r="D182" s="38" t="s">
        <v>170</v>
      </c>
      <c r="E182" s="38" t="s">
        <v>843</v>
      </c>
      <c r="F182" s="47">
        <v>37.5</v>
      </c>
    </row>
    <row r="183" spans="1:6">
      <c r="A183" s="38" t="s">
        <v>778</v>
      </c>
      <c r="B183" s="38" t="s">
        <v>867</v>
      </c>
      <c r="C183" s="41">
        <v>4</v>
      </c>
      <c r="D183" s="38" t="s">
        <v>170</v>
      </c>
      <c r="E183" s="38" t="s">
        <v>866</v>
      </c>
      <c r="F183" s="38">
        <v>13</v>
      </c>
    </row>
    <row r="184" spans="1:6">
      <c r="A184" s="38" t="s">
        <v>778</v>
      </c>
      <c r="B184" s="38" t="s">
        <v>867</v>
      </c>
      <c r="C184" s="41">
        <v>4</v>
      </c>
      <c r="D184" s="38" t="s">
        <v>170</v>
      </c>
      <c r="E184" s="38" t="s">
        <v>631</v>
      </c>
      <c r="F184" s="47">
        <v>17.5</v>
      </c>
    </row>
    <row r="185" spans="1:6">
      <c r="A185" s="38" t="s">
        <v>778</v>
      </c>
      <c r="B185" s="38" t="s">
        <v>867</v>
      </c>
      <c r="C185" s="41">
        <v>4</v>
      </c>
      <c r="D185" s="38" t="s">
        <v>170</v>
      </c>
      <c r="E185" s="38" t="s">
        <v>631</v>
      </c>
      <c r="F185" s="47">
        <v>17.5</v>
      </c>
    </row>
    <row r="186" spans="1:6">
      <c r="A186" s="38" t="s">
        <v>778</v>
      </c>
      <c r="B186" s="38" t="s">
        <v>867</v>
      </c>
      <c r="C186" s="41">
        <v>4</v>
      </c>
      <c r="D186" s="38" t="s">
        <v>170</v>
      </c>
      <c r="E186" s="38" t="s">
        <v>430</v>
      </c>
      <c r="F186" s="47">
        <v>22.5</v>
      </c>
    </row>
    <row r="187" spans="1:6">
      <c r="A187" s="38" t="s">
        <v>778</v>
      </c>
      <c r="B187" s="38" t="s">
        <v>867</v>
      </c>
      <c r="C187" s="41">
        <v>4</v>
      </c>
      <c r="D187" s="38" t="s">
        <v>170</v>
      </c>
      <c r="E187" s="38" t="s">
        <v>430</v>
      </c>
      <c r="F187" s="47">
        <v>22.5</v>
      </c>
    </row>
    <row r="188" spans="1:6">
      <c r="A188" s="38" t="s">
        <v>778</v>
      </c>
      <c r="B188" s="38" t="s">
        <v>867</v>
      </c>
      <c r="C188" s="41">
        <v>4</v>
      </c>
      <c r="D188" s="38" t="s">
        <v>170</v>
      </c>
      <c r="E188" s="38" t="s">
        <v>430</v>
      </c>
      <c r="F188" s="47">
        <v>22.5</v>
      </c>
    </row>
    <row r="189" spans="1:6">
      <c r="A189" s="38" t="s">
        <v>778</v>
      </c>
      <c r="B189" s="38" t="s">
        <v>867</v>
      </c>
      <c r="C189" s="41">
        <v>4</v>
      </c>
      <c r="D189" s="38" t="s">
        <v>170</v>
      </c>
      <c r="E189" s="38" t="s">
        <v>432</v>
      </c>
      <c r="F189" s="47">
        <v>27.5</v>
      </c>
    </row>
    <row r="190" spans="1:6">
      <c r="A190" s="38" t="s">
        <v>778</v>
      </c>
      <c r="B190" s="38" t="s">
        <v>867</v>
      </c>
      <c r="C190" s="41">
        <v>4</v>
      </c>
      <c r="D190" s="38" t="s">
        <v>170</v>
      </c>
      <c r="E190" s="38" t="s">
        <v>432</v>
      </c>
      <c r="F190" s="47">
        <v>27.5</v>
      </c>
    </row>
    <row r="191" spans="1:6">
      <c r="A191" s="38" t="s">
        <v>778</v>
      </c>
      <c r="B191" s="38" t="s">
        <v>867</v>
      </c>
      <c r="C191" s="41">
        <v>4</v>
      </c>
      <c r="D191" s="38" t="s">
        <v>170</v>
      </c>
      <c r="E191" s="38" t="s">
        <v>432</v>
      </c>
      <c r="F191" s="47">
        <v>27.5</v>
      </c>
    </row>
    <row r="192" spans="1:6">
      <c r="A192" s="38" t="s">
        <v>778</v>
      </c>
      <c r="B192" s="38" t="s">
        <v>867</v>
      </c>
      <c r="C192" s="41">
        <v>4</v>
      </c>
      <c r="D192" s="38" t="s">
        <v>170</v>
      </c>
      <c r="E192" s="38" t="s">
        <v>841</v>
      </c>
      <c r="F192" s="47">
        <v>32.5</v>
      </c>
    </row>
    <row r="193" spans="1:6">
      <c r="A193" s="38" t="s">
        <v>778</v>
      </c>
      <c r="B193" s="38" t="s">
        <v>867</v>
      </c>
      <c r="C193" s="41">
        <v>4</v>
      </c>
      <c r="D193" s="38" t="s">
        <v>170</v>
      </c>
      <c r="E193" s="38" t="s">
        <v>843</v>
      </c>
      <c r="F193" s="47">
        <v>37.5</v>
      </c>
    </row>
    <row r="194" spans="1:6">
      <c r="A194" s="38" t="s">
        <v>778</v>
      </c>
      <c r="B194" s="38" t="s">
        <v>867</v>
      </c>
      <c r="C194" s="41">
        <v>4</v>
      </c>
      <c r="D194" s="38" t="s">
        <v>170</v>
      </c>
      <c r="E194" s="38" t="s">
        <v>845</v>
      </c>
      <c r="F194" s="47">
        <v>42.5</v>
      </c>
    </row>
    <row r="195" spans="1:6">
      <c r="A195" s="38" t="s">
        <v>778</v>
      </c>
      <c r="B195" s="38" t="s">
        <v>867</v>
      </c>
      <c r="C195" s="41">
        <v>5</v>
      </c>
      <c r="D195" s="38" t="s">
        <v>170</v>
      </c>
      <c r="E195" s="38" t="s">
        <v>847</v>
      </c>
      <c r="F195" s="38">
        <v>9</v>
      </c>
    </row>
    <row r="196" spans="1:6">
      <c r="A196" s="38" t="s">
        <v>778</v>
      </c>
      <c r="B196" s="38" t="s">
        <v>867</v>
      </c>
      <c r="C196" s="41">
        <v>5</v>
      </c>
      <c r="D196" s="38" t="s">
        <v>170</v>
      </c>
      <c r="E196" s="38" t="s">
        <v>866</v>
      </c>
      <c r="F196" s="51">
        <v>12</v>
      </c>
    </row>
    <row r="197" spans="1:6">
      <c r="A197" s="38" t="s">
        <v>778</v>
      </c>
      <c r="B197" s="38" t="s">
        <v>867</v>
      </c>
      <c r="C197" s="41">
        <v>5</v>
      </c>
      <c r="D197" s="38" t="s">
        <v>170</v>
      </c>
      <c r="E197" s="38" t="s">
        <v>866</v>
      </c>
      <c r="F197" s="51">
        <v>10</v>
      </c>
    </row>
    <row r="198" spans="1:6">
      <c r="A198" s="38" t="s">
        <v>778</v>
      </c>
      <c r="B198" s="38" t="s">
        <v>867</v>
      </c>
      <c r="C198" s="41">
        <v>5</v>
      </c>
      <c r="D198" s="38" t="s">
        <v>170</v>
      </c>
      <c r="E198" s="38" t="s">
        <v>866</v>
      </c>
      <c r="F198" s="51">
        <v>12</v>
      </c>
    </row>
    <row r="199" spans="1:6">
      <c r="A199" s="38" t="s">
        <v>778</v>
      </c>
      <c r="B199" s="38" t="s">
        <v>867</v>
      </c>
      <c r="C199" s="41">
        <v>5</v>
      </c>
      <c r="D199" s="38" t="s">
        <v>170</v>
      </c>
      <c r="E199" s="38" t="s">
        <v>866</v>
      </c>
      <c r="F199" s="51">
        <v>15</v>
      </c>
    </row>
    <row r="200" spans="1:6">
      <c r="A200" s="38" t="s">
        <v>778</v>
      </c>
      <c r="B200" s="38" t="s">
        <v>867</v>
      </c>
      <c r="C200" s="41">
        <v>5</v>
      </c>
      <c r="D200" s="38" t="s">
        <v>170</v>
      </c>
      <c r="E200" s="38" t="s">
        <v>631</v>
      </c>
      <c r="F200" s="47">
        <v>17.5</v>
      </c>
    </row>
    <row r="201" spans="1:6">
      <c r="A201" s="38" t="s">
        <v>778</v>
      </c>
      <c r="B201" s="38" t="s">
        <v>867</v>
      </c>
      <c r="C201" s="41">
        <v>5</v>
      </c>
      <c r="D201" s="38" t="s">
        <v>170</v>
      </c>
      <c r="E201" s="38" t="s">
        <v>843</v>
      </c>
      <c r="F201" s="47">
        <v>37.5</v>
      </c>
    </row>
    <row r="202" spans="1:6">
      <c r="A202" s="38" t="s">
        <v>778</v>
      </c>
      <c r="B202" s="38" t="s">
        <v>867</v>
      </c>
      <c r="C202" s="41">
        <v>6</v>
      </c>
      <c r="D202" s="38" t="s">
        <v>170</v>
      </c>
      <c r="E202" s="38" t="s">
        <v>866</v>
      </c>
      <c r="F202" s="51">
        <v>11</v>
      </c>
    </row>
    <row r="203" spans="1:6">
      <c r="A203" s="38" t="s">
        <v>778</v>
      </c>
      <c r="B203" s="38" t="s">
        <v>867</v>
      </c>
      <c r="C203" s="41">
        <v>6</v>
      </c>
      <c r="D203" s="38" t="s">
        <v>170</v>
      </c>
      <c r="E203" s="38" t="s">
        <v>866</v>
      </c>
      <c r="F203" s="47">
        <v>10</v>
      </c>
    </row>
    <row r="204" spans="1:6">
      <c r="A204" s="38" t="s">
        <v>778</v>
      </c>
      <c r="B204" s="38" t="s">
        <v>868</v>
      </c>
      <c r="C204" s="38">
        <v>1</v>
      </c>
      <c r="D204" s="38" t="s">
        <v>170</v>
      </c>
      <c r="E204" s="38" t="s">
        <v>430</v>
      </c>
      <c r="F204" s="47">
        <v>22.5</v>
      </c>
    </row>
    <row r="205" spans="1:6">
      <c r="A205" s="38" t="s">
        <v>778</v>
      </c>
      <c r="B205" s="38" t="s">
        <v>868</v>
      </c>
      <c r="C205" s="38">
        <v>1</v>
      </c>
      <c r="D205" s="38" t="s">
        <v>170</v>
      </c>
      <c r="E205" s="38" t="s">
        <v>841</v>
      </c>
      <c r="F205" s="47">
        <v>32.5</v>
      </c>
    </row>
    <row r="206" spans="1:6">
      <c r="A206" s="38" t="s">
        <v>778</v>
      </c>
      <c r="B206" s="38" t="s">
        <v>868</v>
      </c>
      <c r="C206" s="38">
        <v>1</v>
      </c>
      <c r="D206" s="38" t="s">
        <v>170</v>
      </c>
      <c r="E206" s="38" t="s">
        <v>841</v>
      </c>
      <c r="F206" s="47">
        <v>32.5</v>
      </c>
    </row>
    <row r="207" spans="1:6">
      <c r="A207" s="38" t="s">
        <v>778</v>
      </c>
      <c r="B207" s="38" t="s">
        <v>868</v>
      </c>
      <c r="C207" s="38">
        <v>1</v>
      </c>
      <c r="D207" s="38" t="s">
        <v>170</v>
      </c>
      <c r="E207" s="38" t="s">
        <v>843</v>
      </c>
      <c r="F207" s="47">
        <v>37.5</v>
      </c>
    </row>
    <row r="208" spans="1:6">
      <c r="A208" s="38" t="s">
        <v>778</v>
      </c>
      <c r="B208" s="38" t="s">
        <v>868</v>
      </c>
      <c r="C208" s="38">
        <v>1</v>
      </c>
      <c r="D208" s="38" t="s">
        <v>170</v>
      </c>
      <c r="E208" s="38" t="s">
        <v>843</v>
      </c>
      <c r="F208" s="47">
        <v>37.5</v>
      </c>
    </row>
    <row r="209" spans="1:6">
      <c r="A209" s="38" t="s">
        <v>778</v>
      </c>
      <c r="B209" s="38" t="s">
        <v>868</v>
      </c>
      <c r="C209" s="38">
        <v>1</v>
      </c>
      <c r="D209" s="38" t="s">
        <v>170</v>
      </c>
      <c r="E209" s="38" t="s">
        <v>843</v>
      </c>
      <c r="F209" s="47">
        <v>37.5</v>
      </c>
    </row>
    <row r="210" spans="1:6">
      <c r="A210" s="38" t="s">
        <v>778</v>
      </c>
      <c r="B210" s="38" t="s">
        <v>868</v>
      </c>
      <c r="C210" s="41">
        <v>2</v>
      </c>
      <c r="D210" s="38" t="s">
        <v>170</v>
      </c>
      <c r="E210" s="38" t="s">
        <v>866</v>
      </c>
      <c r="F210" s="38">
        <v>13</v>
      </c>
    </row>
    <row r="211" spans="1:6">
      <c r="A211" s="38" t="s">
        <v>778</v>
      </c>
      <c r="B211" s="38" t="s">
        <v>868</v>
      </c>
      <c r="C211" s="41">
        <v>2</v>
      </c>
      <c r="D211" s="38" t="s">
        <v>170</v>
      </c>
      <c r="E211" s="38" t="s">
        <v>841</v>
      </c>
      <c r="F211" s="47">
        <v>32.5</v>
      </c>
    </row>
    <row r="212" spans="1:6">
      <c r="A212" s="38" t="s">
        <v>778</v>
      </c>
      <c r="B212" s="38" t="s">
        <v>868</v>
      </c>
      <c r="C212" s="41">
        <v>2</v>
      </c>
      <c r="D212" s="38" t="s">
        <v>170</v>
      </c>
      <c r="E212" s="38" t="s">
        <v>843</v>
      </c>
      <c r="F212" s="47">
        <v>37.5</v>
      </c>
    </row>
    <row r="213" spans="1:6">
      <c r="A213" s="38" t="s">
        <v>778</v>
      </c>
      <c r="B213" s="38" t="s">
        <v>868</v>
      </c>
      <c r="C213" s="41">
        <v>2</v>
      </c>
      <c r="D213" s="38" t="s">
        <v>170</v>
      </c>
      <c r="E213" s="38" t="s">
        <v>843</v>
      </c>
      <c r="F213" s="47">
        <v>37.5</v>
      </c>
    </row>
    <row r="214" spans="1:6">
      <c r="A214" s="38" t="s">
        <v>778</v>
      </c>
      <c r="B214" s="38" t="s">
        <v>868</v>
      </c>
      <c r="C214" s="41">
        <v>2</v>
      </c>
      <c r="D214" s="38" t="s">
        <v>170</v>
      </c>
      <c r="E214" s="38" t="s">
        <v>843</v>
      </c>
      <c r="F214" s="47">
        <v>37.5</v>
      </c>
    </row>
    <row r="215" spans="1:6">
      <c r="A215" s="38" t="s">
        <v>778</v>
      </c>
      <c r="B215" s="38" t="s">
        <v>868</v>
      </c>
      <c r="C215" s="41">
        <v>2</v>
      </c>
      <c r="D215" s="38" t="s">
        <v>170</v>
      </c>
      <c r="E215" s="38" t="s">
        <v>845</v>
      </c>
      <c r="F215" s="47">
        <v>42.5</v>
      </c>
    </row>
    <row r="216" spans="1:6">
      <c r="A216" s="38" t="s">
        <v>778</v>
      </c>
      <c r="B216" s="38" t="s">
        <v>868</v>
      </c>
      <c r="C216" s="41">
        <v>3</v>
      </c>
      <c r="D216" s="38" t="s">
        <v>170</v>
      </c>
      <c r="E216" s="38" t="s">
        <v>866</v>
      </c>
      <c r="F216" s="38">
        <v>12</v>
      </c>
    </row>
    <row r="217" spans="1:6">
      <c r="A217" s="38" t="s">
        <v>778</v>
      </c>
      <c r="B217" s="38" t="s">
        <v>868</v>
      </c>
      <c r="C217" s="41">
        <v>3</v>
      </c>
      <c r="D217" s="38" t="s">
        <v>170</v>
      </c>
      <c r="E217" s="38" t="s">
        <v>866</v>
      </c>
      <c r="F217" s="38">
        <v>10</v>
      </c>
    </row>
    <row r="218" spans="1:6">
      <c r="A218" s="38" t="s">
        <v>778</v>
      </c>
      <c r="B218" s="38" t="s">
        <v>868</v>
      </c>
      <c r="C218" s="41">
        <v>3</v>
      </c>
      <c r="D218" s="38" t="s">
        <v>170</v>
      </c>
      <c r="E218" s="38" t="s">
        <v>866</v>
      </c>
      <c r="F218" s="38">
        <v>10</v>
      </c>
    </row>
    <row r="219" spans="1:6">
      <c r="A219" s="38" t="s">
        <v>778</v>
      </c>
      <c r="B219" s="38" t="s">
        <v>868</v>
      </c>
      <c r="C219" s="41">
        <v>3</v>
      </c>
      <c r="D219" s="38" t="s">
        <v>170</v>
      </c>
      <c r="E219" s="38" t="s">
        <v>866</v>
      </c>
      <c r="F219" s="38">
        <v>11</v>
      </c>
    </row>
    <row r="220" spans="1:6">
      <c r="A220" s="38" t="s">
        <v>778</v>
      </c>
      <c r="B220" s="38" t="s">
        <v>868</v>
      </c>
      <c r="C220" s="41">
        <v>3</v>
      </c>
      <c r="D220" s="38" t="s">
        <v>170</v>
      </c>
      <c r="E220" s="38" t="s">
        <v>631</v>
      </c>
      <c r="F220" s="47">
        <v>17.5</v>
      </c>
    </row>
    <row r="221" spans="1:6">
      <c r="A221" s="38" t="s">
        <v>778</v>
      </c>
      <c r="B221" s="38" t="s">
        <v>868</v>
      </c>
      <c r="C221" s="41">
        <v>3</v>
      </c>
      <c r="D221" s="38" t="s">
        <v>170</v>
      </c>
      <c r="E221" s="38" t="s">
        <v>841</v>
      </c>
      <c r="F221" s="47">
        <v>32.5</v>
      </c>
    </row>
    <row r="222" spans="1:6">
      <c r="A222" s="38" t="s">
        <v>778</v>
      </c>
      <c r="B222" s="38" t="s">
        <v>868</v>
      </c>
      <c r="C222" s="41">
        <v>3</v>
      </c>
      <c r="D222" s="38" t="s">
        <v>170</v>
      </c>
      <c r="E222" s="38" t="s">
        <v>841</v>
      </c>
      <c r="F222" s="47">
        <v>32.5</v>
      </c>
    </row>
    <row r="223" spans="1:6">
      <c r="A223" s="38" t="s">
        <v>778</v>
      </c>
      <c r="B223" s="38" t="s">
        <v>868</v>
      </c>
      <c r="C223" s="41">
        <v>3</v>
      </c>
      <c r="D223" s="38" t="s">
        <v>170</v>
      </c>
      <c r="E223" s="38" t="s">
        <v>841</v>
      </c>
      <c r="F223" s="47">
        <v>32.5</v>
      </c>
    </row>
    <row r="224" spans="1:6">
      <c r="A224" s="38" t="s">
        <v>778</v>
      </c>
      <c r="B224" s="38" t="s">
        <v>868</v>
      </c>
      <c r="C224" s="41">
        <v>3</v>
      </c>
      <c r="D224" s="38" t="s">
        <v>170</v>
      </c>
      <c r="E224" s="38" t="s">
        <v>843</v>
      </c>
      <c r="F224" s="47">
        <v>37.5</v>
      </c>
    </row>
    <row r="225" spans="1:6">
      <c r="A225" s="38" t="s">
        <v>778</v>
      </c>
      <c r="B225" s="38" t="s">
        <v>868</v>
      </c>
      <c r="C225" s="41">
        <v>4</v>
      </c>
      <c r="D225" s="38" t="s">
        <v>170</v>
      </c>
      <c r="E225" s="38" t="s">
        <v>432</v>
      </c>
      <c r="F225" s="47">
        <v>27.5</v>
      </c>
    </row>
    <row r="226" spans="1:6">
      <c r="A226" s="38" t="s">
        <v>778</v>
      </c>
      <c r="B226" s="38" t="s">
        <v>868</v>
      </c>
      <c r="C226" s="41">
        <v>4</v>
      </c>
      <c r="D226" s="38" t="s">
        <v>170</v>
      </c>
      <c r="E226" s="38" t="s">
        <v>841</v>
      </c>
      <c r="F226" s="47">
        <v>32.5</v>
      </c>
    </row>
    <row r="227" spans="1:6">
      <c r="A227" s="38" t="s">
        <v>778</v>
      </c>
      <c r="B227" s="38" t="s">
        <v>868</v>
      </c>
      <c r="C227" s="41">
        <v>4</v>
      </c>
      <c r="D227" s="38" t="s">
        <v>170</v>
      </c>
      <c r="E227" s="38" t="s">
        <v>841</v>
      </c>
      <c r="F227" s="47">
        <v>32.5</v>
      </c>
    </row>
    <row r="228" spans="1:6">
      <c r="A228" s="38" t="s">
        <v>778</v>
      </c>
      <c r="B228" s="38" t="s">
        <v>868</v>
      </c>
      <c r="C228" s="41">
        <v>4</v>
      </c>
      <c r="D228" s="38" t="s">
        <v>170</v>
      </c>
      <c r="E228" s="38" t="s">
        <v>843</v>
      </c>
      <c r="F228" s="47">
        <v>37.5</v>
      </c>
    </row>
    <row r="229" spans="1:6">
      <c r="A229" s="38" t="s">
        <v>778</v>
      </c>
      <c r="B229" s="38" t="s">
        <v>868</v>
      </c>
      <c r="C229" s="41">
        <v>5</v>
      </c>
      <c r="D229" s="38" t="s">
        <v>170</v>
      </c>
      <c r="E229" s="38" t="s">
        <v>866</v>
      </c>
      <c r="F229" s="51">
        <v>10</v>
      </c>
    </row>
    <row r="230" spans="1:6">
      <c r="A230" s="38" t="s">
        <v>778</v>
      </c>
      <c r="B230" s="38" t="s">
        <v>868</v>
      </c>
      <c r="C230" s="41">
        <v>5</v>
      </c>
      <c r="D230" s="38" t="s">
        <v>170</v>
      </c>
      <c r="E230" s="38" t="s">
        <v>866</v>
      </c>
      <c r="F230" s="51">
        <v>12</v>
      </c>
    </row>
    <row r="231" spans="1:6">
      <c r="A231" s="38" t="s">
        <v>778</v>
      </c>
      <c r="B231" s="38" t="s">
        <v>868</v>
      </c>
      <c r="C231" s="41">
        <v>5</v>
      </c>
      <c r="D231" s="38" t="s">
        <v>170</v>
      </c>
      <c r="E231" s="38" t="s">
        <v>866</v>
      </c>
      <c r="F231" s="51">
        <v>12</v>
      </c>
    </row>
    <row r="232" spans="1:6">
      <c r="A232" s="38" t="s">
        <v>778</v>
      </c>
      <c r="B232" s="38" t="s">
        <v>868</v>
      </c>
      <c r="C232" s="41">
        <v>5</v>
      </c>
      <c r="D232" s="38" t="s">
        <v>170</v>
      </c>
      <c r="E232" s="38" t="s">
        <v>866</v>
      </c>
      <c r="F232" s="51">
        <v>13</v>
      </c>
    </row>
    <row r="233" spans="1:6">
      <c r="A233" s="38" t="s">
        <v>778</v>
      </c>
      <c r="B233" s="38" t="s">
        <v>868</v>
      </c>
      <c r="C233" s="41">
        <v>5</v>
      </c>
      <c r="D233" s="38" t="s">
        <v>170</v>
      </c>
      <c r="E233" s="38" t="s">
        <v>866</v>
      </c>
      <c r="F233" s="51">
        <v>13</v>
      </c>
    </row>
    <row r="234" spans="1:6">
      <c r="A234" s="38" t="s">
        <v>778</v>
      </c>
      <c r="B234" s="38" t="s">
        <v>868</v>
      </c>
      <c r="C234" s="41">
        <v>5</v>
      </c>
      <c r="D234" s="38" t="s">
        <v>170</v>
      </c>
      <c r="E234" s="38" t="s">
        <v>866</v>
      </c>
      <c r="F234" s="51">
        <v>12</v>
      </c>
    </row>
    <row r="235" spans="1:6">
      <c r="A235" s="38" t="s">
        <v>778</v>
      </c>
      <c r="B235" s="38" t="s">
        <v>868</v>
      </c>
      <c r="C235" s="41">
        <v>5</v>
      </c>
      <c r="D235" s="38" t="s">
        <v>170</v>
      </c>
      <c r="E235" s="38" t="s">
        <v>866</v>
      </c>
      <c r="F235" s="51">
        <v>14</v>
      </c>
    </row>
    <row r="236" spans="1:6">
      <c r="A236" s="38" t="s">
        <v>778</v>
      </c>
      <c r="B236" s="38" t="s">
        <v>868</v>
      </c>
      <c r="C236" s="41">
        <v>5</v>
      </c>
      <c r="D236" s="38" t="s">
        <v>170</v>
      </c>
      <c r="E236" s="38" t="s">
        <v>866</v>
      </c>
      <c r="F236" s="51">
        <v>14</v>
      </c>
    </row>
    <row r="237" spans="1:6">
      <c r="A237" s="38" t="s">
        <v>778</v>
      </c>
      <c r="B237" s="38" t="s">
        <v>868</v>
      </c>
      <c r="C237" s="41">
        <v>5</v>
      </c>
      <c r="D237" s="38" t="s">
        <v>170</v>
      </c>
      <c r="E237" s="38" t="s">
        <v>866</v>
      </c>
      <c r="F237" s="51">
        <v>13</v>
      </c>
    </row>
    <row r="238" spans="1:6">
      <c r="A238" s="38" t="s">
        <v>778</v>
      </c>
      <c r="B238" s="38" t="s">
        <v>868</v>
      </c>
      <c r="C238" s="41">
        <v>5</v>
      </c>
      <c r="D238" s="38" t="s">
        <v>170</v>
      </c>
      <c r="E238" s="38" t="s">
        <v>866</v>
      </c>
      <c r="F238" s="51">
        <v>11</v>
      </c>
    </row>
    <row r="239" spans="1:6">
      <c r="A239" s="38" t="s">
        <v>778</v>
      </c>
      <c r="B239" s="38" t="s">
        <v>868</v>
      </c>
      <c r="C239" s="41">
        <v>5</v>
      </c>
      <c r="D239" s="38" t="s">
        <v>170</v>
      </c>
      <c r="E239" s="38" t="s">
        <v>631</v>
      </c>
      <c r="F239" s="47">
        <v>17.5</v>
      </c>
    </row>
    <row r="240" spans="1:6">
      <c r="A240" s="38" t="s">
        <v>778</v>
      </c>
      <c r="B240" s="38" t="s">
        <v>868</v>
      </c>
      <c r="C240" s="41">
        <v>5</v>
      </c>
      <c r="D240" s="38" t="s">
        <v>170</v>
      </c>
      <c r="E240" s="38" t="s">
        <v>631</v>
      </c>
      <c r="F240" s="47">
        <v>17.5</v>
      </c>
    </row>
    <row r="241" spans="1:6">
      <c r="A241" s="38" t="s">
        <v>778</v>
      </c>
      <c r="B241" s="38" t="s">
        <v>868</v>
      </c>
      <c r="C241" s="41">
        <v>5</v>
      </c>
      <c r="D241" s="38" t="s">
        <v>170</v>
      </c>
      <c r="E241" s="38" t="s">
        <v>430</v>
      </c>
      <c r="F241" s="47">
        <v>22.5</v>
      </c>
    </row>
    <row r="242" spans="1:6">
      <c r="A242" s="38" t="s">
        <v>778</v>
      </c>
      <c r="B242" s="38" t="s">
        <v>868</v>
      </c>
      <c r="C242" s="41">
        <v>5</v>
      </c>
      <c r="D242" s="38" t="s">
        <v>170</v>
      </c>
      <c r="E242" s="38" t="s">
        <v>432</v>
      </c>
      <c r="F242" s="47">
        <v>27.5</v>
      </c>
    </row>
    <row r="243" spans="1:6">
      <c r="A243" s="38" t="s">
        <v>778</v>
      </c>
      <c r="B243" s="38" t="s">
        <v>868</v>
      </c>
      <c r="C243" s="41">
        <v>5</v>
      </c>
      <c r="D243" s="38" t="s">
        <v>170</v>
      </c>
      <c r="E243" s="38" t="s">
        <v>843</v>
      </c>
      <c r="F243" s="47">
        <v>37.5</v>
      </c>
    </row>
    <row r="244" spans="1:6">
      <c r="A244" s="38" t="s">
        <v>778</v>
      </c>
      <c r="B244" s="38" t="s">
        <v>868</v>
      </c>
      <c r="C244" s="41">
        <v>5</v>
      </c>
      <c r="D244" s="38" t="s">
        <v>170</v>
      </c>
      <c r="E244" s="38" t="s">
        <v>845</v>
      </c>
      <c r="F244" s="47">
        <v>42.5</v>
      </c>
    </row>
    <row r="245" spans="1:6">
      <c r="A245" s="38" t="s">
        <v>778</v>
      </c>
      <c r="B245" s="38" t="s">
        <v>868</v>
      </c>
      <c r="C245" s="41">
        <v>6</v>
      </c>
      <c r="D245" s="38" t="s">
        <v>170</v>
      </c>
      <c r="E245" s="38" t="s">
        <v>866</v>
      </c>
      <c r="F245" s="51">
        <v>10</v>
      </c>
    </row>
    <row r="246" spans="1:6">
      <c r="A246" s="38" t="s">
        <v>778</v>
      </c>
      <c r="B246" s="38" t="s">
        <v>868</v>
      </c>
      <c r="C246" s="41">
        <v>6</v>
      </c>
      <c r="D246" s="38" t="s">
        <v>170</v>
      </c>
      <c r="E246" s="38" t="s">
        <v>866</v>
      </c>
      <c r="F246" s="51">
        <v>12</v>
      </c>
    </row>
    <row r="247" spans="1:6">
      <c r="A247" s="38" t="s">
        <v>778</v>
      </c>
      <c r="B247" s="38" t="s">
        <v>868</v>
      </c>
      <c r="C247" s="41">
        <v>6</v>
      </c>
      <c r="D247" s="38" t="s">
        <v>170</v>
      </c>
      <c r="E247" s="38" t="s">
        <v>866</v>
      </c>
      <c r="F247" s="51">
        <v>10</v>
      </c>
    </row>
    <row r="248" spans="1:6">
      <c r="A248" s="38" t="s">
        <v>778</v>
      </c>
      <c r="B248" s="38" t="s">
        <v>868</v>
      </c>
      <c r="C248" s="41">
        <v>6</v>
      </c>
      <c r="D248" s="38" t="s">
        <v>170</v>
      </c>
      <c r="E248" s="38" t="s">
        <v>866</v>
      </c>
      <c r="F248" s="51">
        <v>12</v>
      </c>
    </row>
    <row r="249" spans="1:6">
      <c r="A249" s="38" t="s">
        <v>778</v>
      </c>
      <c r="B249" s="38" t="s">
        <v>868</v>
      </c>
      <c r="C249" s="41">
        <v>6</v>
      </c>
      <c r="D249" s="38" t="s">
        <v>170</v>
      </c>
      <c r="E249" s="38" t="s">
        <v>631</v>
      </c>
      <c r="F249" s="47">
        <v>17.5</v>
      </c>
    </row>
    <row r="250" spans="1:6">
      <c r="A250" s="38" t="s">
        <v>778</v>
      </c>
      <c r="B250" s="38" t="s">
        <v>868</v>
      </c>
      <c r="C250" s="41">
        <v>6</v>
      </c>
      <c r="D250" s="38" t="s">
        <v>170</v>
      </c>
      <c r="E250" s="38" t="s">
        <v>631</v>
      </c>
      <c r="F250" s="47">
        <v>17.5</v>
      </c>
    </row>
    <row r="251" spans="1:6">
      <c r="A251" s="38" t="s">
        <v>778</v>
      </c>
      <c r="B251" s="38" t="s">
        <v>868</v>
      </c>
      <c r="C251" s="41">
        <v>6</v>
      </c>
      <c r="D251" s="38" t="s">
        <v>170</v>
      </c>
      <c r="E251" s="38" t="s">
        <v>631</v>
      </c>
      <c r="F251" s="47">
        <v>17.5</v>
      </c>
    </row>
    <row r="252" spans="1:6">
      <c r="A252" s="38" t="s">
        <v>778</v>
      </c>
      <c r="B252" s="38" t="s">
        <v>868</v>
      </c>
      <c r="C252" s="41">
        <v>6</v>
      </c>
      <c r="D252" s="38" t="s">
        <v>170</v>
      </c>
      <c r="E252" s="38" t="s">
        <v>430</v>
      </c>
      <c r="F252" s="47">
        <v>22.5</v>
      </c>
    </row>
    <row r="253" spans="1:6">
      <c r="A253" s="38" t="s">
        <v>778</v>
      </c>
      <c r="B253" s="38" t="s">
        <v>868</v>
      </c>
      <c r="C253" s="41">
        <v>6</v>
      </c>
      <c r="D253" s="38" t="s">
        <v>170</v>
      </c>
      <c r="E253" s="38" t="s">
        <v>430</v>
      </c>
      <c r="F253" s="47">
        <v>22.5</v>
      </c>
    </row>
    <row r="254" spans="1:6">
      <c r="A254" s="38" t="s">
        <v>778</v>
      </c>
      <c r="B254" s="38" t="s">
        <v>868</v>
      </c>
      <c r="C254" s="41">
        <v>6</v>
      </c>
      <c r="D254" s="38" t="s">
        <v>170</v>
      </c>
      <c r="E254" s="38" t="s">
        <v>843</v>
      </c>
      <c r="F254" s="47">
        <v>37.5</v>
      </c>
    </row>
    <row r="255" spans="1:6">
      <c r="A255" s="38" t="s">
        <v>778</v>
      </c>
      <c r="B255" s="38" t="s">
        <v>868</v>
      </c>
      <c r="C255" s="41">
        <v>6</v>
      </c>
      <c r="D255" s="38" t="s">
        <v>170</v>
      </c>
      <c r="E255" s="38" t="s">
        <v>845</v>
      </c>
      <c r="F255" s="47">
        <v>42.5</v>
      </c>
    </row>
    <row r="256" spans="1:6">
      <c r="A256" s="38" t="s">
        <v>778</v>
      </c>
      <c r="B256" s="38" t="s">
        <v>868</v>
      </c>
      <c r="C256" s="41">
        <v>7</v>
      </c>
      <c r="D256" s="38" t="s">
        <v>170</v>
      </c>
      <c r="E256" s="38" t="s">
        <v>866</v>
      </c>
      <c r="F256" s="51">
        <v>14</v>
      </c>
    </row>
    <row r="257" spans="1:6">
      <c r="A257" s="38" t="s">
        <v>778</v>
      </c>
      <c r="B257" s="38" t="s">
        <v>868</v>
      </c>
      <c r="C257" s="41">
        <v>7</v>
      </c>
      <c r="D257" s="38" t="s">
        <v>170</v>
      </c>
      <c r="E257" s="38" t="s">
        <v>866</v>
      </c>
      <c r="F257" s="51">
        <v>14</v>
      </c>
    </row>
    <row r="258" spans="1:6">
      <c r="A258" s="38" t="s">
        <v>778</v>
      </c>
      <c r="B258" s="38" t="s">
        <v>868</v>
      </c>
      <c r="C258" s="41">
        <v>7</v>
      </c>
      <c r="D258" s="38" t="s">
        <v>170</v>
      </c>
      <c r="E258" s="38" t="s">
        <v>866</v>
      </c>
      <c r="F258" s="51">
        <v>14</v>
      </c>
    </row>
    <row r="259" spans="1:6">
      <c r="A259" s="38" t="s">
        <v>778</v>
      </c>
      <c r="B259" s="38" t="s">
        <v>868</v>
      </c>
      <c r="C259" s="41">
        <v>7</v>
      </c>
      <c r="D259" s="38" t="s">
        <v>170</v>
      </c>
      <c r="E259" s="38" t="s">
        <v>866</v>
      </c>
      <c r="F259" s="51">
        <v>12</v>
      </c>
    </row>
    <row r="260" spans="1:6">
      <c r="A260" s="38" t="s">
        <v>778</v>
      </c>
      <c r="B260" s="38" t="s">
        <v>868</v>
      </c>
      <c r="C260" s="41">
        <v>7</v>
      </c>
      <c r="D260" s="38" t="s">
        <v>170</v>
      </c>
      <c r="E260" s="38" t="s">
        <v>866</v>
      </c>
      <c r="F260" s="51">
        <v>13</v>
      </c>
    </row>
    <row r="261" spans="1:6">
      <c r="A261" s="38" t="s">
        <v>778</v>
      </c>
      <c r="B261" s="38" t="s">
        <v>868</v>
      </c>
      <c r="C261" s="41">
        <v>7</v>
      </c>
      <c r="D261" s="38" t="s">
        <v>170</v>
      </c>
      <c r="E261" s="38" t="s">
        <v>430</v>
      </c>
      <c r="F261" s="47">
        <v>22.5</v>
      </c>
    </row>
    <row r="262" spans="1:6">
      <c r="A262" s="38" t="s">
        <v>778</v>
      </c>
      <c r="B262" s="38" t="s">
        <v>868</v>
      </c>
      <c r="C262" s="41">
        <v>7</v>
      </c>
      <c r="D262" s="38" t="s">
        <v>170</v>
      </c>
      <c r="E262" s="38" t="s">
        <v>432</v>
      </c>
      <c r="F262" s="47">
        <v>27.5</v>
      </c>
    </row>
    <row r="263" spans="1:6">
      <c r="A263" s="38" t="s">
        <v>778</v>
      </c>
      <c r="B263" s="38" t="s">
        <v>536</v>
      </c>
      <c r="C263" s="38">
        <v>1</v>
      </c>
      <c r="D263" s="38" t="s">
        <v>170</v>
      </c>
      <c r="E263" s="38" t="s">
        <v>430</v>
      </c>
      <c r="F263" s="47">
        <v>22.5</v>
      </c>
    </row>
    <row r="264" spans="1:6">
      <c r="A264" s="38" t="s">
        <v>778</v>
      </c>
      <c r="B264" s="38" t="s">
        <v>536</v>
      </c>
      <c r="C264" s="38">
        <v>1</v>
      </c>
      <c r="D264" s="38" t="s">
        <v>170</v>
      </c>
      <c r="E264" s="38" t="s">
        <v>432</v>
      </c>
      <c r="F264" s="47">
        <v>27.5</v>
      </c>
    </row>
    <row r="265" spans="1:6">
      <c r="A265" s="38" t="s">
        <v>778</v>
      </c>
      <c r="B265" s="38" t="s">
        <v>536</v>
      </c>
      <c r="C265" s="38">
        <v>1</v>
      </c>
      <c r="D265" s="38" t="s">
        <v>170</v>
      </c>
      <c r="E265" s="38" t="s">
        <v>841</v>
      </c>
      <c r="F265" s="47">
        <v>32.5</v>
      </c>
    </row>
    <row r="266" spans="1:6">
      <c r="A266" s="38" t="s">
        <v>778</v>
      </c>
      <c r="B266" s="38" t="s">
        <v>536</v>
      </c>
      <c r="C266" s="41">
        <v>2</v>
      </c>
      <c r="D266" s="38" t="s">
        <v>170</v>
      </c>
      <c r="E266" s="38" t="s">
        <v>866</v>
      </c>
      <c r="F266" s="38">
        <v>11</v>
      </c>
    </row>
    <row r="267" spans="1:6">
      <c r="A267" s="38" t="s">
        <v>778</v>
      </c>
      <c r="B267" s="38" t="s">
        <v>536</v>
      </c>
      <c r="C267" s="41">
        <v>2</v>
      </c>
      <c r="D267" s="38" t="s">
        <v>170</v>
      </c>
      <c r="E267" s="38" t="s">
        <v>866</v>
      </c>
      <c r="F267" s="38">
        <v>12</v>
      </c>
    </row>
    <row r="268" spans="1:6">
      <c r="A268" s="38" t="s">
        <v>778</v>
      </c>
      <c r="B268" s="38" t="s">
        <v>536</v>
      </c>
      <c r="C268" s="41">
        <v>2</v>
      </c>
      <c r="D268" s="38" t="s">
        <v>170</v>
      </c>
      <c r="E268" s="38" t="s">
        <v>866</v>
      </c>
      <c r="F268" s="38">
        <v>12</v>
      </c>
    </row>
    <row r="269" spans="1:6">
      <c r="A269" s="38" t="s">
        <v>778</v>
      </c>
      <c r="B269" s="38" t="s">
        <v>536</v>
      </c>
      <c r="C269" s="41">
        <v>2</v>
      </c>
      <c r="D269" s="38" t="s">
        <v>170</v>
      </c>
      <c r="E269" s="38" t="s">
        <v>866</v>
      </c>
      <c r="F269" s="38">
        <v>13</v>
      </c>
    </row>
    <row r="270" spans="1:6">
      <c r="A270" s="38" t="s">
        <v>778</v>
      </c>
      <c r="B270" s="38" t="s">
        <v>536</v>
      </c>
      <c r="C270" s="41">
        <v>2</v>
      </c>
      <c r="D270" s="38" t="s">
        <v>170</v>
      </c>
      <c r="E270" s="38" t="s">
        <v>631</v>
      </c>
      <c r="F270" s="47">
        <v>17.5</v>
      </c>
    </row>
    <row r="271" spans="1:6">
      <c r="A271" s="38" t="s">
        <v>778</v>
      </c>
      <c r="B271" s="38" t="s">
        <v>536</v>
      </c>
      <c r="C271" s="41">
        <v>2</v>
      </c>
      <c r="D271" s="38" t="s">
        <v>170</v>
      </c>
      <c r="E271" s="38" t="s">
        <v>631</v>
      </c>
      <c r="F271" s="47">
        <v>17.5</v>
      </c>
    </row>
    <row r="272" spans="1:6">
      <c r="A272" s="38" t="s">
        <v>778</v>
      </c>
      <c r="B272" s="38" t="s">
        <v>536</v>
      </c>
      <c r="C272" s="41">
        <v>2</v>
      </c>
      <c r="D272" s="38" t="s">
        <v>170</v>
      </c>
      <c r="E272" s="38" t="s">
        <v>631</v>
      </c>
      <c r="F272" s="47">
        <v>17.5</v>
      </c>
    </row>
    <row r="273" spans="1:6">
      <c r="A273" s="38" t="s">
        <v>778</v>
      </c>
      <c r="B273" s="38" t="s">
        <v>536</v>
      </c>
      <c r="C273" s="41">
        <v>2</v>
      </c>
      <c r="D273" s="38" t="s">
        <v>170</v>
      </c>
      <c r="E273" s="38" t="s">
        <v>631</v>
      </c>
      <c r="F273" s="47">
        <v>17.5</v>
      </c>
    </row>
    <row r="274" spans="1:6">
      <c r="A274" s="38" t="s">
        <v>778</v>
      </c>
      <c r="B274" s="38" t="s">
        <v>536</v>
      </c>
      <c r="C274" s="41">
        <v>2</v>
      </c>
      <c r="D274" s="38" t="s">
        <v>170</v>
      </c>
      <c r="E274" s="38" t="s">
        <v>631</v>
      </c>
      <c r="F274" s="47">
        <v>17.5</v>
      </c>
    </row>
    <row r="275" spans="1:6">
      <c r="A275" s="38" t="s">
        <v>778</v>
      </c>
      <c r="B275" s="38" t="s">
        <v>536</v>
      </c>
      <c r="C275" s="41">
        <v>2</v>
      </c>
      <c r="D275" s="38" t="s">
        <v>170</v>
      </c>
      <c r="E275" s="38" t="s">
        <v>631</v>
      </c>
      <c r="F275" s="47">
        <v>17.5</v>
      </c>
    </row>
    <row r="276" spans="1:6">
      <c r="A276" s="38" t="s">
        <v>778</v>
      </c>
      <c r="B276" s="38" t="s">
        <v>536</v>
      </c>
      <c r="C276" s="41">
        <v>2</v>
      </c>
      <c r="D276" s="38" t="s">
        <v>170</v>
      </c>
      <c r="E276" s="38" t="s">
        <v>631</v>
      </c>
      <c r="F276" s="47">
        <v>17.5</v>
      </c>
    </row>
    <row r="277" spans="1:6">
      <c r="A277" s="38" t="s">
        <v>778</v>
      </c>
      <c r="B277" s="38" t="s">
        <v>536</v>
      </c>
      <c r="C277" s="41">
        <v>2</v>
      </c>
      <c r="D277" s="38" t="s">
        <v>170</v>
      </c>
      <c r="E277" s="38" t="s">
        <v>430</v>
      </c>
      <c r="F277" s="47">
        <v>22.5</v>
      </c>
    </row>
    <row r="278" spans="1:6">
      <c r="A278" s="38" t="s">
        <v>778</v>
      </c>
      <c r="B278" s="38" t="s">
        <v>536</v>
      </c>
      <c r="C278" s="41">
        <v>2</v>
      </c>
      <c r="D278" s="38" t="s">
        <v>170</v>
      </c>
      <c r="E278" s="38" t="s">
        <v>430</v>
      </c>
      <c r="F278" s="47">
        <v>22.5</v>
      </c>
    </row>
    <row r="279" spans="1:6">
      <c r="A279" s="38" t="s">
        <v>778</v>
      </c>
      <c r="B279" s="38" t="s">
        <v>536</v>
      </c>
      <c r="C279" s="41">
        <v>2</v>
      </c>
      <c r="D279" s="38" t="s">
        <v>170</v>
      </c>
      <c r="E279" s="38" t="s">
        <v>430</v>
      </c>
      <c r="F279" s="47">
        <v>22.5</v>
      </c>
    </row>
    <row r="280" spans="1:6">
      <c r="A280" s="38" t="s">
        <v>778</v>
      </c>
      <c r="B280" s="38" t="s">
        <v>536</v>
      </c>
      <c r="C280" s="41">
        <v>2</v>
      </c>
      <c r="D280" s="38" t="s">
        <v>170</v>
      </c>
      <c r="E280" s="38" t="s">
        <v>430</v>
      </c>
      <c r="F280" s="47">
        <v>22.5</v>
      </c>
    </row>
    <row r="281" spans="1:6">
      <c r="A281" s="38" t="s">
        <v>778</v>
      </c>
      <c r="B281" s="38" t="s">
        <v>536</v>
      </c>
      <c r="C281" s="41">
        <v>2</v>
      </c>
      <c r="D281" s="38" t="s">
        <v>170</v>
      </c>
      <c r="E281" s="38" t="s">
        <v>841</v>
      </c>
      <c r="F281" s="47">
        <v>32.5</v>
      </c>
    </row>
    <row r="282" spans="1:6">
      <c r="A282" s="38" t="s">
        <v>778</v>
      </c>
      <c r="B282" s="38" t="s">
        <v>536</v>
      </c>
      <c r="C282" s="41">
        <v>2</v>
      </c>
      <c r="D282" s="38" t="s">
        <v>170</v>
      </c>
      <c r="E282" s="38" t="s">
        <v>841</v>
      </c>
      <c r="F282" s="47">
        <v>32.5</v>
      </c>
    </row>
    <row r="283" spans="1:6">
      <c r="A283" s="38" t="s">
        <v>778</v>
      </c>
      <c r="B283" s="38" t="s">
        <v>536</v>
      </c>
      <c r="C283" s="41">
        <v>2</v>
      </c>
      <c r="D283" s="38" t="s">
        <v>170</v>
      </c>
      <c r="E283" s="38" t="s">
        <v>843</v>
      </c>
      <c r="F283" s="47">
        <v>37.5</v>
      </c>
    </row>
    <row r="284" spans="1:6">
      <c r="A284" s="38" t="s">
        <v>778</v>
      </c>
      <c r="B284" s="38" t="s">
        <v>536</v>
      </c>
      <c r="C284" s="41">
        <v>2</v>
      </c>
      <c r="D284" s="38" t="s">
        <v>170</v>
      </c>
      <c r="E284" s="38" t="s">
        <v>843</v>
      </c>
      <c r="F284" s="47">
        <v>37.5</v>
      </c>
    </row>
    <row r="285" spans="1:6">
      <c r="A285" s="38" t="s">
        <v>778</v>
      </c>
      <c r="B285" s="38" t="s">
        <v>536</v>
      </c>
      <c r="C285" s="41">
        <v>2</v>
      </c>
      <c r="D285" s="38" t="s">
        <v>170</v>
      </c>
      <c r="E285" s="38" t="s">
        <v>843</v>
      </c>
      <c r="F285" s="47">
        <v>37.5</v>
      </c>
    </row>
    <row r="286" spans="1:6">
      <c r="A286" s="38" t="s">
        <v>778</v>
      </c>
      <c r="B286" s="38" t="s">
        <v>536</v>
      </c>
      <c r="C286" s="41">
        <v>3</v>
      </c>
      <c r="D286" s="38" t="s">
        <v>170</v>
      </c>
      <c r="E286" s="38" t="s">
        <v>866</v>
      </c>
      <c r="F286" s="38">
        <v>12.5</v>
      </c>
    </row>
    <row r="287" spans="1:6">
      <c r="A287" s="38" t="s">
        <v>778</v>
      </c>
      <c r="B287" s="38" t="s">
        <v>536</v>
      </c>
      <c r="C287" s="41">
        <v>3</v>
      </c>
      <c r="D287" s="38" t="s">
        <v>170</v>
      </c>
      <c r="E287" s="38" t="s">
        <v>866</v>
      </c>
      <c r="F287" s="38">
        <v>12.5</v>
      </c>
    </row>
    <row r="288" spans="1:6">
      <c r="A288" s="38" t="s">
        <v>778</v>
      </c>
      <c r="B288" s="38" t="s">
        <v>536</v>
      </c>
      <c r="C288" s="41">
        <v>3</v>
      </c>
      <c r="D288" s="38" t="s">
        <v>170</v>
      </c>
      <c r="E288" s="38" t="s">
        <v>631</v>
      </c>
      <c r="F288" s="47">
        <v>17.5</v>
      </c>
    </row>
    <row r="289" spans="1:6">
      <c r="A289" s="38" t="s">
        <v>778</v>
      </c>
      <c r="B289" s="38" t="s">
        <v>536</v>
      </c>
      <c r="C289" s="41">
        <v>3</v>
      </c>
      <c r="D289" s="38" t="s">
        <v>170</v>
      </c>
      <c r="E289" s="38" t="s">
        <v>631</v>
      </c>
      <c r="F289" s="47">
        <v>17.5</v>
      </c>
    </row>
    <row r="290" spans="1:6">
      <c r="A290" s="38" t="s">
        <v>778</v>
      </c>
      <c r="B290" s="38" t="s">
        <v>536</v>
      </c>
      <c r="C290" s="41">
        <v>3</v>
      </c>
      <c r="D290" s="38" t="s">
        <v>170</v>
      </c>
      <c r="E290" s="38" t="s">
        <v>631</v>
      </c>
      <c r="F290" s="47">
        <v>17.5</v>
      </c>
    </row>
    <row r="291" spans="1:6">
      <c r="A291" s="38" t="s">
        <v>778</v>
      </c>
      <c r="B291" s="38" t="s">
        <v>536</v>
      </c>
      <c r="C291" s="41">
        <v>3</v>
      </c>
      <c r="D291" s="38" t="s">
        <v>170</v>
      </c>
      <c r="E291" s="38" t="s">
        <v>631</v>
      </c>
      <c r="F291" s="47">
        <v>17.5</v>
      </c>
    </row>
    <row r="292" spans="1:6">
      <c r="A292" s="38" t="s">
        <v>778</v>
      </c>
      <c r="B292" s="38" t="s">
        <v>536</v>
      </c>
      <c r="C292" s="41">
        <v>3</v>
      </c>
      <c r="D292" s="38" t="s">
        <v>170</v>
      </c>
      <c r="E292" s="38" t="s">
        <v>432</v>
      </c>
      <c r="F292" s="47">
        <v>27.5</v>
      </c>
    </row>
    <row r="293" spans="1:6">
      <c r="A293" s="38" t="s">
        <v>778</v>
      </c>
      <c r="B293" s="38" t="s">
        <v>536</v>
      </c>
      <c r="C293" s="41">
        <v>3</v>
      </c>
      <c r="D293" s="38" t="s">
        <v>170</v>
      </c>
      <c r="E293" s="38" t="s">
        <v>432</v>
      </c>
      <c r="F293" s="47">
        <v>27.5</v>
      </c>
    </row>
    <row r="294" spans="1:6">
      <c r="A294" s="38" t="s">
        <v>778</v>
      </c>
      <c r="B294" s="38" t="s">
        <v>536</v>
      </c>
      <c r="C294" s="41">
        <v>3</v>
      </c>
      <c r="D294" s="38" t="s">
        <v>170</v>
      </c>
      <c r="E294" s="38" t="s">
        <v>432</v>
      </c>
      <c r="F294" s="47">
        <v>27.5</v>
      </c>
    </row>
    <row r="295" spans="1:6">
      <c r="A295" s="38" t="s">
        <v>794</v>
      </c>
      <c r="B295" s="38" t="s">
        <v>536</v>
      </c>
      <c r="C295" s="41">
        <v>4</v>
      </c>
      <c r="D295" s="38" t="s">
        <v>170</v>
      </c>
      <c r="E295" s="38" t="s">
        <v>847</v>
      </c>
      <c r="F295" s="38">
        <v>9</v>
      </c>
    </row>
    <row r="296" spans="1:6">
      <c r="A296" s="38" t="s">
        <v>778</v>
      </c>
      <c r="B296" s="38" t="s">
        <v>536</v>
      </c>
      <c r="C296" s="41">
        <v>4</v>
      </c>
      <c r="D296" s="38" t="s">
        <v>170</v>
      </c>
      <c r="E296" s="38" t="s">
        <v>866</v>
      </c>
      <c r="F296" s="38">
        <v>10</v>
      </c>
    </row>
    <row r="297" spans="1:6">
      <c r="A297" s="38" t="s">
        <v>778</v>
      </c>
      <c r="B297" s="38" t="s">
        <v>536</v>
      </c>
      <c r="C297" s="41">
        <v>4</v>
      </c>
      <c r="D297" s="38" t="s">
        <v>170</v>
      </c>
      <c r="E297" s="38" t="s">
        <v>866</v>
      </c>
      <c r="F297" s="38">
        <v>10</v>
      </c>
    </row>
    <row r="298" spans="1:6">
      <c r="A298" s="38" t="s">
        <v>778</v>
      </c>
      <c r="B298" s="38" t="s">
        <v>536</v>
      </c>
      <c r="C298" s="41">
        <v>4</v>
      </c>
      <c r="D298" s="38" t="s">
        <v>170</v>
      </c>
      <c r="E298" s="38" t="s">
        <v>866</v>
      </c>
      <c r="F298" s="38">
        <v>10</v>
      </c>
    </row>
    <row r="299" spans="1:6">
      <c r="A299" s="38" t="s">
        <v>778</v>
      </c>
      <c r="B299" s="38" t="s">
        <v>536</v>
      </c>
      <c r="C299" s="41">
        <v>4</v>
      </c>
      <c r="D299" s="38" t="s">
        <v>170</v>
      </c>
      <c r="E299" s="38" t="s">
        <v>866</v>
      </c>
      <c r="F299" s="38">
        <v>10</v>
      </c>
    </row>
    <row r="300" spans="1:6">
      <c r="A300" s="38" t="s">
        <v>778</v>
      </c>
      <c r="B300" s="38" t="s">
        <v>536</v>
      </c>
      <c r="C300" s="41">
        <v>4</v>
      </c>
      <c r="D300" s="38" t="s">
        <v>170</v>
      </c>
      <c r="E300" s="38" t="s">
        <v>631</v>
      </c>
      <c r="F300" s="47">
        <v>17.5</v>
      </c>
    </row>
    <row r="301" spans="1:6">
      <c r="A301" s="38" t="s">
        <v>778</v>
      </c>
      <c r="B301" s="38" t="s">
        <v>536</v>
      </c>
      <c r="C301" s="41">
        <v>4</v>
      </c>
      <c r="D301" s="38" t="s">
        <v>170</v>
      </c>
      <c r="E301" s="38" t="s">
        <v>631</v>
      </c>
      <c r="F301" s="47">
        <v>17.5</v>
      </c>
    </row>
    <row r="302" spans="1:6">
      <c r="A302" s="38" t="s">
        <v>778</v>
      </c>
      <c r="B302" s="38" t="s">
        <v>536</v>
      </c>
      <c r="C302" s="41">
        <v>4</v>
      </c>
      <c r="D302" s="38" t="s">
        <v>170</v>
      </c>
      <c r="E302" s="38" t="s">
        <v>631</v>
      </c>
      <c r="F302" s="47">
        <v>17.5</v>
      </c>
    </row>
    <row r="303" spans="1:6">
      <c r="A303" s="38" t="s">
        <v>778</v>
      </c>
      <c r="B303" s="38" t="s">
        <v>536</v>
      </c>
      <c r="C303" s="41">
        <v>4</v>
      </c>
      <c r="D303" s="38" t="s">
        <v>170</v>
      </c>
      <c r="E303" s="38" t="s">
        <v>430</v>
      </c>
      <c r="F303" s="47">
        <v>22.5</v>
      </c>
    </row>
    <row r="304" spans="1:6">
      <c r="A304" s="38" t="s">
        <v>778</v>
      </c>
      <c r="B304" s="38" t="s">
        <v>536</v>
      </c>
      <c r="C304" s="41">
        <v>4</v>
      </c>
      <c r="D304" s="38" t="s">
        <v>170</v>
      </c>
      <c r="E304" s="38" t="s">
        <v>430</v>
      </c>
      <c r="F304" s="47">
        <v>22.5</v>
      </c>
    </row>
    <row r="305" spans="1:6">
      <c r="A305" s="38" t="s">
        <v>778</v>
      </c>
      <c r="B305" s="38" t="s">
        <v>536</v>
      </c>
      <c r="C305" s="41">
        <v>4</v>
      </c>
      <c r="D305" s="38" t="s">
        <v>170</v>
      </c>
      <c r="E305" s="38" t="s">
        <v>843</v>
      </c>
      <c r="F305" s="47">
        <v>37.5</v>
      </c>
    </row>
    <row r="306" spans="1:6">
      <c r="A306" s="38" t="s">
        <v>778</v>
      </c>
      <c r="B306" s="38" t="s">
        <v>536</v>
      </c>
      <c r="C306" s="41">
        <v>6</v>
      </c>
      <c r="D306" s="38" t="s">
        <v>170</v>
      </c>
      <c r="E306" s="38" t="s">
        <v>866</v>
      </c>
      <c r="F306" s="47">
        <v>11</v>
      </c>
    </row>
    <row r="307" spans="1:6">
      <c r="A307" s="38" t="s">
        <v>778</v>
      </c>
      <c r="B307" s="38" t="s">
        <v>536</v>
      </c>
      <c r="C307" s="41">
        <v>6</v>
      </c>
      <c r="D307" s="38" t="s">
        <v>170</v>
      </c>
      <c r="E307" s="38" t="s">
        <v>841</v>
      </c>
      <c r="F307" s="47">
        <v>32.5</v>
      </c>
    </row>
    <row r="308" spans="1:6">
      <c r="A308" s="38" t="s">
        <v>778</v>
      </c>
      <c r="B308" s="38" t="s">
        <v>536</v>
      </c>
      <c r="C308" s="41">
        <v>6</v>
      </c>
      <c r="D308" s="38" t="s">
        <v>170</v>
      </c>
      <c r="E308" s="38" t="s">
        <v>843</v>
      </c>
      <c r="F308" s="47">
        <v>37.5</v>
      </c>
    </row>
    <row r="309" spans="1:6">
      <c r="A309" s="38" t="s">
        <v>778</v>
      </c>
      <c r="B309" s="38" t="s">
        <v>536</v>
      </c>
      <c r="C309" s="41">
        <v>6</v>
      </c>
      <c r="D309" s="38" t="s">
        <v>170</v>
      </c>
      <c r="E309" s="38" t="s">
        <v>843</v>
      </c>
      <c r="F309" s="47">
        <v>37.5</v>
      </c>
    </row>
    <row r="310" spans="1:6">
      <c r="A310" s="38" t="s">
        <v>778</v>
      </c>
      <c r="B310" s="38" t="s">
        <v>536</v>
      </c>
      <c r="C310" s="41">
        <v>7</v>
      </c>
      <c r="D310" s="38" t="s">
        <v>170</v>
      </c>
      <c r="E310" s="38" t="s">
        <v>866</v>
      </c>
      <c r="F310" s="38">
        <v>13</v>
      </c>
    </row>
    <row r="311" spans="1:6">
      <c r="A311" s="38" t="s">
        <v>778</v>
      </c>
      <c r="B311" s="38" t="s">
        <v>536</v>
      </c>
      <c r="C311" s="41">
        <v>7</v>
      </c>
      <c r="D311" s="38" t="s">
        <v>170</v>
      </c>
      <c r="E311" s="38" t="s">
        <v>845</v>
      </c>
      <c r="F311" s="47">
        <v>42.5</v>
      </c>
    </row>
    <row r="312" spans="1:6">
      <c r="A312" s="38" t="s">
        <v>778</v>
      </c>
      <c r="B312" s="38" t="s">
        <v>536</v>
      </c>
      <c r="C312" s="41">
        <v>8</v>
      </c>
      <c r="D312" s="38" t="s">
        <v>170</v>
      </c>
      <c r="E312" s="38" t="s">
        <v>847</v>
      </c>
      <c r="F312" s="38">
        <v>12</v>
      </c>
    </row>
    <row r="313" spans="1:6">
      <c r="A313" s="38" t="s">
        <v>778</v>
      </c>
      <c r="B313" s="38" t="s">
        <v>536</v>
      </c>
      <c r="C313" s="41">
        <v>8</v>
      </c>
      <c r="D313" s="38" t="s">
        <v>170</v>
      </c>
      <c r="E313" s="38" t="s">
        <v>432</v>
      </c>
      <c r="F313" s="47">
        <v>27.5</v>
      </c>
    </row>
    <row r="314" spans="1:6">
      <c r="A314" s="38" t="s">
        <v>778</v>
      </c>
      <c r="B314" s="38" t="s">
        <v>536</v>
      </c>
      <c r="C314" s="41">
        <v>8</v>
      </c>
      <c r="D314" s="38" t="s">
        <v>170</v>
      </c>
      <c r="E314" s="38" t="s">
        <v>841</v>
      </c>
      <c r="F314" s="47">
        <v>32.5</v>
      </c>
    </row>
    <row r="315" spans="1:6">
      <c r="A315" s="38" t="s">
        <v>795</v>
      </c>
      <c r="B315" s="38" t="s">
        <v>858</v>
      </c>
      <c r="C315" s="38">
        <v>1</v>
      </c>
      <c r="D315" s="38" t="s">
        <v>252</v>
      </c>
      <c r="E315" s="38" t="s">
        <v>631</v>
      </c>
      <c r="F315" s="47">
        <v>17.5</v>
      </c>
    </row>
    <row r="316" spans="1:6">
      <c r="A316" s="38" t="s">
        <v>857</v>
      </c>
      <c r="B316" s="38" t="s">
        <v>858</v>
      </c>
      <c r="C316" s="38">
        <v>1</v>
      </c>
      <c r="D316" s="38" t="s">
        <v>252</v>
      </c>
      <c r="E316" s="38" t="s">
        <v>843</v>
      </c>
      <c r="F316" s="47">
        <v>37.5</v>
      </c>
    </row>
    <row r="317" spans="1:6">
      <c r="A317" s="38" t="s">
        <v>857</v>
      </c>
      <c r="B317" s="38" t="s">
        <v>858</v>
      </c>
      <c r="C317" s="38">
        <v>1</v>
      </c>
      <c r="D317" s="38" t="s">
        <v>252</v>
      </c>
      <c r="E317" s="38" t="s">
        <v>843</v>
      </c>
      <c r="F317" s="47">
        <v>37.5</v>
      </c>
    </row>
    <row r="318" spans="1:6">
      <c r="A318" s="38" t="s">
        <v>857</v>
      </c>
      <c r="B318" s="38" t="s">
        <v>858</v>
      </c>
      <c r="C318" s="38">
        <v>1</v>
      </c>
      <c r="D318" s="38" t="s">
        <v>252</v>
      </c>
      <c r="E318" s="38" t="s">
        <v>845</v>
      </c>
      <c r="F318" s="47">
        <v>42.5</v>
      </c>
    </row>
    <row r="319" spans="1:6">
      <c r="A319" s="38" t="s">
        <v>857</v>
      </c>
      <c r="B319" s="38" t="s">
        <v>858</v>
      </c>
      <c r="C319" s="38">
        <v>1</v>
      </c>
      <c r="D319" s="38" t="s">
        <v>252</v>
      </c>
      <c r="E319" s="38" t="s">
        <v>845</v>
      </c>
      <c r="F319" s="47">
        <v>42.5</v>
      </c>
    </row>
    <row r="320" spans="1:6">
      <c r="A320" s="38" t="s">
        <v>857</v>
      </c>
      <c r="B320" s="38" t="s">
        <v>858</v>
      </c>
      <c r="C320" s="41">
        <v>2</v>
      </c>
      <c r="D320" s="38" t="s">
        <v>252</v>
      </c>
      <c r="E320" s="38" t="s">
        <v>631</v>
      </c>
      <c r="F320" s="47">
        <v>17.5</v>
      </c>
    </row>
    <row r="321" spans="1:6">
      <c r="A321" s="38" t="s">
        <v>857</v>
      </c>
      <c r="B321" s="38" t="s">
        <v>858</v>
      </c>
      <c r="C321" s="41">
        <v>2</v>
      </c>
      <c r="D321" s="38" t="s">
        <v>252</v>
      </c>
      <c r="E321" s="38" t="s">
        <v>631</v>
      </c>
      <c r="F321" s="47">
        <v>17.5</v>
      </c>
    </row>
    <row r="322" spans="1:6">
      <c r="A322" s="38" t="s">
        <v>857</v>
      </c>
      <c r="B322" s="38" t="s">
        <v>858</v>
      </c>
      <c r="C322" s="41">
        <v>2</v>
      </c>
      <c r="D322" s="38" t="s">
        <v>252</v>
      </c>
      <c r="E322" s="38" t="s">
        <v>631</v>
      </c>
      <c r="F322" s="47">
        <v>17.5</v>
      </c>
    </row>
    <row r="323" spans="1:6">
      <c r="A323" s="38" t="s">
        <v>857</v>
      </c>
      <c r="B323" s="38" t="s">
        <v>858</v>
      </c>
      <c r="C323" s="41">
        <v>2</v>
      </c>
      <c r="D323" s="38" t="s">
        <v>252</v>
      </c>
      <c r="E323" s="38" t="s">
        <v>631</v>
      </c>
      <c r="F323" s="47">
        <v>17.5</v>
      </c>
    </row>
    <row r="324" spans="1:6">
      <c r="A324" s="38" t="s">
        <v>857</v>
      </c>
      <c r="B324" s="38" t="s">
        <v>858</v>
      </c>
      <c r="C324" s="41">
        <v>2</v>
      </c>
      <c r="D324" s="38" t="s">
        <v>252</v>
      </c>
      <c r="E324" s="38" t="s">
        <v>631</v>
      </c>
      <c r="F324" s="47">
        <v>17.5</v>
      </c>
    </row>
    <row r="325" spans="1:6">
      <c r="A325" s="38" t="s">
        <v>857</v>
      </c>
      <c r="B325" s="38" t="s">
        <v>858</v>
      </c>
      <c r="C325" s="41">
        <v>2</v>
      </c>
      <c r="D325" s="38" t="s">
        <v>252</v>
      </c>
      <c r="E325" s="38" t="s">
        <v>631</v>
      </c>
      <c r="F325" s="47">
        <v>17.5</v>
      </c>
    </row>
    <row r="326" spans="1:6">
      <c r="A326" s="38" t="s">
        <v>857</v>
      </c>
      <c r="B326" s="38" t="s">
        <v>858</v>
      </c>
      <c r="C326" s="41">
        <v>2</v>
      </c>
      <c r="D326" s="38" t="s">
        <v>252</v>
      </c>
      <c r="E326" s="38" t="s">
        <v>631</v>
      </c>
      <c r="F326" s="47">
        <v>17.5</v>
      </c>
    </row>
    <row r="327" spans="1:6">
      <c r="A327" s="38" t="s">
        <v>857</v>
      </c>
      <c r="B327" s="38" t="s">
        <v>858</v>
      </c>
      <c r="C327" s="41">
        <v>2</v>
      </c>
      <c r="D327" s="38" t="s">
        <v>252</v>
      </c>
      <c r="E327" s="38" t="s">
        <v>631</v>
      </c>
      <c r="F327" s="47">
        <v>17.5</v>
      </c>
    </row>
    <row r="328" spans="1:6">
      <c r="A328" s="38" t="s">
        <v>857</v>
      </c>
      <c r="B328" s="38" t="s">
        <v>858</v>
      </c>
      <c r="C328" s="41">
        <v>2</v>
      </c>
      <c r="D328" s="38" t="s">
        <v>252</v>
      </c>
      <c r="E328" s="38" t="s">
        <v>631</v>
      </c>
      <c r="F328" s="47">
        <v>17.5</v>
      </c>
    </row>
    <row r="329" spans="1:6">
      <c r="A329" s="38" t="s">
        <v>857</v>
      </c>
      <c r="B329" s="38" t="s">
        <v>858</v>
      </c>
      <c r="C329" s="41">
        <v>2</v>
      </c>
      <c r="D329" s="38" t="s">
        <v>252</v>
      </c>
      <c r="E329" s="38" t="s">
        <v>430</v>
      </c>
      <c r="F329" s="47">
        <v>22.5</v>
      </c>
    </row>
    <row r="330" spans="1:6">
      <c r="A330" s="38" t="s">
        <v>857</v>
      </c>
      <c r="B330" s="38" t="s">
        <v>858</v>
      </c>
      <c r="C330" s="41">
        <v>2</v>
      </c>
      <c r="D330" s="38" t="s">
        <v>252</v>
      </c>
      <c r="E330" s="38" t="s">
        <v>430</v>
      </c>
      <c r="F330" s="47">
        <v>22.5</v>
      </c>
    </row>
    <row r="331" spans="1:6">
      <c r="A331" s="38" t="s">
        <v>857</v>
      </c>
      <c r="B331" s="38" t="s">
        <v>858</v>
      </c>
      <c r="C331" s="41">
        <v>2</v>
      </c>
      <c r="D331" s="38" t="s">
        <v>252</v>
      </c>
      <c r="E331" s="38" t="s">
        <v>430</v>
      </c>
      <c r="F331" s="47">
        <v>22.5</v>
      </c>
    </row>
    <row r="332" spans="1:6">
      <c r="A332" s="38" t="s">
        <v>857</v>
      </c>
      <c r="B332" s="38" t="s">
        <v>858</v>
      </c>
      <c r="C332" s="41">
        <v>2</v>
      </c>
      <c r="D332" s="38" t="s">
        <v>252</v>
      </c>
      <c r="E332" s="38" t="s">
        <v>432</v>
      </c>
      <c r="F332" s="47">
        <v>27.5</v>
      </c>
    </row>
    <row r="333" spans="1:6">
      <c r="A333" s="38" t="s">
        <v>857</v>
      </c>
      <c r="B333" s="38" t="s">
        <v>858</v>
      </c>
      <c r="C333" s="41">
        <v>2</v>
      </c>
      <c r="D333" s="38" t="s">
        <v>252</v>
      </c>
      <c r="E333" s="38" t="s">
        <v>432</v>
      </c>
      <c r="F333" s="47">
        <v>27.5</v>
      </c>
    </row>
    <row r="334" spans="1:6">
      <c r="A334" s="38" t="s">
        <v>857</v>
      </c>
      <c r="B334" s="38" t="s">
        <v>858</v>
      </c>
      <c r="C334" s="41">
        <v>2</v>
      </c>
      <c r="D334" s="38" t="s">
        <v>252</v>
      </c>
      <c r="E334" s="38" t="s">
        <v>432</v>
      </c>
      <c r="F334" s="47">
        <v>27.5</v>
      </c>
    </row>
    <row r="335" spans="1:6">
      <c r="A335" s="38" t="s">
        <v>857</v>
      </c>
      <c r="B335" s="38" t="s">
        <v>858</v>
      </c>
      <c r="C335" s="41">
        <v>2</v>
      </c>
      <c r="D335" s="38" t="s">
        <v>252</v>
      </c>
      <c r="E335" s="38" t="s">
        <v>841</v>
      </c>
      <c r="F335" s="47">
        <v>32.5</v>
      </c>
    </row>
    <row r="336" spans="1:6">
      <c r="A336" s="38" t="s">
        <v>857</v>
      </c>
      <c r="B336" s="38" t="s">
        <v>858</v>
      </c>
      <c r="C336" s="41">
        <v>2</v>
      </c>
      <c r="D336" s="38" t="s">
        <v>252</v>
      </c>
      <c r="E336" s="38" t="s">
        <v>841</v>
      </c>
      <c r="F336" s="47">
        <v>32.5</v>
      </c>
    </row>
    <row r="337" spans="1:6">
      <c r="A337" s="38" t="s">
        <v>857</v>
      </c>
      <c r="B337" s="38" t="s">
        <v>858</v>
      </c>
      <c r="C337" s="41">
        <v>2</v>
      </c>
      <c r="D337" s="38" t="s">
        <v>252</v>
      </c>
      <c r="E337" s="38" t="s">
        <v>841</v>
      </c>
      <c r="F337" s="47">
        <v>32.5</v>
      </c>
    </row>
    <row r="338" spans="1:6">
      <c r="A338" s="38" t="s">
        <v>857</v>
      </c>
      <c r="B338" s="38" t="s">
        <v>858</v>
      </c>
      <c r="C338" s="41">
        <v>2</v>
      </c>
      <c r="D338" s="38" t="s">
        <v>252</v>
      </c>
      <c r="E338" s="38" t="s">
        <v>843</v>
      </c>
      <c r="F338" s="47">
        <v>37.5</v>
      </c>
    </row>
    <row r="339" spans="1:6">
      <c r="A339" s="38" t="s">
        <v>857</v>
      </c>
      <c r="B339" s="38" t="s">
        <v>861</v>
      </c>
      <c r="C339" s="41">
        <v>4</v>
      </c>
      <c r="D339" s="38" t="s">
        <v>252</v>
      </c>
      <c r="E339" s="38" t="s">
        <v>631</v>
      </c>
      <c r="F339" s="47">
        <v>17.5</v>
      </c>
    </row>
    <row r="340" spans="1:6">
      <c r="A340" s="38" t="s">
        <v>857</v>
      </c>
      <c r="B340" s="38" t="s">
        <v>861</v>
      </c>
      <c r="C340" s="41">
        <v>4</v>
      </c>
      <c r="D340" s="38" t="s">
        <v>252</v>
      </c>
      <c r="E340" s="38" t="s">
        <v>631</v>
      </c>
      <c r="F340" s="47">
        <v>17.5</v>
      </c>
    </row>
    <row r="341" spans="1:6">
      <c r="A341" s="38" t="s">
        <v>857</v>
      </c>
      <c r="B341" s="38" t="s">
        <v>861</v>
      </c>
      <c r="C341" s="41">
        <v>5</v>
      </c>
      <c r="D341" s="38" t="s">
        <v>252</v>
      </c>
      <c r="E341" s="38" t="s">
        <v>631</v>
      </c>
      <c r="F341" s="47">
        <v>17.5</v>
      </c>
    </row>
    <row r="342" spans="1:6">
      <c r="A342" s="38" t="s">
        <v>857</v>
      </c>
      <c r="B342" s="38" t="s">
        <v>861</v>
      </c>
      <c r="C342" s="41">
        <v>5</v>
      </c>
      <c r="D342" s="38" t="s">
        <v>252</v>
      </c>
      <c r="E342" s="38" t="s">
        <v>631</v>
      </c>
      <c r="F342" s="47">
        <v>17.5</v>
      </c>
    </row>
    <row r="343" spans="1:6">
      <c r="A343" s="38" t="s">
        <v>857</v>
      </c>
      <c r="B343" s="38" t="s">
        <v>861</v>
      </c>
      <c r="C343" s="41">
        <v>5</v>
      </c>
      <c r="D343" s="38" t="s">
        <v>252</v>
      </c>
      <c r="E343" s="38" t="s">
        <v>631</v>
      </c>
      <c r="F343" s="47">
        <v>17.5</v>
      </c>
    </row>
    <row r="344" spans="1:6">
      <c r="A344" s="38" t="s">
        <v>857</v>
      </c>
      <c r="B344" s="38" t="s">
        <v>861</v>
      </c>
      <c r="C344" s="41">
        <v>5</v>
      </c>
      <c r="D344" s="38" t="s">
        <v>252</v>
      </c>
      <c r="E344" s="38" t="s">
        <v>841</v>
      </c>
      <c r="F344" s="47">
        <v>32.5</v>
      </c>
    </row>
    <row r="345" spans="1:6">
      <c r="A345" s="38" t="s">
        <v>857</v>
      </c>
      <c r="B345" s="38" t="s">
        <v>862</v>
      </c>
      <c r="C345" s="38">
        <v>1</v>
      </c>
      <c r="D345" s="38" t="s">
        <v>252</v>
      </c>
      <c r="E345" s="38" t="s">
        <v>631</v>
      </c>
      <c r="F345" s="38">
        <v>17.5</v>
      </c>
    </row>
    <row r="346" spans="1:6">
      <c r="A346" s="38" t="s">
        <v>857</v>
      </c>
      <c r="B346" s="38" t="s">
        <v>862</v>
      </c>
      <c r="C346" s="38">
        <v>1</v>
      </c>
      <c r="D346" s="38" t="s">
        <v>252</v>
      </c>
      <c r="E346" s="38" t="s">
        <v>631</v>
      </c>
      <c r="F346" s="38">
        <v>17.5</v>
      </c>
    </row>
    <row r="347" spans="1:6">
      <c r="A347" s="38" t="s">
        <v>857</v>
      </c>
      <c r="B347" s="38" t="s">
        <v>862</v>
      </c>
      <c r="C347" s="41">
        <v>2</v>
      </c>
      <c r="D347" s="38" t="s">
        <v>252</v>
      </c>
      <c r="E347" s="38" t="s">
        <v>631</v>
      </c>
      <c r="F347" s="38">
        <v>17.5</v>
      </c>
    </row>
    <row r="348" spans="1:6">
      <c r="A348" s="38" t="s">
        <v>857</v>
      </c>
      <c r="B348" s="38" t="s">
        <v>862</v>
      </c>
      <c r="C348" s="41">
        <v>2</v>
      </c>
      <c r="D348" s="38" t="s">
        <v>252</v>
      </c>
      <c r="E348" s="38" t="s">
        <v>631</v>
      </c>
      <c r="F348" s="38">
        <v>17.5</v>
      </c>
    </row>
    <row r="349" spans="1:6">
      <c r="A349" s="38" t="s">
        <v>537</v>
      </c>
      <c r="B349" s="38" t="s">
        <v>863</v>
      </c>
      <c r="C349" s="38">
        <v>1</v>
      </c>
      <c r="D349" s="38" t="s">
        <v>252</v>
      </c>
      <c r="E349" s="38" t="s">
        <v>631</v>
      </c>
      <c r="F349" s="47">
        <v>17.5</v>
      </c>
    </row>
    <row r="350" spans="1:6">
      <c r="A350" s="38" t="s">
        <v>537</v>
      </c>
      <c r="B350" s="38" t="s">
        <v>863</v>
      </c>
      <c r="C350" s="38">
        <v>1</v>
      </c>
      <c r="D350" s="38" t="s">
        <v>252</v>
      </c>
      <c r="E350" s="38" t="s">
        <v>631</v>
      </c>
      <c r="F350" s="47">
        <v>17.5</v>
      </c>
    </row>
    <row r="351" spans="1:6">
      <c r="A351" s="38" t="s">
        <v>537</v>
      </c>
      <c r="B351" s="38" t="s">
        <v>863</v>
      </c>
      <c r="C351" s="38">
        <v>1</v>
      </c>
      <c r="D351" s="38" t="s">
        <v>252</v>
      </c>
      <c r="E351" s="38" t="s">
        <v>631</v>
      </c>
      <c r="F351" s="47">
        <v>17.5</v>
      </c>
    </row>
    <row r="352" spans="1:6">
      <c r="A352" s="38" t="s">
        <v>537</v>
      </c>
      <c r="B352" s="38" t="s">
        <v>863</v>
      </c>
      <c r="C352" s="41">
        <v>3</v>
      </c>
      <c r="D352" s="38" t="s">
        <v>252</v>
      </c>
      <c r="E352" s="38" t="s">
        <v>841</v>
      </c>
      <c r="F352" s="47">
        <v>32.5</v>
      </c>
    </row>
    <row r="353" spans="1:6">
      <c r="A353" s="38" t="s">
        <v>537</v>
      </c>
      <c r="B353" s="38" t="s">
        <v>863</v>
      </c>
      <c r="C353" s="41">
        <v>5</v>
      </c>
      <c r="D353" s="38" t="s">
        <v>252</v>
      </c>
      <c r="E353" s="38" t="s">
        <v>631</v>
      </c>
      <c r="F353" s="47">
        <v>17.5</v>
      </c>
    </row>
    <row r="354" spans="1:6">
      <c r="A354" s="38" t="s">
        <v>537</v>
      </c>
      <c r="B354" s="38" t="s">
        <v>863</v>
      </c>
      <c r="C354" s="41">
        <v>5</v>
      </c>
      <c r="D354" s="38" t="s">
        <v>252</v>
      </c>
      <c r="E354" s="38" t="s">
        <v>430</v>
      </c>
      <c r="F354" s="47">
        <v>22.5</v>
      </c>
    </row>
    <row r="355" spans="1:6">
      <c r="A355" s="38" t="s">
        <v>793</v>
      </c>
      <c r="B355" s="38" t="s">
        <v>779</v>
      </c>
      <c r="C355" s="41">
        <v>2</v>
      </c>
      <c r="D355" s="38" t="s">
        <v>252</v>
      </c>
      <c r="E355" s="38" t="s">
        <v>631</v>
      </c>
      <c r="F355" s="47">
        <v>17.5</v>
      </c>
    </row>
    <row r="356" spans="1:6">
      <c r="A356" s="38" t="s">
        <v>537</v>
      </c>
      <c r="B356" s="38" t="s">
        <v>779</v>
      </c>
      <c r="C356" s="41">
        <v>4</v>
      </c>
      <c r="D356" s="38" t="s">
        <v>252</v>
      </c>
      <c r="E356" s="38" t="s">
        <v>631</v>
      </c>
      <c r="F356" s="38">
        <v>17.5</v>
      </c>
    </row>
    <row r="357" spans="1:6">
      <c r="A357" s="38" t="s">
        <v>537</v>
      </c>
      <c r="B357" s="38" t="s">
        <v>779</v>
      </c>
      <c r="C357" s="41">
        <v>4</v>
      </c>
      <c r="D357" s="38" t="s">
        <v>252</v>
      </c>
      <c r="E357" s="38" t="s">
        <v>631</v>
      </c>
      <c r="F357" s="38">
        <v>17.5</v>
      </c>
    </row>
    <row r="358" spans="1:6">
      <c r="A358" s="38" t="s">
        <v>537</v>
      </c>
      <c r="B358" s="38" t="s">
        <v>779</v>
      </c>
      <c r="C358" s="41">
        <v>5</v>
      </c>
      <c r="D358" s="38" t="s">
        <v>252</v>
      </c>
      <c r="E358" s="38" t="s">
        <v>631</v>
      </c>
      <c r="F358" s="38">
        <v>17.5</v>
      </c>
    </row>
    <row r="359" spans="1:6">
      <c r="A359" s="38" t="s">
        <v>778</v>
      </c>
      <c r="B359" s="38" t="s">
        <v>867</v>
      </c>
      <c r="C359" s="41">
        <v>2</v>
      </c>
      <c r="D359" s="38" t="s">
        <v>252</v>
      </c>
      <c r="E359" s="38" t="s">
        <v>430</v>
      </c>
      <c r="F359" s="38">
        <v>22.5</v>
      </c>
    </row>
    <row r="360" spans="1:6">
      <c r="A360" s="38" t="s">
        <v>778</v>
      </c>
      <c r="B360" s="38" t="s">
        <v>867</v>
      </c>
      <c r="C360" s="41">
        <v>2</v>
      </c>
      <c r="D360" s="38" t="s">
        <v>252</v>
      </c>
      <c r="E360" s="38" t="s">
        <v>430</v>
      </c>
      <c r="F360" s="38">
        <v>22.5</v>
      </c>
    </row>
    <row r="361" spans="1:6">
      <c r="A361" s="38" t="s">
        <v>778</v>
      </c>
      <c r="B361" s="38" t="s">
        <v>867</v>
      </c>
      <c r="C361" s="41">
        <v>2</v>
      </c>
      <c r="D361" s="38" t="s">
        <v>252</v>
      </c>
      <c r="E361" s="38" t="s">
        <v>430</v>
      </c>
      <c r="F361" s="38">
        <v>22.5</v>
      </c>
    </row>
    <row r="362" spans="1:6">
      <c r="A362" s="38" t="s">
        <v>778</v>
      </c>
      <c r="B362" s="38" t="s">
        <v>867</v>
      </c>
      <c r="C362" s="41">
        <v>2</v>
      </c>
      <c r="D362" s="38" t="s">
        <v>252</v>
      </c>
      <c r="E362" s="38" t="s">
        <v>430</v>
      </c>
      <c r="F362" s="38">
        <v>18</v>
      </c>
    </row>
    <row r="363" spans="1:6">
      <c r="A363" s="38" t="s">
        <v>778</v>
      </c>
      <c r="B363" s="38" t="s">
        <v>867</v>
      </c>
      <c r="C363" s="41">
        <v>2</v>
      </c>
      <c r="D363" s="38" t="s">
        <v>252</v>
      </c>
      <c r="E363" s="38" t="s">
        <v>430</v>
      </c>
      <c r="F363" s="38">
        <v>25</v>
      </c>
    </row>
    <row r="364" spans="1:6">
      <c r="A364" s="38" t="s">
        <v>778</v>
      </c>
      <c r="B364" s="38" t="s">
        <v>867</v>
      </c>
      <c r="C364" s="41">
        <v>2</v>
      </c>
      <c r="D364" s="38" t="s">
        <v>252</v>
      </c>
      <c r="E364" s="38" t="s">
        <v>432</v>
      </c>
      <c r="F364" s="38">
        <v>27.5</v>
      </c>
    </row>
    <row r="365" spans="1:6">
      <c r="A365" s="38" t="s">
        <v>778</v>
      </c>
      <c r="B365" s="38" t="s">
        <v>867</v>
      </c>
      <c r="C365" s="41">
        <v>2</v>
      </c>
      <c r="D365" s="38" t="s">
        <v>252</v>
      </c>
      <c r="E365" s="38" t="s">
        <v>432</v>
      </c>
      <c r="F365" s="38">
        <v>27</v>
      </c>
    </row>
    <row r="366" spans="1:6">
      <c r="A366" s="38" t="s">
        <v>778</v>
      </c>
      <c r="B366" s="38" t="s">
        <v>867</v>
      </c>
      <c r="C366" s="41">
        <v>2</v>
      </c>
      <c r="D366" s="38" t="s">
        <v>252</v>
      </c>
      <c r="E366" s="38" t="s">
        <v>841</v>
      </c>
      <c r="F366" s="38">
        <v>32.5</v>
      </c>
    </row>
    <row r="367" spans="1:6">
      <c r="A367" s="38" t="s">
        <v>778</v>
      </c>
      <c r="B367" s="38" t="s">
        <v>867</v>
      </c>
      <c r="C367" s="41">
        <v>2</v>
      </c>
      <c r="D367" s="38" t="s">
        <v>252</v>
      </c>
      <c r="E367" s="38" t="s">
        <v>841</v>
      </c>
      <c r="F367" s="38">
        <v>32.5</v>
      </c>
    </row>
    <row r="368" spans="1:6">
      <c r="A368" s="38" t="s">
        <v>778</v>
      </c>
      <c r="B368" s="38" t="s">
        <v>867</v>
      </c>
      <c r="C368" s="41">
        <v>3</v>
      </c>
      <c r="D368" s="38" t="s">
        <v>252</v>
      </c>
      <c r="E368" s="38" t="s">
        <v>631</v>
      </c>
      <c r="F368" s="38">
        <v>17.5</v>
      </c>
    </row>
    <row r="369" spans="1:6">
      <c r="A369" s="38" t="s">
        <v>778</v>
      </c>
      <c r="B369" s="38" t="s">
        <v>867</v>
      </c>
      <c r="C369" s="41">
        <v>3</v>
      </c>
      <c r="D369" s="38" t="s">
        <v>252</v>
      </c>
      <c r="E369" s="38" t="s">
        <v>631</v>
      </c>
      <c r="F369" s="38">
        <v>17.5</v>
      </c>
    </row>
    <row r="370" spans="1:6">
      <c r="A370" s="38" t="s">
        <v>778</v>
      </c>
      <c r="B370" s="38" t="s">
        <v>867</v>
      </c>
      <c r="C370" s="41">
        <v>3</v>
      </c>
      <c r="D370" s="38" t="s">
        <v>252</v>
      </c>
      <c r="E370" s="38" t="s">
        <v>631</v>
      </c>
      <c r="F370" s="38">
        <v>17.5</v>
      </c>
    </row>
    <row r="371" spans="1:6">
      <c r="A371" s="38" t="s">
        <v>778</v>
      </c>
      <c r="B371" s="38" t="s">
        <v>867</v>
      </c>
      <c r="C371" s="41">
        <v>3</v>
      </c>
      <c r="D371" s="38" t="s">
        <v>252</v>
      </c>
      <c r="E371" s="38" t="s">
        <v>631</v>
      </c>
      <c r="F371" s="38">
        <v>17.5</v>
      </c>
    </row>
    <row r="372" spans="1:6">
      <c r="A372" s="38" t="s">
        <v>778</v>
      </c>
      <c r="B372" s="38" t="s">
        <v>867</v>
      </c>
      <c r="C372" s="41">
        <v>3</v>
      </c>
      <c r="D372" s="38" t="s">
        <v>252</v>
      </c>
      <c r="E372" s="38" t="s">
        <v>430</v>
      </c>
      <c r="F372" s="38">
        <v>22.5</v>
      </c>
    </row>
    <row r="373" spans="1:6">
      <c r="A373" s="38" t="s">
        <v>778</v>
      </c>
      <c r="B373" s="38" t="s">
        <v>867</v>
      </c>
      <c r="C373" s="41">
        <v>3</v>
      </c>
      <c r="D373" s="38" t="s">
        <v>252</v>
      </c>
      <c r="E373" s="38" t="s">
        <v>430</v>
      </c>
      <c r="F373" s="38">
        <v>22.5</v>
      </c>
    </row>
    <row r="374" spans="1:6">
      <c r="A374" s="38" t="s">
        <v>778</v>
      </c>
      <c r="B374" s="38" t="s">
        <v>867</v>
      </c>
      <c r="C374" s="41">
        <v>3</v>
      </c>
      <c r="D374" s="38" t="s">
        <v>252</v>
      </c>
      <c r="E374" s="38" t="s">
        <v>432</v>
      </c>
      <c r="F374" s="38">
        <v>27.5</v>
      </c>
    </row>
    <row r="375" spans="1:6">
      <c r="A375" s="38" t="s">
        <v>778</v>
      </c>
      <c r="B375" s="38" t="s">
        <v>867</v>
      </c>
      <c r="C375" s="41">
        <v>3</v>
      </c>
      <c r="D375" s="38" t="s">
        <v>252</v>
      </c>
      <c r="E375" s="38" t="s">
        <v>841</v>
      </c>
      <c r="F375" s="38">
        <v>32.5</v>
      </c>
    </row>
    <row r="376" spans="1:6">
      <c r="A376" s="38" t="s">
        <v>778</v>
      </c>
      <c r="B376" s="38" t="s">
        <v>867</v>
      </c>
      <c r="C376" s="41">
        <v>4</v>
      </c>
      <c r="D376" s="38" t="s">
        <v>252</v>
      </c>
      <c r="E376" s="38" t="s">
        <v>631</v>
      </c>
      <c r="F376" s="38">
        <v>17.5</v>
      </c>
    </row>
    <row r="377" spans="1:6">
      <c r="A377" s="38" t="s">
        <v>778</v>
      </c>
      <c r="B377" s="38" t="s">
        <v>867</v>
      </c>
      <c r="C377" s="41">
        <v>4</v>
      </c>
      <c r="D377" s="38" t="s">
        <v>252</v>
      </c>
      <c r="E377" s="38" t="s">
        <v>430</v>
      </c>
      <c r="F377" s="38">
        <v>22.5</v>
      </c>
    </row>
    <row r="378" spans="1:6">
      <c r="A378" s="38" t="s">
        <v>778</v>
      </c>
      <c r="B378" s="38" t="s">
        <v>867</v>
      </c>
      <c r="C378" s="41">
        <v>5</v>
      </c>
      <c r="D378" s="38" t="s">
        <v>252</v>
      </c>
      <c r="E378" s="38" t="s">
        <v>430</v>
      </c>
      <c r="F378" s="38">
        <v>22.5</v>
      </c>
    </row>
    <row r="379" spans="1:6">
      <c r="A379" s="38" t="s">
        <v>778</v>
      </c>
      <c r="B379" s="38" t="s">
        <v>867</v>
      </c>
      <c r="C379" s="41">
        <v>6</v>
      </c>
      <c r="D379" s="38" t="s">
        <v>252</v>
      </c>
      <c r="E379" s="38" t="s">
        <v>430</v>
      </c>
      <c r="F379" s="38">
        <v>22.5</v>
      </c>
    </row>
    <row r="380" spans="1:6">
      <c r="A380" s="38" t="s">
        <v>778</v>
      </c>
      <c r="B380" s="38" t="s">
        <v>780</v>
      </c>
      <c r="C380" s="38">
        <v>1</v>
      </c>
      <c r="D380" s="38" t="s">
        <v>252</v>
      </c>
      <c r="E380" s="38" t="s">
        <v>430</v>
      </c>
      <c r="F380" s="47">
        <v>22.5</v>
      </c>
    </row>
    <row r="381" spans="1:6">
      <c r="A381" s="38" t="s">
        <v>778</v>
      </c>
      <c r="B381" s="38" t="s">
        <v>780</v>
      </c>
      <c r="C381" s="38">
        <v>1</v>
      </c>
      <c r="D381" s="38" t="s">
        <v>252</v>
      </c>
      <c r="E381" s="38" t="s">
        <v>430</v>
      </c>
      <c r="F381" s="47">
        <v>22.5</v>
      </c>
    </row>
    <row r="382" spans="1:6">
      <c r="A382" s="38" t="s">
        <v>778</v>
      </c>
      <c r="B382" s="38" t="s">
        <v>780</v>
      </c>
      <c r="C382" s="38">
        <v>1</v>
      </c>
      <c r="D382" s="38" t="s">
        <v>252</v>
      </c>
      <c r="E382" s="38" t="s">
        <v>432</v>
      </c>
      <c r="F382" s="47">
        <v>27.5</v>
      </c>
    </row>
    <row r="383" spans="1:6">
      <c r="A383" s="38" t="s">
        <v>778</v>
      </c>
      <c r="B383" s="38" t="s">
        <v>780</v>
      </c>
      <c r="C383" s="38">
        <v>1</v>
      </c>
      <c r="D383" s="38" t="s">
        <v>252</v>
      </c>
      <c r="E383" s="38" t="s">
        <v>432</v>
      </c>
      <c r="F383" s="47">
        <v>27.5</v>
      </c>
    </row>
    <row r="384" spans="1:6">
      <c r="A384" s="38" t="s">
        <v>778</v>
      </c>
      <c r="B384" s="38" t="s">
        <v>780</v>
      </c>
      <c r="C384" s="38">
        <v>1</v>
      </c>
      <c r="D384" s="38" t="s">
        <v>252</v>
      </c>
      <c r="E384" s="38" t="s">
        <v>843</v>
      </c>
      <c r="F384" s="47">
        <v>37.5</v>
      </c>
    </row>
    <row r="385" spans="1:6">
      <c r="A385" s="38" t="s">
        <v>778</v>
      </c>
      <c r="B385" s="38" t="s">
        <v>780</v>
      </c>
      <c r="C385" s="38">
        <v>1</v>
      </c>
      <c r="D385" s="38" t="s">
        <v>252</v>
      </c>
      <c r="E385" s="38" t="s">
        <v>843</v>
      </c>
      <c r="F385" s="47">
        <v>37.5</v>
      </c>
    </row>
    <row r="386" spans="1:6">
      <c r="A386" s="38" t="s">
        <v>778</v>
      </c>
      <c r="B386" s="38" t="s">
        <v>780</v>
      </c>
      <c r="C386" s="38">
        <v>1</v>
      </c>
      <c r="D386" s="38" t="s">
        <v>252</v>
      </c>
      <c r="E386" s="38" t="s">
        <v>843</v>
      </c>
      <c r="F386" s="47">
        <v>37.5</v>
      </c>
    </row>
    <row r="387" spans="1:6">
      <c r="A387" s="38" t="s">
        <v>778</v>
      </c>
      <c r="B387" s="38" t="s">
        <v>780</v>
      </c>
      <c r="C387" s="38">
        <v>1</v>
      </c>
      <c r="D387" s="38" t="s">
        <v>252</v>
      </c>
      <c r="E387" s="38" t="s">
        <v>845</v>
      </c>
      <c r="F387" s="47">
        <v>42.5</v>
      </c>
    </row>
    <row r="388" spans="1:6">
      <c r="A388" s="38" t="s">
        <v>778</v>
      </c>
      <c r="B388" s="38" t="s">
        <v>780</v>
      </c>
      <c r="C388" s="38">
        <v>1</v>
      </c>
      <c r="D388" s="38" t="s">
        <v>252</v>
      </c>
      <c r="E388" s="38" t="s">
        <v>845</v>
      </c>
      <c r="F388" s="47">
        <v>42.5</v>
      </c>
    </row>
    <row r="389" spans="1:6">
      <c r="A389" s="38" t="s">
        <v>778</v>
      </c>
      <c r="B389" s="38" t="s">
        <v>780</v>
      </c>
      <c r="C389" s="41">
        <v>2</v>
      </c>
      <c r="D389" s="38" t="s">
        <v>252</v>
      </c>
      <c r="E389" s="38" t="s">
        <v>631</v>
      </c>
      <c r="F389" s="24">
        <v>17.5</v>
      </c>
    </row>
    <row r="390" spans="1:6">
      <c r="A390" s="38" t="s">
        <v>778</v>
      </c>
      <c r="B390" s="38" t="s">
        <v>780</v>
      </c>
      <c r="C390" s="41">
        <v>2</v>
      </c>
      <c r="D390" s="38" t="s">
        <v>252</v>
      </c>
      <c r="E390" s="38" t="s">
        <v>631</v>
      </c>
      <c r="F390" s="24">
        <v>17.5</v>
      </c>
    </row>
    <row r="391" spans="1:6">
      <c r="A391" s="38" t="s">
        <v>778</v>
      </c>
      <c r="B391" s="38" t="s">
        <v>780</v>
      </c>
      <c r="C391" s="41">
        <v>2</v>
      </c>
      <c r="D391" s="38" t="s">
        <v>252</v>
      </c>
      <c r="E391" s="38" t="s">
        <v>631</v>
      </c>
      <c r="F391" s="38">
        <v>15</v>
      </c>
    </row>
    <row r="392" spans="1:6">
      <c r="A392" s="38" t="s">
        <v>778</v>
      </c>
      <c r="B392" s="38" t="s">
        <v>780</v>
      </c>
      <c r="C392" s="41">
        <v>2</v>
      </c>
      <c r="D392" s="38" t="s">
        <v>252</v>
      </c>
      <c r="E392" s="38" t="s">
        <v>430</v>
      </c>
      <c r="F392" s="47">
        <v>22.5</v>
      </c>
    </row>
    <row r="393" spans="1:6">
      <c r="A393" s="38" t="s">
        <v>778</v>
      </c>
      <c r="B393" s="38" t="s">
        <v>780</v>
      </c>
      <c r="C393" s="41">
        <v>2</v>
      </c>
      <c r="D393" s="38" t="s">
        <v>252</v>
      </c>
      <c r="E393" s="38" t="s">
        <v>430</v>
      </c>
      <c r="F393" s="47">
        <v>22.5</v>
      </c>
    </row>
    <row r="394" spans="1:6">
      <c r="A394" s="38" t="s">
        <v>778</v>
      </c>
      <c r="B394" s="38" t="s">
        <v>780</v>
      </c>
      <c r="C394" s="41">
        <v>2</v>
      </c>
      <c r="D394" s="38" t="s">
        <v>252</v>
      </c>
      <c r="E394" s="38" t="s">
        <v>430</v>
      </c>
      <c r="F394" s="47">
        <v>22.5</v>
      </c>
    </row>
    <row r="395" spans="1:6">
      <c r="A395" s="38" t="s">
        <v>778</v>
      </c>
      <c r="B395" s="38" t="s">
        <v>780</v>
      </c>
      <c r="C395" s="41">
        <v>2</v>
      </c>
      <c r="D395" s="38" t="s">
        <v>252</v>
      </c>
      <c r="E395" s="38" t="s">
        <v>430</v>
      </c>
      <c r="F395" s="47">
        <v>22.5</v>
      </c>
    </row>
    <row r="396" spans="1:6">
      <c r="A396" s="38" t="s">
        <v>778</v>
      </c>
      <c r="B396" s="38" t="s">
        <v>780</v>
      </c>
      <c r="C396" s="41">
        <v>2</v>
      </c>
      <c r="D396" s="38" t="s">
        <v>252</v>
      </c>
      <c r="E396" s="38" t="s">
        <v>432</v>
      </c>
      <c r="F396" s="47">
        <v>27.5</v>
      </c>
    </row>
    <row r="397" spans="1:6">
      <c r="A397" s="38" t="s">
        <v>778</v>
      </c>
      <c r="B397" s="38" t="s">
        <v>780</v>
      </c>
      <c r="C397" s="41">
        <v>2</v>
      </c>
      <c r="D397" s="38" t="s">
        <v>252</v>
      </c>
      <c r="E397" s="38" t="s">
        <v>843</v>
      </c>
      <c r="F397" s="47">
        <v>37.5</v>
      </c>
    </row>
    <row r="398" spans="1:6">
      <c r="A398" s="38" t="s">
        <v>778</v>
      </c>
      <c r="B398" s="38" t="s">
        <v>780</v>
      </c>
      <c r="C398" s="41">
        <v>2</v>
      </c>
      <c r="D398" s="38" t="s">
        <v>252</v>
      </c>
      <c r="E398" s="38" t="s">
        <v>845</v>
      </c>
      <c r="F398" s="47">
        <v>42.5</v>
      </c>
    </row>
    <row r="399" spans="1:6">
      <c r="A399" s="38" t="s">
        <v>778</v>
      </c>
      <c r="B399" s="38" t="s">
        <v>780</v>
      </c>
      <c r="C399" s="41">
        <v>3</v>
      </c>
      <c r="D399" s="38" t="s">
        <v>252</v>
      </c>
      <c r="E399" s="38" t="s">
        <v>631</v>
      </c>
      <c r="F399" s="47">
        <v>17.5</v>
      </c>
    </row>
    <row r="400" spans="1:6">
      <c r="A400" s="38" t="s">
        <v>778</v>
      </c>
      <c r="B400" s="38" t="s">
        <v>780</v>
      </c>
      <c r="C400" s="41">
        <v>3</v>
      </c>
      <c r="D400" s="38" t="s">
        <v>252</v>
      </c>
      <c r="E400" s="38" t="s">
        <v>430</v>
      </c>
      <c r="F400" s="47">
        <v>22.5</v>
      </c>
    </row>
    <row r="401" spans="1:6">
      <c r="A401" s="38" t="s">
        <v>778</v>
      </c>
      <c r="B401" s="38" t="s">
        <v>780</v>
      </c>
      <c r="C401" s="41">
        <v>3</v>
      </c>
      <c r="D401" s="38" t="s">
        <v>252</v>
      </c>
      <c r="E401" s="38" t="s">
        <v>430</v>
      </c>
      <c r="F401" s="47">
        <v>22.5</v>
      </c>
    </row>
    <row r="402" spans="1:6">
      <c r="A402" s="38" t="s">
        <v>778</v>
      </c>
      <c r="B402" s="38" t="s">
        <v>780</v>
      </c>
      <c r="C402" s="41">
        <v>3</v>
      </c>
      <c r="D402" s="38" t="s">
        <v>252</v>
      </c>
      <c r="E402" s="38" t="s">
        <v>432</v>
      </c>
      <c r="F402" s="47">
        <v>27.5</v>
      </c>
    </row>
    <row r="403" spans="1:6">
      <c r="A403" s="38" t="s">
        <v>778</v>
      </c>
      <c r="B403" s="38" t="s">
        <v>780</v>
      </c>
      <c r="C403" s="41">
        <v>4</v>
      </c>
      <c r="D403" s="38" t="s">
        <v>252</v>
      </c>
      <c r="E403" s="38" t="s">
        <v>631</v>
      </c>
      <c r="F403" s="38">
        <v>15</v>
      </c>
    </row>
    <row r="404" spans="1:6">
      <c r="A404" s="38" t="s">
        <v>778</v>
      </c>
      <c r="B404" s="38" t="s">
        <v>780</v>
      </c>
      <c r="C404" s="41">
        <v>4</v>
      </c>
      <c r="D404" s="38" t="s">
        <v>252</v>
      </c>
      <c r="E404" s="38" t="s">
        <v>631</v>
      </c>
      <c r="F404" s="38">
        <v>15</v>
      </c>
    </row>
    <row r="405" spans="1:6">
      <c r="A405" s="38" t="s">
        <v>778</v>
      </c>
      <c r="B405" s="38" t="s">
        <v>780</v>
      </c>
      <c r="C405" s="41">
        <v>4</v>
      </c>
      <c r="D405" s="38" t="s">
        <v>252</v>
      </c>
      <c r="E405" s="38" t="s">
        <v>430</v>
      </c>
      <c r="F405" s="47">
        <v>22.5</v>
      </c>
    </row>
    <row r="406" spans="1:6">
      <c r="A406" s="38" t="s">
        <v>778</v>
      </c>
      <c r="B406" s="38" t="s">
        <v>780</v>
      </c>
      <c r="C406" s="41">
        <v>4</v>
      </c>
      <c r="D406" s="38" t="s">
        <v>252</v>
      </c>
      <c r="E406" s="38" t="s">
        <v>430</v>
      </c>
      <c r="F406" s="47">
        <v>22.5</v>
      </c>
    </row>
    <row r="407" spans="1:6">
      <c r="A407" s="38" t="s">
        <v>778</v>
      </c>
      <c r="B407" s="38" t="s">
        <v>780</v>
      </c>
      <c r="C407" s="41">
        <v>4</v>
      </c>
      <c r="D407" s="38" t="s">
        <v>252</v>
      </c>
      <c r="E407" s="38" t="s">
        <v>430</v>
      </c>
      <c r="F407" s="47">
        <v>22.5</v>
      </c>
    </row>
    <row r="408" spans="1:6">
      <c r="A408" s="38" t="s">
        <v>778</v>
      </c>
      <c r="B408" s="38" t="s">
        <v>780</v>
      </c>
      <c r="C408" s="41">
        <v>4</v>
      </c>
      <c r="D408" s="38" t="s">
        <v>252</v>
      </c>
      <c r="E408" s="38" t="s">
        <v>430</v>
      </c>
      <c r="F408" s="47">
        <v>22.5</v>
      </c>
    </row>
    <row r="409" spans="1:6">
      <c r="A409" s="38" t="s">
        <v>778</v>
      </c>
      <c r="B409" s="38" t="s">
        <v>780</v>
      </c>
      <c r="C409" s="41">
        <v>4</v>
      </c>
      <c r="D409" s="38" t="s">
        <v>252</v>
      </c>
      <c r="E409" s="38" t="s">
        <v>430</v>
      </c>
      <c r="F409" s="47">
        <v>22.5</v>
      </c>
    </row>
    <row r="410" spans="1:6">
      <c r="A410" s="38" t="s">
        <v>778</v>
      </c>
      <c r="B410" s="38" t="s">
        <v>780</v>
      </c>
      <c r="C410" s="41">
        <v>4</v>
      </c>
      <c r="D410" s="38" t="s">
        <v>252</v>
      </c>
      <c r="E410" s="38" t="s">
        <v>430</v>
      </c>
      <c r="F410" s="47">
        <v>22.5</v>
      </c>
    </row>
    <row r="411" spans="1:6">
      <c r="A411" s="38" t="s">
        <v>778</v>
      </c>
      <c r="B411" s="38" t="s">
        <v>780</v>
      </c>
      <c r="C411" s="41">
        <v>4</v>
      </c>
      <c r="D411" s="38" t="s">
        <v>252</v>
      </c>
      <c r="E411" s="38" t="s">
        <v>430</v>
      </c>
      <c r="F411" s="47">
        <v>22.5</v>
      </c>
    </row>
    <row r="412" spans="1:6">
      <c r="A412" s="38" t="s">
        <v>778</v>
      </c>
      <c r="B412" s="38" t="s">
        <v>780</v>
      </c>
      <c r="C412" s="41">
        <v>4</v>
      </c>
      <c r="D412" s="38" t="s">
        <v>252</v>
      </c>
      <c r="E412" s="38" t="s">
        <v>430</v>
      </c>
      <c r="F412" s="47">
        <v>22.5</v>
      </c>
    </row>
    <row r="413" spans="1:6">
      <c r="A413" s="38" t="s">
        <v>778</v>
      </c>
      <c r="B413" s="38" t="s">
        <v>780</v>
      </c>
      <c r="C413" s="41">
        <v>4</v>
      </c>
      <c r="D413" s="38" t="s">
        <v>252</v>
      </c>
      <c r="E413" s="38" t="s">
        <v>430</v>
      </c>
      <c r="F413" s="47">
        <v>22.5</v>
      </c>
    </row>
    <row r="414" spans="1:6">
      <c r="A414" s="38" t="s">
        <v>778</v>
      </c>
      <c r="B414" s="38" t="s">
        <v>780</v>
      </c>
      <c r="C414" s="41">
        <v>4</v>
      </c>
      <c r="D414" s="38" t="s">
        <v>252</v>
      </c>
      <c r="E414" s="38" t="s">
        <v>430</v>
      </c>
      <c r="F414" s="47">
        <v>22.5</v>
      </c>
    </row>
    <row r="415" spans="1:6">
      <c r="A415" s="38" t="s">
        <v>778</v>
      </c>
      <c r="B415" s="38" t="s">
        <v>780</v>
      </c>
      <c r="C415" s="41">
        <v>4</v>
      </c>
      <c r="D415" s="38" t="s">
        <v>252</v>
      </c>
      <c r="E415" s="38" t="s">
        <v>432</v>
      </c>
      <c r="F415" s="47">
        <v>27.5</v>
      </c>
    </row>
    <row r="416" spans="1:6">
      <c r="A416" s="38" t="s">
        <v>778</v>
      </c>
      <c r="B416" s="38" t="s">
        <v>780</v>
      </c>
      <c r="C416" s="41">
        <v>4</v>
      </c>
      <c r="D416" s="38" t="s">
        <v>252</v>
      </c>
      <c r="E416" s="38" t="s">
        <v>432</v>
      </c>
      <c r="F416" s="47">
        <v>27.5</v>
      </c>
    </row>
    <row r="417" spans="1:6">
      <c r="A417" s="38" t="s">
        <v>778</v>
      </c>
      <c r="B417" s="38" t="s">
        <v>780</v>
      </c>
      <c r="C417" s="41">
        <v>4</v>
      </c>
      <c r="D417" s="38" t="s">
        <v>252</v>
      </c>
      <c r="E417" s="38" t="s">
        <v>432</v>
      </c>
      <c r="F417" s="47">
        <v>27.5</v>
      </c>
    </row>
    <row r="418" spans="1:6">
      <c r="A418" s="38" t="s">
        <v>778</v>
      </c>
      <c r="B418" s="38" t="s">
        <v>780</v>
      </c>
      <c r="C418" s="41">
        <v>4</v>
      </c>
      <c r="D418" s="38" t="s">
        <v>252</v>
      </c>
      <c r="E418" s="38" t="s">
        <v>432</v>
      </c>
      <c r="F418" s="47">
        <v>27.5</v>
      </c>
    </row>
    <row r="419" spans="1:6">
      <c r="A419" s="38" t="s">
        <v>778</v>
      </c>
      <c r="B419" s="38" t="s">
        <v>780</v>
      </c>
      <c r="C419" s="41">
        <v>4</v>
      </c>
      <c r="D419" s="38" t="s">
        <v>252</v>
      </c>
      <c r="E419" s="38" t="s">
        <v>432</v>
      </c>
      <c r="F419" s="47">
        <v>27.5</v>
      </c>
    </row>
    <row r="420" spans="1:6">
      <c r="A420" s="38" t="s">
        <v>778</v>
      </c>
      <c r="B420" s="38" t="s">
        <v>780</v>
      </c>
      <c r="C420" s="41">
        <v>4</v>
      </c>
      <c r="D420" s="38" t="s">
        <v>252</v>
      </c>
      <c r="E420" s="38" t="s">
        <v>841</v>
      </c>
      <c r="F420" s="47">
        <v>32.5</v>
      </c>
    </row>
    <row r="421" spans="1:6">
      <c r="A421" s="38" t="s">
        <v>778</v>
      </c>
      <c r="B421" s="38" t="s">
        <v>780</v>
      </c>
      <c r="C421" s="41">
        <v>4</v>
      </c>
      <c r="D421" s="38" t="s">
        <v>252</v>
      </c>
      <c r="E421" s="38" t="s">
        <v>841</v>
      </c>
      <c r="F421" s="47">
        <v>32.5</v>
      </c>
    </row>
    <row r="422" spans="1:6">
      <c r="A422" s="38" t="s">
        <v>778</v>
      </c>
      <c r="B422" s="38" t="s">
        <v>780</v>
      </c>
      <c r="C422" s="41">
        <v>4</v>
      </c>
      <c r="D422" s="38" t="s">
        <v>252</v>
      </c>
      <c r="E422" s="38" t="s">
        <v>841</v>
      </c>
      <c r="F422" s="47">
        <v>32.5</v>
      </c>
    </row>
    <row r="423" spans="1:6">
      <c r="A423" s="38" t="s">
        <v>778</v>
      </c>
      <c r="B423" s="38" t="s">
        <v>781</v>
      </c>
      <c r="C423" s="41">
        <v>2</v>
      </c>
      <c r="D423" s="38" t="s">
        <v>252</v>
      </c>
      <c r="E423" s="38" t="s">
        <v>631</v>
      </c>
      <c r="F423" s="47">
        <v>17.5</v>
      </c>
    </row>
    <row r="424" spans="1:6">
      <c r="A424" s="38" t="s">
        <v>778</v>
      </c>
      <c r="B424" s="38" t="s">
        <v>781</v>
      </c>
      <c r="C424" s="41">
        <v>6</v>
      </c>
      <c r="D424" s="38" t="s">
        <v>252</v>
      </c>
      <c r="E424" s="38" t="s">
        <v>631</v>
      </c>
      <c r="F424" s="47">
        <v>17.5</v>
      </c>
    </row>
    <row r="425" spans="1:6">
      <c r="A425" s="38" t="s">
        <v>778</v>
      </c>
      <c r="B425" s="38" t="s">
        <v>781</v>
      </c>
      <c r="C425" s="41">
        <v>6</v>
      </c>
      <c r="D425" s="38" t="s">
        <v>252</v>
      </c>
      <c r="E425" s="38" t="s">
        <v>631</v>
      </c>
      <c r="F425" s="47">
        <v>17.5</v>
      </c>
    </row>
    <row r="426" spans="1:6">
      <c r="A426" s="38" t="s">
        <v>778</v>
      </c>
      <c r="B426" s="38" t="s">
        <v>781</v>
      </c>
      <c r="C426" s="41">
        <v>6</v>
      </c>
      <c r="D426" s="38" t="s">
        <v>252</v>
      </c>
      <c r="E426" s="38" t="s">
        <v>631</v>
      </c>
      <c r="F426" s="47">
        <v>17.5</v>
      </c>
    </row>
    <row r="427" spans="1:6">
      <c r="A427" s="38" t="s">
        <v>778</v>
      </c>
      <c r="B427" s="38" t="s">
        <v>781</v>
      </c>
      <c r="C427" s="41">
        <v>6</v>
      </c>
      <c r="D427" s="38" t="s">
        <v>252</v>
      </c>
      <c r="E427" s="38" t="s">
        <v>430</v>
      </c>
      <c r="F427" s="47">
        <v>22.5</v>
      </c>
    </row>
    <row r="428" spans="1:6">
      <c r="A428" s="38" t="s">
        <v>778</v>
      </c>
      <c r="B428" s="38" t="s">
        <v>781</v>
      </c>
      <c r="C428" s="41">
        <v>6</v>
      </c>
      <c r="D428" s="38" t="s">
        <v>252</v>
      </c>
      <c r="E428" s="38" t="s">
        <v>430</v>
      </c>
      <c r="F428" s="47">
        <v>22.5</v>
      </c>
    </row>
    <row r="429" spans="1:6">
      <c r="A429" s="38" t="s">
        <v>778</v>
      </c>
      <c r="B429" s="38" t="s">
        <v>781</v>
      </c>
      <c r="C429" s="41">
        <v>6</v>
      </c>
      <c r="D429" s="38" t="s">
        <v>252</v>
      </c>
      <c r="E429" s="38" t="s">
        <v>432</v>
      </c>
      <c r="F429" s="47">
        <v>27.5</v>
      </c>
    </row>
    <row r="430" spans="1:6">
      <c r="A430" s="38" t="s">
        <v>778</v>
      </c>
      <c r="B430" s="38" t="s">
        <v>781</v>
      </c>
      <c r="C430" s="41">
        <v>6</v>
      </c>
      <c r="D430" s="38" t="s">
        <v>252</v>
      </c>
      <c r="E430" s="38" t="s">
        <v>432</v>
      </c>
      <c r="F430" s="47">
        <v>27.5</v>
      </c>
    </row>
    <row r="431" spans="1:6">
      <c r="A431" s="38" t="s">
        <v>778</v>
      </c>
      <c r="B431" s="38" t="s">
        <v>781</v>
      </c>
      <c r="C431" s="41">
        <v>7</v>
      </c>
      <c r="D431" s="38" t="s">
        <v>252</v>
      </c>
      <c r="E431" s="38" t="s">
        <v>430</v>
      </c>
      <c r="F431" s="47">
        <v>22.5</v>
      </c>
    </row>
    <row r="432" spans="1:6">
      <c r="A432" s="38" t="s">
        <v>778</v>
      </c>
      <c r="B432" s="38" t="s">
        <v>781</v>
      </c>
      <c r="C432" s="41">
        <v>8</v>
      </c>
      <c r="D432" s="38" t="s">
        <v>252</v>
      </c>
      <c r="E432" s="38" t="s">
        <v>631</v>
      </c>
      <c r="F432" s="38">
        <v>15</v>
      </c>
    </row>
  </sheetData>
  <phoneticPr fontId="3" type="noConversion"/>
  <pageMargins left="0.75" right="0.75" top="1" bottom="1" header="0.5" footer="0.5"/>
  <rowBreaks count="1" manualBreakCount="1">
    <brk id="423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AD260"/>
  <sheetViews>
    <sheetView topLeftCell="M1" zoomScale="90" workbookViewId="0">
      <pane ySplit="860" activePane="bottomLeft"/>
      <selection activeCell="T1" sqref="T1:T1048576"/>
      <selection pane="bottomLeft" activeCell="AC1" sqref="AC1"/>
    </sheetView>
  </sheetViews>
  <sheetFormatPr baseColWidth="10" defaultColWidth="5.83203125" defaultRowHeight="12"/>
  <cols>
    <col min="1" max="1" width="10.1640625" customWidth="1"/>
    <col min="4" max="4" width="12.6640625" customWidth="1"/>
    <col min="5" max="5" width="5.5" customWidth="1"/>
    <col min="6" max="6" width="7.83203125" style="7" customWidth="1"/>
    <col min="8" max="9" width="9" customWidth="1"/>
    <col min="11" max="13" width="9.83203125" customWidth="1"/>
    <col min="14" max="14" width="15.1640625" customWidth="1"/>
    <col min="17" max="26" width="9" customWidth="1"/>
    <col min="28" max="28" width="8" customWidth="1"/>
    <col min="29" max="29" width="9.1640625" bestFit="1" customWidth="1"/>
    <col min="30" max="30" width="8.33203125" bestFit="1" customWidth="1"/>
  </cols>
  <sheetData>
    <row r="1" spans="1:30" s="38" customFormat="1" ht="40">
      <c r="A1" s="1" t="s">
        <v>379</v>
      </c>
      <c r="B1" s="1" t="s">
        <v>380</v>
      </c>
      <c r="C1" s="1" t="s">
        <v>381</v>
      </c>
      <c r="D1" s="2" t="s">
        <v>382</v>
      </c>
      <c r="E1" s="3" t="s">
        <v>383</v>
      </c>
      <c r="F1" s="4" t="s">
        <v>384</v>
      </c>
      <c r="G1" s="2" t="s">
        <v>385</v>
      </c>
      <c r="H1" s="2" t="s">
        <v>386</v>
      </c>
      <c r="I1" s="2" t="s">
        <v>757</v>
      </c>
      <c r="J1" s="5" t="s">
        <v>387</v>
      </c>
      <c r="K1" s="5" t="s">
        <v>388</v>
      </c>
      <c r="L1" s="5" t="s">
        <v>262</v>
      </c>
      <c r="M1" s="5" t="s">
        <v>253</v>
      </c>
      <c r="N1" s="3" t="s">
        <v>389</v>
      </c>
      <c r="O1" s="38" t="s">
        <v>20</v>
      </c>
      <c r="P1" s="38" t="s">
        <v>153</v>
      </c>
      <c r="Q1" s="5" t="s">
        <v>86</v>
      </c>
      <c r="R1" s="39" t="s">
        <v>87</v>
      </c>
      <c r="S1" s="39" t="s">
        <v>88</v>
      </c>
      <c r="T1" s="39" t="s">
        <v>89</v>
      </c>
      <c r="U1" s="39" t="s">
        <v>90</v>
      </c>
      <c r="V1" s="39" t="s">
        <v>91</v>
      </c>
      <c r="W1" s="40" t="s">
        <v>394</v>
      </c>
      <c r="X1" s="40" t="s">
        <v>395</v>
      </c>
      <c r="Y1" s="40" t="s">
        <v>396</v>
      </c>
      <c r="Z1" s="40" t="s">
        <v>397</v>
      </c>
      <c r="AA1" s="39" t="s">
        <v>398</v>
      </c>
      <c r="AB1" s="39" t="s">
        <v>800</v>
      </c>
      <c r="AC1" s="39" t="s">
        <v>113</v>
      </c>
      <c r="AD1" s="39" t="s">
        <v>112</v>
      </c>
    </row>
    <row r="2" spans="1:30">
      <c r="A2" s="6">
        <v>39993</v>
      </c>
      <c r="B2" t="s">
        <v>276</v>
      </c>
      <c r="C2" s="9" t="s">
        <v>290</v>
      </c>
      <c r="D2" t="s">
        <v>277</v>
      </c>
      <c r="E2" t="s">
        <v>402</v>
      </c>
      <c r="F2" s="7">
        <v>5</v>
      </c>
      <c r="G2" t="s">
        <v>278</v>
      </c>
      <c r="H2">
        <v>1</v>
      </c>
      <c r="I2">
        <v>1</v>
      </c>
      <c r="J2" t="s">
        <v>404</v>
      </c>
      <c r="K2" t="s">
        <v>405</v>
      </c>
      <c r="L2" t="s">
        <v>252</v>
      </c>
      <c r="M2" t="s">
        <v>263</v>
      </c>
      <c r="N2" t="s">
        <v>211</v>
      </c>
      <c r="O2">
        <v>8</v>
      </c>
      <c r="P2">
        <v>5</v>
      </c>
      <c r="R2">
        <v>3</v>
      </c>
      <c r="S2">
        <v>1</v>
      </c>
      <c r="W2">
        <v>2</v>
      </c>
      <c r="X2">
        <v>2</v>
      </c>
      <c r="AB2">
        <v>5577.9828125000004</v>
      </c>
      <c r="AC2">
        <f>(R2*(0.0211*(12.5^3)))+(S2*(0.0211*(17.5^3)))+(T2*(0.0211*(22.5^3)))+(U2*(0.0211*(27.5^3)))+(V2*(0.0211*(32.5^3)))+(W2*(0.0211*(37.5^3)))+(X2*(0.0211*(42.5^3)))+(Y2*(0.0211*(27.5^3)))</f>
        <v>5701.6156250000004</v>
      </c>
      <c r="AD2">
        <f>(S2*(0.0211*(17.5^3)))+(T2*(0.0211*(22.5^3)))+(U2*(0.0211*(27.5^3)))+(V2*(0.0211*(32.5^3)))+(W2*(0.0211*(37.5^3)))+(X2*(0.0211*(42.5^3)))+(Y2*(0.0211*(27.5^3)))</f>
        <v>5577.9828125000004</v>
      </c>
    </row>
    <row r="3" spans="1:30" hidden="1">
      <c r="A3" s="6">
        <v>39993</v>
      </c>
      <c r="B3" t="s">
        <v>276</v>
      </c>
      <c r="C3" s="9" t="s">
        <v>290</v>
      </c>
      <c r="D3" t="s">
        <v>277</v>
      </c>
      <c r="E3" t="s">
        <v>402</v>
      </c>
      <c r="F3" s="7">
        <v>5</v>
      </c>
      <c r="G3" t="s">
        <v>278</v>
      </c>
      <c r="H3">
        <v>1</v>
      </c>
      <c r="I3">
        <v>1</v>
      </c>
      <c r="J3" t="s">
        <v>404</v>
      </c>
      <c r="K3" t="s">
        <v>405</v>
      </c>
      <c r="L3" t="s">
        <v>172</v>
      </c>
      <c r="M3" t="s">
        <v>65</v>
      </c>
      <c r="N3" t="s">
        <v>407</v>
      </c>
      <c r="O3">
        <v>100</v>
      </c>
      <c r="P3">
        <v>0</v>
      </c>
      <c r="R3" t="s">
        <v>279</v>
      </c>
      <c r="AC3">
        <f>(100*(0.0004*(10^3.43)))</f>
        <v>107.66139215707673</v>
      </c>
    </row>
    <row r="4" spans="1:30">
      <c r="A4" s="6">
        <v>39993</v>
      </c>
      <c r="B4" t="s">
        <v>276</v>
      </c>
      <c r="C4" s="9" t="s">
        <v>290</v>
      </c>
      <c r="D4" t="s">
        <v>280</v>
      </c>
      <c r="E4" t="s">
        <v>402</v>
      </c>
      <c r="F4" s="7">
        <v>10</v>
      </c>
      <c r="G4">
        <v>8.5</v>
      </c>
      <c r="H4">
        <v>2</v>
      </c>
      <c r="I4">
        <v>2</v>
      </c>
      <c r="J4" t="s">
        <v>404</v>
      </c>
      <c r="K4" t="s">
        <v>405</v>
      </c>
      <c r="L4" t="s">
        <v>252</v>
      </c>
      <c r="M4" t="s">
        <v>263</v>
      </c>
      <c r="N4" t="s">
        <v>211</v>
      </c>
      <c r="O4">
        <v>21</v>
      </c>
      <c r="P4">
        <v>19</v>
      </c>
      <c r="R4">
        <v>2</v>
      </c>
      <c r="S4">
        <v>9</v>
      </c>
      <c r="T4">
        <v>3</v>
      </c>
      <c r="U4">
        <v>3</v>
      </c>
      <c r="V4">
        <v>3</v>
      </c>
      <c r="W4">
        <v>1</v>
      </c>
      <c r="AB4">
        <v>6340.8796875000007</v>
      </c>
      <c r="AC4">
        <f>(R4*(0.0211*(12.5^3)))+(S4*(0.0211*(17.5^3)))+(T4*(0.0211*(22.5^3)))+(U4*(0.0211*(27.5^3)))+(V4*(0.0211*(32.5^3)))+(W4*(0.0211*(37.5^3)))+(X4*(0.0211*(42.5^3)))+(Y4*(0.0211*(27.5^3)))</f>
        <v>6423.3015625000007</v>
      </c>
      <c r="AD4">
        <f>(S4*(0.0211*(17.5^3)))+(T4*(0.0211*(22.5^3)))+(U4*(0.0211*(27.5^3)))+(V4*(0.0211*(32.5^3)))+(W4*(0.0211*(37.5^3)))+(X4*(0.0211*(42.5^3)))+(Y4*(0.0211*(27.5^3)))</f>
        <v>6340.8796875000007</v>
      </c>
    </row>
    <row r="5" spans="1:30" hidden="1">
      <c r="A5" s="6">
        <v>39993</v>
      </c>
      <c r="B5" t="s">
        <v>276</v>
      </c>
      <c r="C5" s="9" t="s">
        <v>290</v>
      </c>
      <c r="D5" t="s">
        <v>280</v>
      </c>
      <c r="E5" t="s">
        <v>402</v>
      </c>
      <c r="F5" s="7">
        <v>10</v>
      </c>
      <c r="G5">
        <v>8.5</v>
      </c>
      <c r="H5">
        <v>2</v>
      </c>
      <c r="I5">
        <v>2</v>
      </c>
      <c r="J5" t="s">
        <v>404</v>
      </c>
      <c r="K5" t="s">
        <v>405</v>
      </c>
      <c r="L5" t="s">
        <v>170</v>
      </c>
      <c r="M5" t="s">
        <v>170</v>
      </c>
      <c r="N5" t="s">
        <v>281</v>
      </c>
      <c r="O5">
        <v>8</v>
      </c>
      <c r="P5">
        <v>0</v>
      </c>
      <c r="Q5">
        <v>8</v>
      </c>
      <c r="AA5" t="s">
        <v>282</v>
      </c>
      <c r="AC5">
        <f>(1*(0.0156*(8^3))+R5*(0.0156*(12.5^3)))+(S5*(0.0156*(17.5^3)))+(T5*(0.0156*(22.5^3)))+(U5*(0.0156*(27.5^3)))+(V5*(0.0156*(32.5^3)))+(W5*(0.0156*(37.5^3)))+(X5*(0.0156*(42.5^3)))+(Y5*(0.0156*(27.5^3)))</f>
        <v>7.9871999999999996</v>
      </c>
    </row>
    <row r="6" spans="1:30" hidden="1">
      <c r="A6" s="6">
        <v>39993</v>
      </c>
      <c r="B6" t="s">
        <v>276</v>
      </c>
      <c r="C6" s="9" t="s">
        <v>290</v>
      </c>
      <c r="D6" t="s">
        <v>280</v>
      </c>
      <c r="E6" t="s">
        <v>402</v>
      </c>
      <c r="F6" s="7">
        <v>10</v>
      </c>
      <c r="G6">
        <v>8.5</v>
      </c>
      <c r="H6">
        <v>2</v>
      </c>
      <c r="I6">
        <v>2</v>
      </c>
      <c r="J6" t="s">
        <v>404</v>
      </c>
      <c r="K6" t="s">
        <v>405</v>
      </c>
      <c r="L6" t="s">
        <v>170</v>
      </c>
      <c r="M6" t="s">
        <v>170</v>
      </c>
      <c r="N6" t="s">
        <v>281</v>
      </c>
      <c r="O6">
        <v>8</v>
      </c>
      <c r="P6">
        <v>0</v>
      </c>
      <c r="Q6">
        <v>8</v>
      </c>
      <c r="AC6">
        <f>(1*(0.0156*(8^3))+R6*(0.0156*(12.5^3)))+(S6*(0.0156*(17.5^3)))+(T6*(0.0156*(22.5^3)))+(U6*(0.0156*(27.5^3)))+(V6*(0.0156*(32.5^3)))+(W6*(0.0156*(37.5^3)))+(X6*(0.0156*(42.5^3)))+(Y6*(0.0156*(27.5^3)))</f>
        <v>7.9871999999999996</v>
      </c>
    </row>
    <row r="7" spans="1:30" hidden="1">
      <c r="A7" s="6">
        <v>39993</v>
      </c>
      <c r="B7" t="s">
        <v>276</v>
      </c>
      <c r="C7" s="9" t="s">
        <v>290</v>
      </c>
      <c r="D7" t="s">
        <v>280</v>
      </c>
      <c r="E7" t="s">
        <v>402</v>
      </c>
      <c r="F7" s="7">
        <v>10</v>
      </c>
      <c r="G7">
        <v>8.5</v>
      </c>
      <c r="H7">
        <v>2</v>
      </c>
      <c r="I7">
        <v>2</v>
      </c>
      <c r="J7" t="s">
        <v>404</v>
      </c>
      <c r="K7" t="s">
        <v>405</v>
      </c>
      <c r="L7" t="s">
        <v>170</v>
      </c>
      <c r="M7" t="s">
        <v>170</v>
      </c>
      <c r="N7" t="s">
        <v>281</v>
      </c>
      <c r="O7">
        <v>8</v>
      </c>
      <c r="P7">
        <v>0</v>
      </c>
      <c r="Q7">
        <v>8</v>
      </c>
      <c r="AC7">
        <f>(1*(0.0156*(8^3))+R7*(0.0156*(12.5^3)))+(S7*(0.0156*(17.5^3)))+(T7*(0.0156*(22.5^3)))+(U7*(0.0156*(27.5^3)))+(V7*(0.0156*(32.5^3)))+(W7*(0.0156*(37.5^3)))+(X7*(0.0156*(42.5^3)))+(Y7*(0.0156*(27.5^3)))</f>
        <v>7.9871999999999996</v>
      </c>
    </row>
    <row r="8" spans="1:30" hidden="1">
      <c r="A8" s="6">
        <v>39993</v>
      </c>
      <c r="B8" t="s">
        <v>276</v>
      </c>
      <c r="C8" s="9" t="s">
        <v>290</v>
      </c>
      <c r="D8" t="s">
        <v>280</v>
      </c>
      <c r="E8" t="s">
        <v>402</v>
      </c>
      <c r="F8" s="7">
        <v>10</v>
      </c>
      <c r="G8">
        <v>8.5</v>
      </c>
      <c r="H8">
        <v>2</v>
      </c>
      <c r="I8">
        <v>2</v>
      </c>
      <c r="J8" t="s">
        <v>404</v>
      </c>
      <c r="K8" t="s">
        <v>405</v>
      </c>
      <c r="L8" t="s">
        <v>170</v>
      </c>
      <c r="M8" t="s">
        <v>170</v>
      </c>
      <c r="N8" t="s">
        <v>409</v>
      </c>
      <c r="O8">
        <v>1</v>
      </c>
      <c r="P8">
        <v>1</v>
      </c>
      <c r="V8">
        <v>1</v>
      </c>
      <c r="AC8">
        <f>(R8*(0.0156*(12.5^3)))+(S8*(0.0156*(17.5^3)))+(T8*(0.0156*(22.5^3)))+(U8*(0.0156*(27.5^3)))+(V8*(0.0156*(32.5^3)))+(W8*(0.0156*(37.5^3)))+(X8*(0.0156*(42.5^3)))+(Y8*(0.0156*(27.5^3)))</f>
        <v>535.51874999999995</v>
      </c>
    </row>
    <row r="9" spans="1:30" hidden="1">
      <c r="A9" s="6">
        <v>39993</v>
      </c>
      <c r="B9" t="s">
        <v>276</v>
      </c>
      <c r="C9" s="9" t="s">
        <v>290</v>
      </c>
      <c r="D9" t="s">
        <v>280</v>
      </c>
      <c r="E9" t="s">
        <v>402</v>
      </c>
      <c r="F9" s="7">
        <v>10</v>
      </c>
      <c r="G9">
        <v>8.5</v>
      </c>
      <c r="H9">
        <v>2</v>
      </c>
      <c r="I9">
        <v>2</v>
      </c>
      <c r="J9" t="s">
        <v>404</v>
      </c>
      <c r="K9" t="s">
        <v>405</v>
      </c>
      <c r="L9" t="s">
        <v>177</v>
      </c>
      <c r="M9" t="s">
        <v>265</v>
      </c>
      <c r="N9" t="s">
        <v>45</v>
      </c>
      <c r="O9">
        <v>6</v>
      </c>
      <c r="P9">
        <v>0</v>
      </c>
      <c r="Q9">
        <v>6</v>
      </c>
      <c r="AC9">
        <f>(1*(0.009*(60^3.06)))/1000</f>
        <v>2.4853372876419679</v>
      </c>
    </row>
    <row r="10" spans="1:30" hidden="1">
      <c r="A10" s="6">
        <v>39993</v>
      </c>
      <c r="B10" t="s">
        <v>276</v>
      </c>
      <c r="C10" s="9" t="s">
        <v>290</v>
      </c>
      <c r="D10" t="s">
        <v>280</v>
      </c>
      <c r="E10" t="s">
        <v>402</v>
      </c>
      <c r="F10" s="7">
        <v>10</v>
      </c>
      <c r="G10">
        <v>8.5</v>
      </c>
      <c r="H10">
        <v>2</v>
      </c>
      <c r="I10">
        <v>2</v>
      </c>
      <c r="J10" t="s">
        <v>404</v>
      </c>
      <c r="K10" t="s">
        <v>405</v>
      </c>
      <c r="L10" t="s">
        <v>177</v>
      </c>
      <c r="M10" t="s">
        <v>265</v>
      </c>
      <c r="N10" t="s">
        <v>45</v>
      </c>
      <c r="O10">
        <v>10</v>
      </c>
      <c r="P10">
        <v>0</v>
      </c>
      <c r="R10">
        <v>10</v>
      </c>
      <c r="AC10">
        <f>(1*(0.009*(100^3.06)))/1000</f>
        <v>11.864310647007688</v>
      </c>
    </row>
    <row r="11" spans="1:30" hidden="1">
      <c r="A11" s="6">
        <v>39993</v>
      </c>
      <c r="B11" t="s">
        <v>276</v>
      </c>
      <c r="C11" s="9" t="s">
        <v>290</v>
      </c>
      <c r="D11" t="s">
        <v>280</v>
      </c>
      <c r="E11" t="s">
        <v>402</v>
      </c>
      <c r="F11" s="7">
        <v>10</v>
      </c>
      <c r="G11">
        <v>8.5</v>
      </c>
      <c r="H11">
        <v>2</v>
      </c>
      <c r="I11">
        <v>2</v>
      </c>
      <c r="J11" t="s">
        <v>404</v>
      </c>
      <c r="K11" t="s">
        <v>405</v>
      </c>
      <c r="L11" t="s">
        <v>177</v>
      </c>
      <c r="M11" t="s">
        <v>265</v>
      </c>
      <c r="N11" t="s">
        <v>283</v>
      </c>
      <c r="O11">
        <v>12</v>
      </c>
      <c r="P11">
        <v>0</v>
      </c>
      <c r="R11">
        <v>12</v>
      </c>
      <c r="AC11">
        <f>(1*(0.009*(120^3.06)))/1000</f>
        <v>20.727032212067943</v>
      </c>
    </row>
    <row r="12" spans="1:30" hidden="1">
      <c r="A12" s="6">
        <v>39993</v>
      </c>
      <c r="B12" t="s">
        <v>276</v>
      </c>
      <c r="C12" s="9" t="s">
        <v>290</v>
      </c>
      <c r="D12" t="s">
        <v>280</v>
      </c>
      <c r="E12" t="s">
        <v>402</v>
      </c>
      <c r="F12" s="7">
        <v>10</v>
      </c>
      <c r="G12">
        <v>8.5</v>
      </c>
      <c r="H12">
        <v>3</v>
      </c>
      <c r="I12">
        <v>3</v>
      </c>
      <c r="J12" t="s">
        <v>404</v>
      </c>
      <c r="K12" t="s">
        <v>405</v>
      </c>
      <c r="L12" t="s">
        <v>170</v>
      </c>
      <c r="M12" t="s">
        <v>170</v>
      </c>
      <c r="N12" t="s">
        <v>406</v>
      </c>
      <c r="O12">
        <v>1</v>
      </c>
      <c r="P12">
        <v>1</v>
      </c>
      <c r="S12">
        <v>1</v>
      </c>
      <c r="AC12">
        <f>(R12*(0.0156*(12.5^3)))+(S12*(0.0156*(17.5^3)))+(T12*(0.0156*(22.5^3)))+(U12*(0.0156*(27.5^3)))+(V12*(0.0156*(32.5^3)))+(W12*(0.0156*(37.5^3)))+(X12*(0.0156*(42.5^3)))+(Y12*(0.0156*(27.5^3)))</f>
        <v>83.606250000000003</v>
      </c>
    </row>
    <row r="13" spans="1:30" hidden="1">
      <c r="A13" s="6">
        <v>39993</v>
      </c>
      <c r="B13" t="s">
        <v>276</v>
      </c>
      <c r="C13" s="9" t="s">
        <v>290</v>
      </c>
      <c r="D13" t="s">
        <v>280</v>
      </c>
      <c r="E13" t="s">
        <v>402</v>
      </c>
      <c r="F13" s="7">
        <v>10</v>
      </c>
      <c r="G13">
        <v>8.5</v>
      </c>
      <c r="H13">
        <v>3</v>
      </c>
      <c r="I13">
        <v>3</v>
      </c>
      <c r="J13" t="s">
        <v>404</v>
      </c>
      <c r="K13" t="s">
        <v>405</v>
      </c>
      <c r="L13" t="s">
        <v>177</v>
      </c>
      <c r="M13" t="s">
        <v>265</v>
      </c>
      <c r="N13" t="s">
        <v>284</v>
      </c>
      <c r="O13">
        <v>7</v>
      </c>
      <c r="P13">
        <v>0</v>
      </c>
      <c r="Q13">
        <v>7</v>
      </c>
      <c r="AC13">
        <f>(1*(0.009*(70^3.06)))/1000</f>
        <v>3.9832953736762806</v>
      </c>
    </row>
    <row r="14" spans="1:30" hidden="1">
      <c r="A14" s="6">
        <v>39993</v>
      </c>
      <c r="B14" t="s">
        <v>276</v>
      </c>
      <c r="C14" s="9" t="s">
        <v>290</v>
      </c>
      <c r="D14" t="s">
        <v>280</v>
      </c>
      <c r="E14" t="s">
        <v>402</v>
      </c>
      <c r="F14" s="7">
        <v>10</v>
      </c>
      <c r="G14">
        <v>8.5</v>
      </c>
      <c r="H14">
        <v>3</v>
      </c>
      <c r="I14">
        <v>3</v>
      </c>
      <c r="J14" t="s">
        <v>404</v>
      </c>
      <c r="K14" t="s">
        <v>405</v>
      </c>
      <c r="L14" t="s">
        <v>172</v>
      </c>
      <c r="M14" t="s">
        <v>65</v>
      </c>
      <c r="N14" t="s">
        <v>407</v>
      </c>
      <c r="O14">
        <v>13</v>
      </c>
      <c r="P14">
        <v>0</v>
      </c>
      <c r="Q14" t="s">
        <v>285</v>
      </c>
      <c r="AC14">
        <f>13*(0.0004*(3^3.43))</f>
        <v>0.22517970576739735</v>
      </c>
    </row>
    <row r="15" spans="1:30" hidden="1">
      <c r="A15" s="6">
        <v>39993</v>
      </c>
      <c r="B15" t="s">
        <v>276</v>
      </c>
      <c r="C15" s="9" t="s">
        <v>290</v>
      </c>
      <c r="D15" t="s">
        <v>280</v>
      </c>
      <c r="E15" t="s">
        <v>402</v>
      </c>
      <c r="F15" s="7">
        <v>10</v>
      </c>
      <c r="G15">
        <v>8.5</v>
      </c>
      <c r="H15">
        <v>3</v>
      </c>
      <c r="I15">
        <v>3</v>
      </c>
      <c r="J15" t="s">
        <v>404</v>
      </c>
      <c r="K15" t="s">
        <v>405</v>
      </c>
      <c r="L15" t="s">
        <v>170</v>
      </c>
      <c r="M15" t="s">
        <v>170</v>
      </c>
      <c r="N15" t="s">
        <v>409</v>
      </c>
      <c r="O15">
        <v>3</v>
      </c>
      <c r="P15">
        <v>3</v>
      </c>
      <c r="S15">
        <v>3</v>
      </c>
      <c r="AC15">
        <f>(R15*(0.0156*(12.5^3)))+(S15*(0.0156*(17.5^3)))+(T15*(0.0156*(22.5^3)))+(U15*(0.0156*(27.5^3)))+(V15*(0.0156*(32.5^3)))+(W15*(0.0156*(37.5^3)))+(X15*(0.0156*(42.5^3)))+(Y15*(0.0156*(27.5^3)))</f>
        <v>250.81875000000002</v>
      </c>
    </row>
    <row r="16" spans="1:30" hidden="1">
      <c r="A16" s="6">
        <v>39993</v>
      </c>
      <c r="B16" t="s">
        <v>276</v>
      </c>
      <c r="C16" s="9" t="s">
        <v>290</v>
      </c>
      <c r="D16" t="s">
        <v>280</v>
      </c>
      <c r="E16" t="s">
        <v>402</v>
      </c>
      <c r="F16" s="7">
        <v>10</v>
      </c>
      <c r="G16">
        <v>8.5</v>
      </c>
      <c r="H16">
        <v>3</v>
      </c>
      <c r="I16">
        <v>3</v>
      </c>
      <c r="J16" t="s">
        <v>404</v>
      </c>
      <c r="K16" t="s">
        <v>405</v>
      </c>
      <c r="L16" t="s">
        <v>174</v>
      </c>
      <c r="M16" t="s">
        <v>174</v>
      </c>
      <c r="N16" t="s">
        <v>210</v>
      </c>
      <c r="O16">
        <v>1</v>
      </c>
      <c r="P16">
        <v>1</v>
      </c>
      <c r="V16">
        <v>1</v>
      </c>
      <c r="AC16">
        <f>(V16*(0.013*(32.5^3)))</f>
        <v>446.265625</v>
      </c>
    </row>
    <row r="17" spans="1:30" hidden="1">
      <c r="A17" s="6">
        <v>39994</v>
      </c>
      <c r="B17" t="s">
        <v>276</v>
      </c>
      <c r="C17" t="s">
        <v>234</v>
      </c>
      <c r="D17" t="s">
        <v>235</v>
      </c>
      <c r="E17" t="s">
        <v>402</v>
      </c>
      <c r="F17" s="7">
        <v>12</v>
      </c>
      <c r="G17" t="s">
        <v>236</v>
      </c>
      <c r="H17">
        <v>1</v>
      </c>
      <c r="I17">
        <v>1</v>
      </c>
      <c r="J17" t="s">
        <v>404</v>
      </c>
      <c r="K17" t="s">
        <v>237</v>
      </c>
      <c r="L17" t="s">
        <v>170</v>
      </c>
      <c r="M17" t="s">
        <v>170</v>
      </c>
      <c r="N17" t="s">
        <v>238</v>
      </c>
      <c r="O17">
        <v>5</v>
      </c>
      <c r="P17">
        <v>0</v>
      </c>
      <c r="Q17" t="s">
        <v>239</v>
      </c>
      <c r="R17" t="s">
        <v>444</v>
      </c>
      <c r="AC17">
        <f>(2*(0.0156*(9^3))+1*(0.0156*(8^3))+2*(0.0156*(10^3)))+(S17*(0.0156*(17.5^3)))+(T17*(0.0156*(22.5^3)))+(U17*(0.0156*(27.5^3)))+(V17*(0.0156*(32.5^3)))+(W17*(0.0156*(37.5^3)))+(X17*(0.0156*(42.5^3)))+(Y17*(0.0156*(27.5^3)))</f>
        <v>61.932000000000002</v>
      </c>
    </row>
    <row r="18" spans="1:30" hidden="1">
      <c r="A18" s="6">
        <v>39994</v>
      </c>
      <c r="B18" t="s">
        <v>276</v>
      </c>
      <c r="C18" t="s">
        <v>234</v>
      </c>
      <c r="D18" t="s">
        <v>235</v>
      </c>
      <c r="E18" t="s">
        <v>402</v>
      </c>
      <c r="F18" s="7">
        <v>12</v>
      </c>
      <c r="G18" t="s">
        <v>236</v>
      </c>
      <c r="H18">
        <v>1</v>
      </c>
      <c r="I18">
        <v>1</v>
      </c>
      <c r="J18" t="s">
        <v>404</v>
      </c>
      <c r="K18" t="s">
        <v>445</v>
      </c>
      <c r="L18" t="s">
        <v>206</v>
      </c>
      <c r="M18" t="s">
        <v>202</v>
      </c>
      <c r="N18" t="s">
        <v>446</v>
      </c>
      <c r="O18">
        <v>1</v>
      </c>
      <c r="P18">
        <v>0</v>
      </c>
      <c r="R18" t="s">
        <v>447</v>
      </c>
      <c r="AC18">
        <f>(1*(0.0043*(10^3.018)))</f>
        <v>4.4819649463912077</v>
      </c>
    </row>
    <row r="19" spans="1:30" hidden="1">
      <c r="A19" s="6">
        <v>39994</v>
      </c>
      <c r="B19" t="s">
        <v>276</v>
      </c>
      <c r="C19" t="s">
        <v>234</v>
      </c>
      <c r="D19" t="s">
        <v>235</v>
      </c>
      <c r="E19" t="s">
        <v>402</v>
      </c>
      <c r="F19" s="7">
        <v>12</v>
      </c>
      <c r="G19" t="s">
        <v>236</v>
      </c>
      <c r="H19">
        <v>1</v>
      </c>
      <c r="I19">
        <v>1</v>
      </c>
      <c r="J19" t="s">
        <v>404</v>
      </c>
      <c r="K19" t="s">
        <v>643</v>
      </c>
      <c r="L19" t="s">
        <v>177</v>
      </c>
      <c r="M19" t="s">
        <v>265</v>
      </c>
      <c r="N19" t="s">
        <v>45</v>
      </c>
      <c r="O19">
        <v>7</v>
      </c>
      <c r="P19">
        <v>0</v>
      </c>
      <c r="Q19" t="s">
        <v>644</v>
      </c>
      <c r="R19" t="s">
        <v>447</v>
      </c>
      <c r="AC19">
        <f>((0.009*(80^3.06))+(0.009*(50^3.06))+(0.009*(40^3.06))+(3*(0.009*(30^3.06)))+(1*(0.009*(100^3.06))))/1000</f>
        <v>20.893409163700582</v>
      </c>
    </row>
    <row r="20" spans="1:30" hidden="1">
      <c r="A20" s="6">
        <v>39994</v>
      </c>
      <c r="B20" t="s">
        <v>276</v>
      </c>
      <c r="C20" t="s">
        <v>234</v>
      </c>
      <c r="D20" t="s">
        <v>235</v>
      </c>
      <c r="E20" t="s">
        <v>402</v>
      </c>
      <c r="F20" s="7">
        <v>12</v>
      </c>
      <c r="G20" t="s">
        <v>236</v>
      </c>
      <c r="H20">
        <v>1</v>
      </c>
      <c r="I20">
        <v>1</v>
      </c>
      <c r="J20" t="s">
        <v>404</v>
      </c>
      <c r="K20" t="s">
        <v>643</v>
      </c>
      <c r="L20" t="s">
        <v>207</v>
      </c>
      <c r="M20" t="s">
        <v>60</v>
      </c>
      <c r="N20" t="s">
        <v>448</v>
      </c>
      <c r="O20">
        <v>1</v>
      </c>
      <c r="P20">
        <v>1</v>
      </c>
      <c r="Z20" t="s">
        <v>449</v>
      </c>
      <c r="AC20">
        <f>(1*(0.0000055*(550^3.185)))</f>
        <v>2940.4774656398595</v>
      </c>
    </row>
    <row r="21" spans="1:30" hidden="1">
      <c r="A21" s="6">
        <v>39994</v>
      </c>
      <c r="B21" t="s">
        <v>276</v>
      </c>
      <c r="C21" t="s">
        <v>234</v>
      </c>
      <c r="D21" t="s">
        <v>235</v>
      </c>
      <c r="E21" t="s">
        <v>402</v>
      </c>
      <c r="F21" s="7">
        <v>12</v>
      </c>
      <c r="G21" t="s">
        <v>236</v>
      </c>
      <c r="H21">
        <v>1</v>
      </c>
      <c r="I21">
        <v>1</v>
      </c>
      <c r="J21" t="s">
        <v>404</v>
      </c>
      <c r="K21" t="s">
        <v>237</v>
      </c>
      <c r="L21" t="s">
        <v>170</v>
      </c>
      <c r="M21" t="s">
        <v>170</v>
      </c>
      <c r="N21" t="s">
        <v>406</v>
      </c>
      <c r="O21">
        <v>2</v>
      </c>
      <c r="P21">
        <v>2</v>
      </c>
      <c r="T21">
        <v>1</v>
      </c>
      <c r="X21">
        <v>1</v>
      </c>
      <c r="AC21">
        <f>(0*(0.0156*(9^3))+0*(0.0156*(8^3))+R21*(0.0156*(12.5^3)))+(S21*(0.0156*(17.5^3)))+(T21*(0.0156*(22.5^3)))+(U21*(0.0156*(27.5^3)))+(V21*(0.0156*(32.5^3)))+(W21*(0.0156*(37.5^3)))+(X21*(0.0156*(42.5^3)))+(Y21*(0.0156*(27.5^3)))</f>
        <v>1375.2375</v>
      </c>
    </row>
    <row r="22" spans="1:30" hidden="1">
      <c r="A22" s="6">
        <v>39994</v>
      </c>
      <c r="B22" t="s">
        <v>276</v>
      </c>
      <c r="C22" t="s">
        <v>234</v>
      </c>
      <c r="D22" t="s">
        <v>235</v>
      </c>
      <c r="E22" t="s">
        <v>402</v>
      </c>
      <c r="F22" s="7">
        <v>12</v>
      </c>
      <c r="G22" t="s">
        <v>270</v>
      </c>
      <c r="H22">
        <v>2</v>
      </c>
      <c r="I22">
        <v>2</v>
      </c>
      <c r="J22" t="s">
        <v>404</v>
      </c>
      <c r="K22" t="s">
        <v>237</v>
      </c>
      <c r="L22" t="s">
        <v>170</v>
      </c>
      <c r="M22" t="s">
        <v>170</v>
      </c>
      <c r="N22" t="s">
        <v>409</v>
      </c>
      <c r="O22">
        <v>3</v>
      </c>
      <c r="P22">
        <v>3</v>
      </c>
      <c r="S22">
        <v>1</v>
      </c>
      <c r="V22">
        <v>1</v>
      </c>
      <c r="W22">
        <v>1</v>
      </c>
      <c r="AC22">
        <f>(0*(0.0156*(9^3))+0*(0.0156*(8^3))+R22*(0.0156*(12.5^3)))+(S22*(0.0156*(17.5^3)))+(T22*(0.0156*(22.5^3)))+(U22*(0.0156*(27.5^3)))+(V22*(0.0156*(32.5^3)))+(W22*(0.0156*(37.5^3)))+(X22*(0.0156*(42.5^3)))+(Y22*(0.0156*(27.5^3)))</f>
        <v>1441.78125</v>
      </c>
    </row>
    <row r="23" spans="1:30" hidden="1">
      <c r="A23" s="6">
        <v>39994</v>
      </c>
      <c r="B23" t="s">
        <v>276</v>
      </c>
      <c r="C23" t="s">
        <v>234</v>
      </c>
      <c r="D23" t="s">
        <v>235</v>
      </c>
      <c r="E23" t="s">
        <v>402</v>
      </c>
      <c r="F23" s="7">
        <v>12</v>
      </c>
      <c r="G23" t="s">
        <v>270</v>
      </c>
      <c r="H23">
        <v>2</v>
      </c>
      <c r="I23">
        <v>2</v>
      </c>
      <c r="J23" t="s">
        <v>404</v>
      </c>
      <c r="K23" t="s">
        <v>237</v>
      </c>
      <c r="L23" t="s">
        <v>177</v>
      </c>
      <c r="M23" t="s">
        <v>202</v>
      </c>
      <c r="N23" t="s">
        <v>450</v>
      </c>
      <c r="O23">
        <v>5</v>
      </c>
      <c r="P23">
        <v>0</v>
      </c>
      <c r="Q23" t="s">
        <v>451</v>
      </c>
      <c r="R23" t="s">
        <v>447</v>
      </c>
      <c r="AC23">
        <f>((2*(0.009*(60^3.06)))+(2*(0.009*(30^3.06)))+(1*(0.009*(100^3.06))))/1000</f>
        <v>17.431008943405651</v>
      </c>
    </row>
    <row r="24" spans="1:30" hidden="1">
      <c r="A24" s="6">
        <v>39994</v>
      </c>
      <c r="B24" t="s">
        <v>276</v>
      </c>
      <c r="C24" t="s">
        <v>234</v>
      </c>
      <c r="D24" t="s">
        <v>235</v>
      </c>
      <c r="E24" t="s">
        <v>402</v>
      </c>
      <c r="F24" s="7">
        <v>12</v>
      </c>
      <c r="G24" t="s">
        <v>270</v>
      </c>
      <c r="H24">
        <v>2</v>
      </c>
      <c r="I24">
        <v>2</v>
      </c>
      <c r="J24" t="s">
        <v>404</v>
      </c>
      <c r="K24" t="s">
        <v>237</v>
      </c>
      <c r="L24" t="s">
        <v>199</v>
      </c>
      <c r="M24" t="s">
        <v>175</v>
      </c>
      <c r="N24" t="s">
        <v>38</v>
      </c>
      <c r="O24">
        <v>1</v>
      </c>
      <c r="P24">
        <v>1</v>
      </c>
      <c r="T24">
        <v>1</v>
      </c>
      <c r="AB24">
        <v>199.33593750000003</v>
      </c>
      <c r="AC24">
        <f>(R24*(0.0175*(12.5^3)))+(S24*(0.0175*(17.5^3)))+(T24*(0.0175*(22.5^3)))+(U24*(0.0175*(27.5^3)))+(V24*(0.0175*(32.5^3)))+(W24*(0.0175*(37.5^3)))+(X24*(0.0175*(42.5^3)))+(Y24*(0.0175*(27.5^3)))</f>
        <v>199.33593750000003</v>
      </c>
      <c r="AD24">
        <f>((S24*(0.0175*(17.5^3)))+(T24*(0.0175*(22.5^3)))+(U24*(0.0175*(27.5^3)))+(V24*(0.0175*(32.5^3)))+(W24*(0.0175*(37.5^3)))+(X24*(0.0175*(42.5^3)))+(Y24*(0.0175*(27.5^3))))</f>
        <v>199.33593750000003</v>
      </c>
    </row>
    <row r="25" spans="1:30" hidden="1">
      <c r="A25" s="6">
        <v>39994</v>
      </c>
      <c r="B25" t="s">
        <v>276</v>
      </c>
      <c r="C25" t="s">
        <v>234</v>
      </c>
      <c r="D25" t="s">
        <v>235</v>
      </c>
      <c r="E25" t="s">
        <v>402</v>
      </c>
      <c r="F25" s="7">
        <v>12</v>
      </c>
      <c r="G25" t="s">
        <v>270</v>
      </c>
      <c r="H25">
        <v>2</v>
      </c>
      <c r="I25">
        <v>2</v>
      </c>
      <c r="J25" t="s">
        <v>404</v>
      </c>
      <c r="K25" t="s">
        <v>237</v>
      </c>
      <c r="L25" t="s">
        <v>170</v>
      </c>
      <c r="M25" t="s">
        <v>170</v>
      </c>
      <c r="N25" t="s">
        <v>238</v>
      </c>
      <c r="O25">
        <v>1</v>
      </c>
      <c r="P25">
        <v>0</v>
      </c>
      <c r="R25" t="s">
        <v>447</v>
      </c>
      <c r="AC25">
        <f>(0*(0.0156*(9^3))+0*(0.0156*(8^3))+1*(0.0156*(10^3)))+(S25*(0.0156*(17.5^3)))+(T25*(0.0156*(22.5^3)))+(U25*(0.0156*(27.5^3)))+(V25*(0.0156*(32.5^3)))+(W25*(0.0156*(37.5^3)))+(X25*(0.0156*(42.5^3)))+(Y25*(0.0156*(27.5^3)))</f>
        <v>15.6</v>
      </c>
    </row>
    <row r="26" spans="1:30" hidden="1">
      <c r="A26" s="6">
        <v>39994</v>
      </c>
      <c r="B26" t="s">
        <v>276</v>
      </c>
      <c r="C26" t="s">
        <v>234</v>
      </c>
      <c r="D26" t="s">
        <v>235</v>
      </c>
      <c r="E26" t="s">
        <v>402</v>
      </c>
      <c r="G26" t="s">
        <v>452</v>
      </c>
      <c r="H26">
        <v>3</v>
      </c>
      <c r="I26">
        <v>3</v>
      </c>
      <c r="J26" t="s">
        <v>404</v>
      </c>
      <c r="K26" t="s">
        <v>237</v>
      </c>
      <c r="L26" t="s">
        <v>170</v>
      </c>
      <c r="M26" t="s">
        <v>170</v>
      </c>
      <c r="N26" t="s">
        <v>409</v>
      </c>
      <c r="O26">
        <v>2</v>
      </c>
      <c r="P26">
        <v>2</v>
      </c>
      <c r="S26">
        <v>1</v>
      </c>
      <c r="X26">
        <v>1</v>
      </c>
      <c r="AC26">
        <f>(0*(0.0156*(9^3))+0*(0.0156*(8^3))+R26*(0.0156*(10^3)))+(S26*(0.0156*(17.5^3)))+(T26*(0.0156*(22.5^3)))+(U26*(0.0156*(27.5^3)))+(V26*(0.0156*(32.5^3)))+(W26*(0.0156*(37.5^3)))+(X26*(0.0156*(42.5^3)))+(Y26*(0.0156*(27.5^3)))</f>
        <v>1281.1500000000001</v>
      </c>
    </row>
    <row r="27" spans="1:30" hidden="1">
      <c r="A27" s="6">
        <v>39994</v>
      </c>
      <c r="B27" t="s">
        <v>276</v>
      </c>
      <c r="C27" t="s">
        <v>234</v>
      </c>
      <c r="D27" t="s">
        <v>235</v>
      </c>
      <c r="E27" t="s">
        <v>402</v>
      </c>
      <c r="G27" t="s">
        <v>452</v>
      </c>
      <c r="H27">
        <v>3</v>
      </c>
      <c r="I27">
        <v>3</v>
      </c>
      <c r="J27" t="s">
        <v>404</v>
      </c>
      <c r="K27" t="s">
        <v>237</v>
      </c>
      <c r="L27" t="s">
        <v>170</v>
      </c>
      <c r="M27" t="s">
        <v>170</v>
      </c>
      <c r="N27" t="s">
        <v>238</v>
      </c>
      <c r="O27">
        <v>3</v>
      </c>
      <c r="P27">
        <v>0</v>
      </c>
      <c r="Q27" t="s">
        <v>453</v>
      </c>
      <c r="R27" t="s">
        <v>447</v>
      </c>
      <c r="AC27">
        <f>(1*(0.0156*(9^3))+1*(0.0156*(8^3))+1*(0.0156*(10^3)))+(S27*(0.0156*(17.5^3)))+(T27*(0.0156*(22.5^3)))+(U27*(0.0156*(27.5^3)))+(V27*(0.0156*(32.5^3)))+(W27*(0.0156*(37.5^3)))+(X27*(0.0156*(42.5^3)))+(Y27*(0.0156*(27.5^3)))</f>
        <v>34.959600000000002</v>
      </c>
    </row>
    <row r="28" spans="1:30">
      <c r="A28" s="6">
        <v>39994</v>
      </c>
      <c r="B28" t="s">
        <v>276</v>
      </c>
      <c r="C28" t="s">
        <v>234</v>
      </c>
      <c r="D28" t="s">
        <v>235</v>
      </c>
      <c r="E28" t="s">
        <v>402</v>
      </c>
      <c r="G28" t="s">
        <v>452</v>
      </c>
      <c r="H28">
        <v>4</v>
      </c>
      <c r="I28">
        <v>4</v>
      </c>
      <c r="J28" t="s">
        <v>404</v>
      </c>
      <c r="K28" t="s">
        <v>237</v>
      </c>
      <c r="L28" t="s">
        <v>252</v>
      </c>
      <c r="M28" t="s">
        <v>263</v>
      </c>
      <c r="N28" t="s">
        <v>211</v>
      </c>
      <c r="O28">
        <v>5</v>
      </c>
      <c r="P28">
        <v>2</v>
      </c>
      <c r="R28">
        <v>3</v>
      </c>
      <c r="S28">
        <v>2</v>
      </c>
      <c r="AB28">
        <v>226.16562500000001</v>
      </c>
      <c r="AC28">
        <f>(R28*(0.0211*(12.5^3)))+(S28*(0.0211*(17.5^3)))+(T28*(0.0211*(22.5^3)))+(U28*(0.0211*(27.5^3)))+(V28*(0.0211*(32.5^3)))+(W28*(0.0211*(37.5^3)))+(X28*(0.0211*(42.5^3)))+(Y28*(0.0211*(27.5^3)))</f>
        <v>349.79843749999998</v>
      </c>
      <c r="AD28">
        <f>(S28*(0.0211*(17.5^3)))+(T28*(0.0211*(22.5^3)))+(U28*(0.0211*(27.5^3)))+(V28*(0.0211*(32.5^3)))+(W28*(0.0211*(37.5^3)))+(X28*(0.0211*(42.5^3)))+(Y28*(0.0211*(27.5^3)))</f>
        <v>226.16562500000001</v>
      </c>
    </row>
    <row r="29" spans="1:30" hidden="1">
      <c r="A29" s="6">
        <v>39994</v>
      </c>
      <c r="B29" t="s">
        <v>276</v>
      </c>
      <c r="C29" t="s">
        <v>234</v>
      </c>
      <c r="D29" t="s">
        <v>235</v>
      </c>
      <c r="E29" t="s">
        <v>402</v>
      </c>
      <c r="G29" t="s">
        <v>452</v>
      </c>
      <c r="H29">
        <v>4</v>
      </c>
      <c r="I29">
        <v>4</v>
      </c>
      <c r="J29" t="s">
        <v>404</v>
      </c>
      <c r="K29" t="s">
        <v>454</v>
      </c>
      <c r="L29" t="s">
        <v>170</v>
      </c>
      <c r="M29" t="s">
        <v>170</v>
      </c>
      <c r="N29" t="s">
        <v>238</v>
      </c>
      <c r="O29">
        <v>11</v>
      </c>
      <c r="P29">
        <v>0</v>
      </c>
      <c r="Q29" t="s">
        <v>850</v>
      </c>
      <c r="R29" t="s">
        <v>447</v>
      </c>
      <c r="AC29">
        <f>(1*(0.0156*(6^3))+4*(0.0156*(7^3))+5*(0.0156*(8^3))+1*(0.0156*(10^3)))+(S29*(0.0156*(17.5^3)))+(T29*(0.0156*(22.5^3)))+(U29*(0.0156*(27.5^3)))+(V29*(0.0156*(32.5^3)))+(W29*(0.0156*(37.5^3)))+(X29*(0.0156*(42.5^3)))+(Y29*(0.0156*(27.5^3)))</f>
        <v>80.308799999999991</v>
      </c>
    </row>
    <row r="30" spans="1:30" hidden="1">
      <c r="A30" s="6">
        <v>39994</v>
      </c>
      <c r="B30" t="s">
        <v>276</v>
      </c>
      <c r="C30" t="s">
        <v>234</v>
      </c>
      <c r="D30" t="s">
        <v>235</v>
      </c>
      <c r="E30" t="s">
        <v>402</v>
      </c>
      <c r="G30" t="s">
        <v>452</v>
      </c>
      <c r="H30">
        <v>4</v>
      </c>
      <c r="I30">
        <v>4</v>
      </c>
      <c r="J30" t="s">
        <v>404</v>
      </c>
      <c r="K30" t="s">
        <v>240</v>
      </c>
      <c r="L30" t="s">
        <v>170</v>
      </c>
      <c r="M30" t="s">
        <v>170</v>
      </c>
      <c r="N30" t="s">
        <v>409</v>
      </c>
      <c r="O30">
        <v>2</v>
      </c>
      <c r="P30">
        <v>2</v>
      </c>
      <c r="V30">
        <v>1</v>
      </c>
      <c r="W30">
        <v>1</v>
      </c>
      <c r="AC30">
        <f>(0*(0.0156*(9^3))+0*(0.0156*(8^3))+R30*(0.0156*(12.5^3)))+(S30*(0.0156*(17.5^3)))+(T30*(0.0156*(22.5^3)))+(U30*(0.0156*(27.5^3)))+(V30*(0.0156*(32.5^3)))+(W30*(0.0156*(37.5^3)))+(X30*(0.0156*(42.5^3)))+(Y30*(0.0156*(27.5^3)))</f>
        <v>1358.175</v>
      </c>
    </row>
    <row r="31" spans="1:30" hidden="1">
      <c r="A31" s="6">
        <v>39994</v>
      </c>
      <c r="B31" t="s">
        <v>276</v>
      </c>
      <c r="C31" t="s">
        <v>234</v>
      </c>
      <c r="D31" t="s">
        <v>235</v>
      </c>
      <c r="E31" t="s">
        <v>402</v>
      </c>
      <c r="G31" t="s">
        <v>452</v>
      </c>
      <c r="H31">
        <v>4</v>
      </c>
      <c r="I31">
        <v>4</v>
      </c>
      <c r="J31" t="s">
        <v>404</v>
      </c>
      <c r="K31" t="s">
        <v>240</v>
      </c>
      <c r="L31" t="s">
        <v>172</v>
      </c>
      <c r="M31" t="s">
        <v>65</v>
      </c>
      <c r="N31" t="s">
        <v>407</v>
      </c>
      <c r="O31">
        <v>2</v>
      </c>
      <c r="P31">
        <v>2</v>
      </c>
      <c r="S31">
        <v>2</v>
      </c>
      <c r="AC31">
        <f>(S31*(0.0004*(17.5^3.43)))</f>
        <v>14.679473997210593</v>
      </c>
    </row>
    <row r="32" spans="1:30" hidden="1">
      <c r="A32" s="6">
        <v>39994</v>
      </c>
      <c r="B32" t="s">
        <v>276</v>
      </c>
      <c r="C32" t="s">
        <v>234</v>
      </c>
      <c r="D32" t="s">
        <v>235</v>
      </c>
      <c r="E32" t="s">
        <v>402</v>
      </c>
      <c r="G32" t="s">
        <v>452</v>
      </c>
      <c r="H32">
        <v>4</v>
      </c>
      <c r="I32">
        <v>4</v>
      </c>
      <c r="J32" t="s">
        <v>404</v>
      </c>
      <c r="K32" t="s">
        <v>240</v>
      </c>
      <c r="L32" t="s">
        <v>179</v>
      </c>
      <c r="M32" s="9" t="s">
        <v>76</v>
      </c>
      <c r="N32" t="s">
        <v>241</v>
      </c>
      <c r="O32">
        <v>30</v>
      </c>
      <c r="P32">
        <v>0</v>
      </c>
      <c r="R32" t="s">
        <v>242</v>
      </c>
      <c r="AC32">
        <f>30*(0.000491*(10^3.05))</f>
        <v>16.527331831867926</v>
      </c>
    </row>
    <row r="33" spans="1:30" hidden="1">
      <c r="A33" s="6">
        <v>39994</v>
      </c>
      <c r="B33" t="s">
        <v>276</v>
      </c>
      <c r="C33" t="s">
        <v>234</v>
      </c>
      <c r="D33" t="s">
        <v>235</v>
      </c>
      <c r="E33" t="s">
        <v>402</v>
      </c>
      <c r="G33" t="s">
        <v>452</v>
      </c>
      <c r="H33">
        <v>4</v>
      </c>
      <c r="I33">
        <v>4</v>
      </c>
      <c r="J33" t="s">
        <v>404</v>
      </c>
      <c r="K33" t="s">
        <v>454</v>
      </c>
      <c r="L33" t="s">
        <v>199</v>
      </c>
      <c r="M33" t="s">
        <v>175</v>
      </c>
      <c r="N33" t="s">
        <v>38</v>
      </c>
      <c r="O33">
        <v>1</v>
      </c>
      <c r="P33">
        <v>1</v>
      </c>
      <c r="V33">
        <v>1</v>
      </c>
      <c r="AB33">
        <v>600.74218750000011</v>
      </c>
      <c r="AC33">
        <f>(R33*(0.0175*(12.5^3)))+(S33*(0.0175*(17.5^3)))+(T33*(0.0175*(22.5^3)))+(U33*(0.0175*(27.5^3)))+(V33*(0.0175*(32.5^3)))+(W33*(0.0175*(37.5^3)))+(X33*(0.0175*(42.5^3)))+(Y33*(0.0175*(27.5^3)))</f>
        <v>600.74218750000011</v>
      </c>
      <c r="AD33">
        <f>((S33*(0.0175*(17.5^3)))+(T33*(0.0175*(22.5^3)))+(U33*(0.0175*(27.5^3)))+(V33*(0.0175*(32.5^3)))+(W33*(0.0175*(37.5^3)))+(X33*(0.0175*(42.5^3)))+(Y33*(0.0175*(27.5^3))))</f>
        <v>600.74218750000011</v>
      </c>
    </row>
    <row r="34" spans="1:30" hidden="1">
      <c r="A34" s="6">
        <v>39995</v>
      </c>
      <c r="B34" s="9" t="s">
        <v>276</v>
      </c>
      <c r="C34" s="9" t="s">
        <v>234</v>
      </c>
      <c r="D34" s="9" t="s">
        <v>235</v>
      </c>
      <c r="E34" s="9" t="s">
        <v>402</v>
      </c>
      <c r="F34" s="10">
        <v>10</v>
      </c>
      <c r="G34">
        <v>7.7</v>
      </c>
      <c r="H34">
        <v>1</v>
      </c>
      <c r="I34">
        <v>5</v>
      </c>
      <c r="J34" s="9" t="s">
        <v>404</v>
      </c>
      <c r="K34" s="9" t="s">
        <v>405</v>
      </c>
      <c r="L34" s="9" t="s">
        <v>209</v>
      </c>
      <c r="M34" s="9" t="s">
        <v>62</v>
      </c>
      <c r="N34" s="9" t="s">
        <v>243</v>
      </c>
      <c r="O34">
        <v>1</v>
      </c>
      <c r="P34">
        <v>1</v>
      </c>
      <c r="S34">
        <v>1</v>
      </c>
      <c r="AC34">
        <f>(S34*((2.53*((17.5*10))-0.13)))</f>
        <v>442.61999999999995</v>
      </c>
    </row>
    <row r="35" spans="1:30" hidden="1">
      <c r="A35" s="6">
        <v>39995</v>
      </c>
      <c r="B35" s="9" t="s">
        <v>276</v>
      </c>
      <c r="C35" s="9" t="s">
        <v>234</v>
      </c>
      <c r="D35" s="9" t="s">
        <v>235</v>
      </c>
      <c r="E35" s="9" t="s">
        <v>402</v>
      </c>
      <c r="F35" s="10">
        <v>10</v>
      </c>
      <c r="G35">
        <v>7.7</v>
      </c>
      <c r="H35">
        <v>1</v>
      </c>
      <c r="I35">
        <v>5</v>
      </c>
      <c r="J35" s="9" t="s">
        <v>404</v>
      </c>
      <c r="K35" s="9" t="s">
        <v>405</v>
      </c>
      <c r="L35" t="s">
        <v>170</v>
      </c>
      <c r="M35" t="s">
        <v>170</v>
      </c>
      <c r="N35" s="9" t="s">
        <v>238</v>
      </c>
      <c r="O35">
        <v>5</v>
      </c>
      <c r="P35">
        <v>0</v>
      </c>
      <c r="Q35" t="s">
        <v>244</v>
      </c>
      <c r="R35" t="s">
        <v>245</v>
      </c>
      <c r="AC35">
        <f>(0*(0.0156*(6^3))+0*(0.0156*(7^3))+2*(0.0156*(8^3))+3*(0.0156*(10^3)))+(S35*(0.0156*(17.5^3)))+(T35*(0.0156*(22.5^3)))+(U35*(0.0156*(27.5^3)))+(V35*(0.0156*(32.5^3)))+(W35*(0.0156*(37.5^3)))+(X35*(0.0156*(42.5^3)))+(Y35*(0.0156*(27.5^3)))</f>
        <v>62.7744</v>
      </c>
    </row>
    <row r="36" spans="1:30" hidden="1">
      <c r="A36" s="6">
        <v>39995</v>
      </c>
      <c r="B36" s="9" t="s">
        <v>276</v>
      </c>
      <c r="C36" s="9" t="s">
        <v>234</v>
      </c>
      <c r="D36" s="9" t="s">
        <v>235</v>
      </c>
      <c r="E36" s="9" t="s">
        <v>402</v>
      </c>
      <c r="F36" s="10">
        <v>10</v>
      </c>
      <c r="G36">
        <v>7.7</v>
      </c>
      <c r="H36">
        <v>1</v>
      </c>
      <c r="I36">
        <v>5</v>
      </c>
      <c r="J36" s="9" t="s">
        <v>404</v>
      </c>
      <c r="K36" s="9" t="s">
        <v>405</v>
      </c>
      <c r="L36" t="s">
        <v>170</v>
      </c>
      <c r="M36" t="s">
        <v>170</v>
      </c>
      <c r="N36" s="9" t="s">
        <v>406</v>
      </c>
      <c r="O36">
        <v>2</v>
      </c>
      <c r="P36">
        <v>2</v>
      </c>
      <c r="T36">
        <v>2</v>
      </c>
      <c r="AC36">
        <f>(0*(0.0156*(6^3))+0*(0.0156*(7^3))+0*(0.0156*(8^3))+R36*(0.0156*(12.5^3)))+(S36*(0.0156*(17.5^3)))+(T36*(0.0156*(22.5^3)))+(U36*(0.0156*(27.5^3)))+(V36*(0.0156*(32.5^3)))+(W36*(0.0156*(37.5^3)))+(X36*(0.0156*(42.5^3)))+(Y36*(0.0156*(27.5^3)))</f>
        <v>355.38749999999999</v>
      </c>
    </row>
    <row r="37" spans="1:30" hidden="1">
      <c r="A37" s="6">
        <v>39995</v>
      </c>
      <c r="B37" s="9" t="s">
        <v>276</v>
      </c>
      <c r="C37" s="9" t="s">
        <v>234</v>
      </c>
      <c r="D37" s="9" t="s">
        <v>235</v>
      </c>
      <c r="E37" s="9" t="s">
        <v>402</v>
      </c>
      <c r="F37" s="10">
        <v>10</v>
      </c>
      <c r="G37">
        <v>7.7</v>
      </c>
      <c r="H37">
        <v>1</v>
      </c>
      <c r="I37">
        <v>5</v>
      </c>
      <c r="J37" s="9" t="s">
        <v>404</v>
      </c>
      <c r="K37" s="9" t="s">
        <v>405</v>
      </c>
      <c r="L37" t="s">
        <v>170</v>
      </c>
      <c r="M37" t="s">
        <v>170</v>
      </c>
      <c r="N37" s="9" t="s">
        <v>409</v>
      </c>
      <c r="O37">
        <v>2</v>
      </c>
      <c r="P37">
        <v>2</v>
      </c>
      <c r="S37">
        <v>2</v>
      </c>
      <c r="AC37">
        <f>(0*(0.0156*(6^3))+0*(0.0156*(7^3))+0*(0.0156*(8^3))+R37*(0.0156*(12.5^3)))+(S37*(0.0156*(17.5^3)))+(T37*(0.0156*(22.5^3)))+(U37*(0.0156*(27.5^3)))+(V37*(0.0156*(32.5^3)))+(W37*(0.0156*(37.5^3)))+(X37*(0.0156*(42.5^3)))+(Y37*(0.0156*(27.5^3)))</f>
        <v>167.21250000000001</v>
      </c>
    </row>
    <row r="38" spans="1:30">
      <c r="A38" s="6">
        <v>39995</v>
      </c>
      <c r="B38" s="9" t="s">
        <v>276</v>
      </c>
      <c r="C38" s="9" t="s">
        <v>234</v>
      </c>
      <c r="D38" s="9" t="s">
        <v>235</v>
      </c>
      <c r="E38" s="9" t="s">
        <v>402</v>
      </c>
      <c r="F38" s="10">
        <v>10</v>
      </c>
      <c r="G38">
        <v>7.7</v>
      </c>
      <c r="H38">
        <v>1</v>
      </c>
      <c r="I38">
        <v>5</v>
      </c>
      <c r="J38" s="9" t="s">
        <v>404</v>
      </c>
      <c r="K38" s="9" t="s">
        <v>405</v>
      </c>
      <c r="L38" t="s">
        <v>252</v>
      </c>
      <c r="M38" t="s">
        <v>263</v>
      </c>
      <c r="N38" t="s">
        <v>211</v>
      </c>
      <c r="O38">
        <v>21</v>
      </c>
      <c r="P38">
        <v>4</v>
      </c>
      <c r="R38" t="s">
        <v>246</v>
      </c>
      <c r="S38">
        <v>3</v>
      </c>
      <c r="V38">
        <v>1</v>
      </c>
      <c r="AB38">
        <v>1063.5718750000001</v>
      </c>
      <c r="AC38">
        <f>(17*(0.0211*(12.5^3)))+(S38*(0.0211*(17.5^3)))+(T38*(0.0211*(22.5^3)))+(U38*(0.0211*(27.5^3)))+(V38*(0.0211*(32.5^3)))+(W38*(0.0211*(37.5^3)))+(X38*(0.0211*(42.5^3)))+(Y38*(0.0211*(27.5^3)))</f>
        <v>1764.1578125000001</v>
      </c>
      <c r="AD38">
        <f>(S38*(0.0211*(17.5^3)))+(T38*(0.0211*(22.5^3)))+(U38*(0.0211*(27.5^3)))+(V38*(0.0211*(32.5^3)))+(W38*(0.0211*(37.5^3)))+(X38*(0.0211*(42.5^3)))+(Y38*(0.0211*(27.5^3)))</f>
        <v>1063.5718750000001</v>
      </c>
    </row>
    <row r="39" spans="1:30" hidden="1">
      <c r="A39" s="6">
        <v>39995</v>
      </c>
      <c r="B39" s="9" t="s">
        <v>276</v>
      </c>
      <c r="C39" s="9" t="s">
        <v>234</v>
      </c>
      <c r="D39" s="9" t="s">
        <v>235</v>
      </c>
      <c r="E39" s="9" t="s">
        <v>402</v>
      </c>
      <c r="F39" s="10">
        <v>10</v>
      </c>
      <c r="G39">
        <v>7.7</v>
      </c>
      <c r="H39">
        <v>1</v>
      </c>
      <c r="I39">
        <v>5</v>
      </c>
      <c r="J39" s="9" t="s">
        <v>404</v>
      </c>
      <c r="K39" s="9" t="s">
        <v>405</v>
      </c>
      <c r="L39" s="9" t="s">
        <v>57</v>
      </c>
      <c r="M39" s="9" t="s">
        <v>175</v>
      </c>
      <c r="N39" s="9" t="s">
        <v>458</v>
      </c>
      <c r="O39">
        <v>21</v>
      </c>
      <c r="P39">
        <v>1</v>
      </c>
      <c r="R39" t="s">
        <v>459</v>
      </c>
      <c r="S39">
        <v>1</v>
      </c>
      <c r="AB39">
        <v>78.924104890014817</v>
      </c>
      <c r="AC39">
        <f>(20*(0.000007*(130^3.144)))+(S39*(0.000007*(175^3.144)))</f>
        <v>698.88733925985878</v>
      </c>
      <c r="AD39">
        <f>(S39*(0.000007*(175^3.144)))</f>
        <v>78.924104890014817</v>
      </c>
    </row>
    <row r="40" spans="1:30" hidden="1">
      <c r="A40" s="6">
        <v>39995</v>
      </c>
      <c r="B40" s="9" t="s">
        <v>276</v>
      </c>
      <c r="C40" s="9" t="s">
        <v>234</v>
      </c>
      <c r="D40" s="9" t="s">
        <v>235</v>
      </c>
      <c r="E40" s="9" t="s">
        <v>402</v>
      </c>
      <c r="F40" s="10">
        <v>10</v>
      </c>
      <c r="G40">
        <v>7.7</v>
      </c>
      <c r="H40">
        <v>1</v>
      </c>
      <c r="I40">
        <v>5</v>
      </c>
      <c r="J40" s="9" t="s">
        <v>404</v>
      </c>
      <c r="K40" s="9" t="s">
        <v>405</v>
      </c>
      <c r="L40" t="s">
        <v>199</v>
      </c>
      <c r="M40" t="s">
        <v>175</v>
      </c>
      <c r="N40" s="9" t="s">
        <v>38</v>
      </c>
      <c r="O40">
        <v>1</v>
      </c>
      <c r="P40">
        <v>1</v>
      </c>
      <c r="V40">
        <v>1</v>
      </c>
      <c r="AB40">
        <v>600.74218750000011</v>
      </c>
      <c r="AC40">
        <f>(R40*(0.0175*(12.5^3)))+(S40*(0.0175*(17.5^3)))+(T40*(0.0175*(22.5^3)))+(U40*(0.0175*(27.5^3)))+(V40*(0.0175*(32.5^3)))+(W40*(0.0175*(37.5^3)))+(X40*(0.0175*(42.5^3)))+(Y40*(0.0175*(27.5^3)))</f>
        <v>600.74218750000011</v>
      </c>
      <c r="AD40">
        <f>((S40*(0.0175*(17.5^3)))+(T40*(0.0175*(22.5^3)))+(U40*(0.0175*(27.5^3)))+(V40*(0.0175*(32.5^3)))+(W40*(0.0175*(37.5^3)))+(X40*(0.0175*(42.5^3)))+(Y40*(0.0175*(27.5^3))))</f>
        <v>600.74218750000011</v>
      </c>
    </row>
    <row r="41" spans="1:30" hidden="1">
      <c r="A41" s="6">
        <v>39995</v>
      </c>
      <c r="B41" s="9" t="s">
        <v>276</v>
      </c>
      <c r="C41" s="9" t="s">
        <v>234</v>
      </c>
      <c r="D41" s="9" t="s">
        <v>235</v>
      </c>
      <c r="E41" s="9" t="s">
        <v>402</v>
      </c>
      <c r="F41" s="10">
        <v>10</v>
      </c>
      <c r="G41">
        <v>8</v>
      </c>
      <c r="H41">
        <v>2</v>
      </c>
      <c r="I41">
        <v>6</v>
      </c>
      <c r="J41" s="9" t="s">
        <v>404</v>
      </c>
      <c r="K41" s="9" t="s">
        <v>405</v>
      </c>
      <c r="L41" s="9" t="s">
        <v>76</v>
      </c>
      <c r="M41" s="9" t="s">
        <v>76</v>
      </c>
      <c r="N41" s="9" t="s">
        <v>241</v>
      </c>
      <c r="O41">
        <v>1</v>
      </c>
      <c r="P41">
        <v>1</v>
      </c>
      <c r="T41">
        <v>1</v>
      </c>
      <c r="AC41">
        <f>1*(0.000491*(22.5^3.05))</f>
        <v>6.5348883560053395</v>
      </c>
    </row>
    <row r="42" spans="1:30">
      <c r="A42" s="6">
        <v>39995</v>
      </c>
      <c r="B42" s="9" t="s">
        <v>276</v>
      </c>
      <c r="C42" s="9" t="s">
        <v>234</v>
      </c>
      <c r="D42" s="9" t="s">
        <v>235</v>
      </c>
      <c r="E42" s="9" t="s">
        <v>402</v>
      </c>
      <c r="F42" s="10">
        <v>10</v>
      </c>
      <c r="G42">
        <v>8</v>
      </c>
      <c r="H42">
        <v>2</v>
      </c>
      <c r="I42">
        <v>6</v>
      </c>
      <c r="J42" s="9" t="s">
        <v>404</v>
      </c>
      <c r="K42" s="9" t="s">
        <v>405</v>
      </c>
      <c r="L42" t="s">
        <v>252</v>
      </c>
      <c r="M42" t="s">
        <v>263</v>
      </c>
      <c r="N42" t="s">
        <v>211</v>
      </c>
      <c r="O42">
        <v>25</v>
      </c>
      <c r="P42">
        <v>0</v>
      </c>
      <c r="R42">
        <v>25</v>
      </c>
      <c r="AB42">
        <v>0</v>
      </c>
      <c r="AC42">
        <f>(R42*(0.0211*(12.5^3)))+(S42*(0.0211*(17.5^3)))+(T42*(0.0211*(22.5^3)))+(U42*(0.0211*(27.5^3)))+(V42*(0.0211*(32.5^3)))+(W42*(0.0211*(37.5^3)))+(X42*(0.0211*(42.5^3)))+(Y42*(0.0211*(27.5^3)))</f>
        <v>1030.2734375</v>
      </c>
      <c r="AD42">
        <f>(S42*(0.0211*(17.5^3)))+(T42*(0.0211*(22.5^3)))+(U42*(0.0211*(27.5^3)))+(V42*(0.0211*(32.5^3)))+(W42*(0.0211*(37.5^3)))+(X42*(0.0211*(42.5^3)))+(Y42*(0.0211*(27.5^3)))</f>
        <v>0</v>
      </c>
    </row>
    <row r="43" spans="1:30" hidden="1">
      <c r="A43" s="6">
        <v>39995</v>
      </c>
      <c r="B43" s="9" t="s">
        <v>276</v>
      </c>
      <c r="C43" s="9" t="s">
        <v>234</v>
      </c>
      <c r="D43" s="9" t="s">
        <v>235</v>
      </c>
      <c r="E43" s="9" t="s">
        <v>402</v>
      </c>
      <c r="F43" s="10">
        <v>10</v>
      </c>
      <c r="G43">
        <v>8</v>
      </c>
      <c r="H43">
        <v>2</v>
      </c>
      <c r="I43">
        <v>6</v>
      </c>
      <c r="J43" s="9" t="s">
        <v>404</v>
      </c>
      <c r="K43" s="9" t="s">
        <v>405</v>
      </c>
      <c r="L43" t="s">
        <v>170</v>
      </c>
      <c r="M43" t="s">
        <v>170</v>
      </c>
      <c r="N43" s="9" t="s">
        <v>238</v>
      </c>
      <c r="O43">
        <v>6</v>
      </c>
      <c r="P43">
        <v>0</v>
      </c>
      <c r="Q43" t="s">
        <v>460</v>
      </c>
      <c r="AC43">
        <f>(1*(0.0156*(9^3))+1*(0.0156*(7^3))+4*(0.0156*(8^3))+R43*(0.0156*(12.5^3)))+(S43*(0.0156*(17.5^3)))+(T43*(0.0156*(22.5^3)))+(U43*(0.0156*(27.5^3)))+(V43*(0.0156*(32.5^3)))+(W43*(0.0156*(37.5^3)))+(X43*(0.0156*(42.5^3)))+(Y43*(0.0156*(27.5^3)))</f>
        <v>48.671999999999997</v>
      </c>
    </row>
    <row r="44" spans="1:30" hidden="1">
      <c r="A44" s="6">
        <v>39995</v>
      </c>
      <c r="B44" s="9" t="s">
        <v>276</v>
      </c>
      <c r="C44" s="9" t="s">
        <v>234</v>
      </c>
      <c r="D44" s="9" t="s">
        <v>235</v>
      </c>
      <c r="E44" s="9" t="s">
        <v>402</v>
      </c>
      <c r="F44" s="10">
        <v>10</v>
      </c>
      <c r="G44">
        <v>8</v>
      </c>
      <c r="H44">
        <v>2</v>
      </c>
      <c r="I44">
        <v>6</v>
      </c>
      <c r="J44" s="9" t="s">
        <v>404</v>
      </c>
      <c r="K44" s="9" t="s">
        <v>405</v>
      </c>
      <c r="L44" t="s">
        <v>174</v>
      </c>
      <c r="M44" t="s">
        <v>174</v>
      </c>
      <c r="N44" s="9" t="s">
        <v>210</v>
      </c>
      <c r="O44">
        <v>1</v>
      </c>
      <c r="P44">
        <v>1</v>
      </c>
      <c r="Z44" t="s">
        <v>449</v>
      </c>
      <c r="AC44">
        <f>(1*(0.013*(55^3)))</f>
        <v>2162.875</v>
      </c>
    </row>
    <row r="45" spans="1:30" hidden="1">
      <c r="A45" s="6">
        <v>39995</v>
      </c>
      <c r="B45" s="9" t="s">
        <v>276</v>
      </c>
      <c r="C45" s="9" t="s">
        <v>234</v>
      </c>
      <c r="D45" s="9" t="s">
        <v>235</v>
      </c>
      <c r="E45" s="9" t="s">
        <v>402</v>
      </c>
      <c r="F45" s="10">
        <v>10</v>
      </c>
      <c r="G45">
        <v>8</v>
      </c>
      <c r="H45">
        <v>2</v>
      </c>
      <c r="I45">
        <v>6</v>
      </c>
      <c r="J45" s="9" t="s">
        <v>404</v>
      </c>
      <c r="K45" s="9" t="s">
        <v>405</v>
      </c>
      <c r="L45" t="s">
        <v>170</v>
      </c>
      <c r="M45" t="s">
        <v>170</v>
      </c>
      <c r="N45" s="9" t="s">
        <v>409</v>
      </c>
      <c r="O45">
        <v>7</v>
      </c>
      <c r="P45">
        <v>7</v>
      </c>
      <c r="S45">
        <v>3</v>
      </c>
      <c r="T45">
        <v>3</v>
      </c>
      <c r="U45">
        <v>1</v>
      </c>
      <c r="AC45">
        <f>(0*(0.0156*(9^3))+0*(0.0156*(7^3))+0*(0.0156*(8^3))+R45*(0.0156*(12.5^3)))+(S45*(0.0156*(17.5^3)))+(T45*(0.0156*(22.5^3)))+(U45*(0.0156*(27.5^3)))+(V45*(0.0156*(32.5^3)))+(W45*(0.0156*(37.5^3)))+(X45*(0.0156*(42.5^3)))+(Y45*(0.0156*(27.5^3)))</f>
        <v>1108.33125</v>
      </c>
    </row>
    <row r="46" spans="1:30" hidden="1">
      <c r="A46" s="6">
        <v>39995</v>
      </c>
      <c r="B46" s="9" t="s">
        <v>276</v>
      </c>
      <c r="C46" s="9" t="s">
        <v>234</v>
      </c>
      <c r="D46" s="9" t="s">
        <v>235</v>
      </c>
      <c r="E46" s="9" t="s">
        <v>402</v>
      </c>
      <c r="F46" s="10">
        <v>10</v>
      </c>
      <c r="G46">
        <v>8</v>
      </c>
      <c r="H46">
        <v>2</v>
      </c>
      <c r="I46">
        <v>6</v>
      </c>
      <c r="J46" s="9" t="s">
        <v>404</v>
      </c>
      <c r="K46" s="9" t="s">
        <v>405</v>
      </c>
      <c r="L46" t="s">
        <v>199</v>
      </c>
      <c r="M46" t="s">
        <v>175</v>
      </c>
      <c r="N46" s="9" t="s">
        <v>38</v>
      </c>
      <c r="O46">
        <v>1</v>
      </c>
      <c r="P46">
        <v>1</v>
      </c>
      <c r="T46">
        <v>1</v>
      </c>
      <c r="AB46">
        <v>199.33593750000003</v>
      </c>
      <c r="AC46">
        <f>(R46*(0.0175*(12.5^3)))+(S46*(0.0175*(17.5^3)))+(T46*(0.0175*(22.5^3)))+(U46*(0.0175*(27.5^3)))+(V46*(0.0175*(32.5^3)))+(W46*(0.0175*(37.5^3)))+(X46*(0.0175*(42.5^3)))+(Y46*(0.0175*(27.5^3)))</f>
        <v>199.33593750000003</v>
      </c>
      <c r="AD46">
        <f>((S46*(0.0175*(17.5^3)))+(T46*(0.0175*(22.5^3)))+(U46*(0.0175*(27.5^3)))+(V46*(0.0175*(32.5^3)))+(W46*(0.0175*(37.5^3)))+(X46*(0.0175*(42.5^3)))+(Y46*(0.0175*(27.5^3))))</f>
        <v>199.33593750000003</v>
      </c>
    </row>
    <row r="47" spans="1:30" hidden="1">
      <c r="A47" s="6">
        <v>39996</v>
      </c>
      <c r="B47" s="9" t="s">
        <v>276</v>
      </c>
      <c r="C47" s="9" t="s">
        <v>461</v>
      </c>
      <c r="D47" s="9" t="s">
        <v>462</v>
      </c>
      <c r="E47" s="9" t="s">
        <v>402</v>
      </c>
      <c r="F47" s="10">
        <v>5</v>
      </c>
      <c r="G47" s="9" t="s">
        <v>463</v>
      </c>
      <c r="H47">
        <v>1</v>
      </c>
      <c r="I47">
        <v>1</v>
      </c>
      <c r="J47" s="9" t="s">
        <v>404</v>
      </c>
      <c r="K47" s="9" t="s">
        <v>405</v>
      </c>
      <c r="L47" t="s">
        <v>170</v>
      </c>
      <c r="M47" t="s">
        <v>170</v>
      </c>
      <c r="N47" s="9" t="s">
        <v>238</v>
      </c>
      <c r="O47">
        <v>9</v>
      </c>
      <c r="P47">
        <v>0</v>
      </c>
      <c r="Q47" s="9" t="s">
        <v>143</v>
      </c>
      <c r="R47" s="9" t="s">
        <v>341</v>
      </c>
      <c r="AC47">
        <f>(1*(0.0156*(9^3))+0*(0.0156*(7^3))+1*(0.0156*(8^3))+6*(0.0156*(12.5^3)))+(S47*(0.0156*(17.5^3)))+(T47*(0.0156*(22.5^3)))+(U47*(0.0156*(27.5^3)))+(V47*(0.0156*(32.5^3)))+(W47*(0.0156*(37.5^3)))+(X47*(0.0156*(42.5^3)))+(Y47*(0.0156*(27.5^3)))</f>
        <v>202.1721</v>
      </c>
    </row>
    <row r="48" spans="1:30" hidden="1">
      <c r="A48" s="6">
        <v>39996</v>
      </c>
      <c r="B48" s="9" t="s">
        <v>276</v>
      </c>
      <c r="C48" s="9" t="s">
        <v>461</v>
      </c>
      <c r="D48" s="9" t="s">
        <v>462</v>
      </c>
      <c r="E48" s="9" t="s">
        <v>402</v>
      </c>
      <c r="F48" s="10">
        <v>5</v>
      </c>
      <c r="G48" s="9" t="s">
        <v>463</v>
      </c>
      <c r="H48">
        <v>1</v>
      </c>
      <c r="I48">
        <v>1</v>
      </c>
      <c r="J48" s="9" t="s">
        <v>404</v>
      </c>
      <c r="K48" s="9" t="s">
        <v>405</v>
      </c>
      <c r="L48" t="s">
        <v>170</v>
      </c>
      <c r="M48" t="s">
        <v>170</v>
      </c>
      <c r="N48" s="9" t="s">
        <v>406</v>
      </c>
      <c r="O48">
        <v>2</v>
      </c>
      <c r="P48">
        <v>2</v>
      </c>
      <c r="S48">
        <v>1</v>
      </c>
      <c r="T48">
        <v>1</v>
      </c>
      <c r="AC48">
        <f>(0*(0.0156*(9^3))+0*(0.0156*(7^3))+0*(0.0156*(8^3))+R48*(0.0156*(12.5^3)))+(S48*(0.0156*(17.5^3)))+(T48*(0.0156*(22.5^3)))+(U48*(0.0156*(27.5^3)))+(V48*(0.0156*(32.5^3)))+(W48*(0.0156*(37.5^3)))+(X48*(0.0156*(42.5^3)))+(Y48*(0.0156*(27.5^3)))</f>
        <v>261.3</v>
      </c>
    </row>
    <row r="49" spans="1:30">
      <c r="A49" s="6">
        <v>39996</v>
      </c>
      <c r="B49" s="9" t="s">
        <v>276</v>
      </c>
      <c r="C49" s="9" t="s">
        <v>461</v>
      </c>
      <c r="D49" s="9" t="s">
        <v>462</v>
      </c>
      <c r="E49" s="9" t="s">
        <v>402</v>
      </c>
      <c r="F49" s="10">
        <v>5</v>
      </c>
      <c r="G49" s="9" t="s">
        <v>463</v>
      </c>
      <c r="H49">
        <v>1</v>
      </c>
      <c r="I49">
        <v>1</v>
      </c>
      <c r="J49" s="9" t="s">
        <v>404</v>
      </c>
      <c r="K49" s="9" t="s">
        <v>405</v>
      </c>
      <c r="L49" t="s">
        <v>252</v>
      </c>
      <c r="M49" t="s">
        <v>263</v>
      </c>
      <c r="N49" t="s">
        <v>211</v>
      </c>
      <c r="O49">
        <v>31</v>
      </c>
      <c r="P49">
        <v>2</v>
      </c>
      <c r="R49">
        <f>3+26</f>
        <v>29</v>
      </c>
      <c r="S49">
        <v>2</v>
      </c>
      <c r="AB49">
        <v>226.16562500000001</v>
      </c>
      <c r="AC49">
        <f>(R49*(0.0211*(12.5^3)))+(S49*(0.0211*(17.5^3)))+(T49*(0.0211*(22.5^3)))+(U49*(0.0211*(27.5^3)))+(V49*(0.0211*(32.5^3)))+(W49*(0.0211*(37.5^3)))+(X49*(0.0211*(42.5^3)))+(Y49*(0.0211*(27.5^3)))</f>
        <v>1421.2828125000001</v>
      </c>
      <c r="AD49">
        <f>(S49*(0.0211*(17.5^3)))+(T49*(0.0211*(22.5^3)))+(U49*(0.0211*(27.5^3)))+(V49*(0.0211*(32.5^3)))+(W49*(0.0211*(37.5^3)))+(X49*(0.0211*(42.5^3)))+(Y49*(0.0211*(27.5^3)))</f>
        <v>226.16562500000001</v>
      </c>
    </row>
    <row r="50" spans="1:30" hidden="1">
      <c r="A50" s="6">
        <v>39996</v>
      </c>
      <c r="B50" s="9" t="s">
        <v>276</v>
      </c>
      <c r="C50" s="9" t="s">
        <v>461</v>
      </c>
      <c r="D50" s="9" t="s">
        <v>462</v>
      </c>
      <c r="E50" s="9" t="s">
        <v>402</v>
      </c>
      <c r="F50" s="10">
        <v>5</v>
      </c>
      <c r="G50" s="9" t="s">
        <v>463</v>
      </c>
      <c r="H50">
        <v>1</v>
      </c>
      <c r="I50">
        <v>1</v>
      </c>
      <c r="J50" s="9" t="s">
        <v>404</v>
      </c>
      <c r="K50" s="9" t="s">
        <v>405</v>
      </c>
      <c r="L50" t="s">
        <v>170</v>
      </c>
      <c r="M50" t="s">
        <v>170</v>
      </c>
      <c r="N50" s="9" t="s">
        <v>409</v>
      </c>
      <c r="O50">
        <v>1</v>
      </c>
      <c r="P50">
        <v>1</v>
      </c>
      <c r="T50">
        <v>1</v>
      </c>
      <c r="AC50">
        <f>(0*(0.0156*(9^3))+0*(0.0156*(7^3))+0*(0.0156*(8^3))+R50*(0.0156*(12.5^3)))+(S50*(0.0156*(17.5^3)))+(T50*(0.0156*(22.5^3)))+(U50*(0.0156*(27.5^3)))+(V50*(0.0156*(32.5^3)))+(W50*(0.0156*(37.5^3)))+(X50*(0.0156*(42.5^3)))+(Y50*(0.0156*(27.5^3)))</f>
        <v>177.69374999999999</v>
      </c>
    </row>
    <row r="51" spans="1:30" hidden="1">
      <c r="A51" s="6">
        <v>39996</v>
      </c>
      <c r="B51" s="9" t="s">
        <v>276</v>
      </c>
      <c r="C51" s="9" t="s">
        <v>461</v>
      </c>
      <c r="D51" s="9" t="s">
        <v>462</v>
      </c>
      <c r="E51" s="9" t="s">
        <v>402</v>
      </c>
      <c r="F51" s="10">
        <v>5</v>
      </c>
      <c r="G51" s="9" t="s">
        <v>342</v>
      </c>
      <c r="H51">
        <v>2</v>
      </c>
      <c r="I51">
        <v>2</v>
      </c>
      <c r="J51" s="9" t="s">
        <v>404</v>
      </c>
      <c r="K51" s="9" t="s">
        <v>405</v>
      </c>
      <c r="L51" t="s">
        <v>170</v>
      </c>
      <c r="M51" t="s">
        <v>170</v>
      </c>
      <c r="N51" s="9" t="s">
        <v>409</v>
      </c>
      <c r="O51">
        <v>1</v>
      </c>
      <c r="P51">
        <v>0</v>
      </c>
      <c r="R51" t="s">
        <v>141</v>
      </c>
      <c r="AC51">
        <f>(0*(0.0156*(9^3))+0*(0.0156*(7^3))+0*(0.0156*(8^3))+1*(0.0156*(13^3)))+(S51*(0.0156*(17.5^3)))+(T51*(0.0156*(22.5^3)))+(U51*(0.0156*(27.5^3)))+(V51*(0.0156*(32.5^3)))+(W51*(0.0156*(37.5^3)))+(X51*(0.0156*(42.5^3)))+(Y51*(0.0156*(27.5^3)))</f>
        <v>34.273199999999996</v>
      </c>
    </row>
    <row r="52" spans="1:30" hidden="1">
      <c r="A52" s="6">
        <v>39996</v>
      </c>
      <c r="B52" s="9" t="s">
        <v>276</v>
      </c>
      <c r="C52" s="9" t="s">
        <v>461</v>
      </c>
      <c r="D52" s="9" t="s">
        <v>462</v>
      </c>
      <c r="E52" s="9" t="s">
        <v>402</v>
      </c>
      <c r="F52" s="10">
        <v>5</v>
      </c>
      <c r="G52" s="9" t="s">
        <v>342</v>
      </c>
      <c r="H52">
        <v>2</v>
      </c>
      <c r="I52">
        <v>2</v>
      </c>
      <c r="J52" s="9" t="s">
        <v>404</v>
      </c>
      <c r="K52" s="9" t="s">
        <v>405</v>
      </c>
      <c r="L52" t="s">
        <v>170</v>
      </c>
      <c r="M52" t="s">
        <v>170</v>
      </c>
      <c r="N52" s="9" t="s">
        <v>238</v>
      </c>
      <c r="O52">
        <v>3</v>
      </c>
      <c r="P52">
        <v>0</v>
      </c>
      <c r="Q52" t="s">
        <v>244</v>
      </c>
      <c r="R52" t="s">
        <v>142</v>
      </c>
      <c r="AC52">
        <f>(0*(0.0156*(9^3))+0*(0.0156*(7^3))+2*(0.0156*(8^3))+1*(0.0156*(11^3)))+(S52*(0.0156*(17.5^3)))+(T52*(0.0156*(22.5^3)))+(U52*(0.0156*(27.5^3)))+(V52*(0.0156*(32.5^3)))+(W52*(0.0156*(37.5^3)))+(X52*(0.0156*(42.5^3)))+(Y52*(0.0156*(27.5^3)))</f>
        <v>36.738</v>
      </c>
    </row>
    <row r="53" spans="1:30" hidden="1">
      <c r="A53" s="6">
        <v>39996</v>
      </c>
      <c r="B53" s="9" t="s">
        <v>276</v>
      </c>
      <c r="C53" s="9" t="s">
        <v>461</v>
      </c>
      <c r="D53" s="9" t="s">
        <v>462</v>
      </c>
      <c r="E53" s="9" t="s">
        <v>402</v>
      </c>
      <c r="F53" s="10">
        <v>5</v>
      </c>
      <c r="G53" s="9" t="s">
        <v>342</v>
      </c>
      <c r="H53">
        <v>2</v>
      </c>
      <c r="I53">
        <v>2</v>
      </c>
      <c r="J53" s="9" t="s">
        <v>404</v>
      </c>
      <c r="K53" s="9" t="s">
        <v>405</v>
      </c>
      <c r="L53" t="s">
        <v>174</v>
      </c>
      <c r="M53" t="s">
        <v>174</v>
      </c>
      <c r="N53" s="9" t="s">
        <v>210</v>
      </c>
      <c r="O53">
        <v>1</v>
      </c>
      <c r="P53">
        <v>1</v>
      </c>
      <c r="T53">
        <v>1</v>
      </c>
      <c r="AC53">
        <f>(T53*(0.013*(22.5^3)))</f>
        <v>148.078125</v>
      </c>
    </row>
    <row r="54" spans="1:30">
      <c r="A54" s="6">
        <v>39996</v>
      </c>
      <c r="B54" s="9" t="s">
        <v>276</v>
      </c>
      <c r="C54" s="9" t="s">
        <v>461</v>
      </c>
      <c r="D54" s="9" t="s">
        <v>462</v>
      </c>
      <c r="E54" s="9" t="s">
        <v>402</v>
      </c>
      <c r="F54" s="10">
        <v>5</v>
      </c>
      <c r="G54" s="9" t="s">
        <v>342</v>
      </c>
      <c r="H54">
        <v>2</v>
      </c>
      <c r="I54">
        <v>2</v>
      </c>
      <c r="J54" s="9" t="s">
        <v>404</v>
      </c>
      <c r="K54" s="9" t="s">
        <v>405</v>
      </c>
      <c r="L54" t="s">
        <v>252</v>
      </c>
      <c r="M54" t="s">
        <v>263</v>
      </c>
      <c r="N54" t="s">
        <v>211</v>
      </c>
      <c r="O54">
        <v>7</v>
      </c>
      <c r="P54">
        <v>2</v>
      </c>
      <c r="R54">
        <v>5</v>
      </c>
      <c r="S54">
        <v>2</v>
      </c>
      <c r="AB54">
        <v>226.16562500000001</v>
      </c>
      <c r="AC54">
        <f>(R54*(0.0211*(12.5^3)))+(S54*(0.0211*(17.5^3)))+(T54*(0.0211*(22.5^3)))+(U54*(0.0211*(27.5^3)))+(V54*(0.0211*(32.5^3)))+(W54*(0.0211*(37.5^3)))+(X54*(0.0211*(42.5^3)))+(Y54*(0.0211*(27.5^3)))</f>
        <v>432.22031249999998</v>
      </c>
      <c r="AD54">
        <f>(S54*(0.0211*(17.5^3)))+(T54*(0.0211*(22.5^3)))+(U54*(0.0211*(27.5^3)))+(V54*(0.0211*(32.5^3)))+(W54*(0.0211*(37.5^3)))+(X54*(0.0211*(42.5^3)))+(Y54*(0.0211*(27.5^3)))</f>
        <v>226.16562500000001</v>
      </c>
    </row>
    <row r="55" spans="1:30" hidden="1">
      <c r="A55" s="6">
        <v>39996</v>
      </c>
      <c r="B55" s="9" t="s">
        <v>276</v>
      </c>
      <c r="C55" s="9" t="s">
        <v>461</v>
      </c>
      <c r="D55" s="9" t="s">
        <v>462</v>
      </c>
      <c r="E55" s="9" t="s">
        <v>402</v>
      </c>
      <c r="F55" s="10">
        <v>5</v>
      </c>
      <c r="G55" s="9" t="s">
        <v>342</v>
      </c>
      <c r="H55">
        <v>2</v>
      </c>
      <c r="I55">
        <v>2</v>
      </c>
      <c r="J55" s="9" t="s">
        <v>404</v>
      </c>
      <c r="K55" s="9" t="s">
        <v>405</v>
      </c>
      <c r="L55" s="9" t="s">
        <v>77</v>
      </c>
      <c r="M55" t="s">
        <v>65</v>
      </c>
      <c r="N55" s="9" t="s">
        <v>407</v>
      </c>
      <c r="O55">
        <v>20</v>
      </c>
      <c r="P55">
        <v>0</v>
      </c>
      <c r="R55" t="s">
        <v>550</v>
      </c>
      <c r="AC55">
        <f>20*(0.0004*(12^3.43))</f>
        <v>40.242194977987964</v>
      </c>
    </row>
    <row r="56" spans="1:30" hidden="1">
      <c r="A56" s="6">
        <v>39996</v>
      </c>
      <c r="B56" s="9" t="s">
        <v>276</v>
      </c>
      <c r="C56" s="9" t="s">
        <v>461</v>
      </c>
      <c r="D56" s="9" t="s">
        <v>462</v>
      </c>
      <c r="E56" s="9" t="s">
        <v>402</v>
      </c>
      <c r="F56" s="10">
        <v>5</v>
      </c>
      <c r="G56">
        <v>5</v>
      </c>
      <c r="H56">
        <v>3</v>
      </c>
      <c r="I56">
        <v>3</v>
      </c>
      <c r="J56" s="9" t="s">
        <v>404</v>
      </c>
      <c r="K56" s="9" t="s">
        <v>405</v>
      </c>
      <c r="L56" t="s">
        <v>170</v>
      </c>
      <c r="M56" t="s">
        <v>170</v>
      </c>
      <c r="N56" s="9" t="s">
        <v>409</v>
      </c>
      <c r="O56">
        <v>3</v>
      </c>
      <c r="P56">
        <v>3</v>
      </c>
      <c r="S56">
        <v>2</v>
      </c>
      <c r="T56">
        <v>1</v>
      </c>
      <c r="AC56">
        <f>(0*(0.0156*(9^3))+0*(0.0156*(7^3))+0*(0.0156*(8^3))+R56*(0.0156*(12.5^3)))+(S56*(0.0156*(17.5^3)))+(T56*(0.0156*(22.5^3)))+(U56*(0.0156*(27.5^3)))+(V56*(0.0156*(32.5^3)))+(W56*(0.0156*(37.5^3)))+(X56*(0.0156*(42.5^3)))+(Y56*(0.0156*(27.5^3)))</f>
        <v>344.90625</v>
      </c>
    </row>
    <row r="57" spans="1:30" hidden="1">
      <c r="A57" s="6">
        <v>39996</v>
      </c>
      <c r="B57" s="9" t="s">
        <v>276</v>
      </c>
      <c r="C57" s="9" t="s">
        <v>461</v>
      </c>
      <c r="D57" s="9" t="s">
        <v>462</v>
      </c>
      <c r="E57" s="9" t="s">
        <v>402</v>
      </c>
      <c r="F57" s="10">
        <v>5</v>
      </c>
      <c r="G57">
        <v>5</v>
      </c>
      <c r="H57">
        <v>3</v>
      </c>
      <c r="I57">
        <v>3</v>
      </c>
      <c r="J57" s="9" t="s">
        <v>404</v>
      </c>
      <c r="K57" s="9" t="s">
        <v>405</v>
      </c>
      <c r="L57" t="s">
        <v>170</v>
      </c>
      <c r="M57" t="s">
        <v>170</v>
      </c>
      <c r="N57" s="9" t="s">
        <v>238</v>
      </c>
      <c r="O57">
        <v>9</v>
      </c>
      <c r="P57">
        <v>0</v>
      </c>
      <c r="Q57" s="9" t="s">
        <v>244</v>
      </c>
      <c r="R57" s="9" t="s">
        <v>551</v>
      </c>
      <c r="AC57">
        <f>(4*(0.0156*(10^3))+2*(0.0156*(8^3))+3*(0.0156*(11^3))+0*(0.0156*(12.5^3)))+(S57*(0.0156*(17.5^3)))+(T57*(0.0156*(22.5^3)))+(U57*(0.0156*(27.5^3)))+(V57*(0.0156*(32.5^3)))+(W57*(0.0156*(37.5^3)))+(X57*(0.0156*(42.5^3)))+(Y57*(0.0156*(27.5^3)))</f>
        <v>140.6652</v>
      </c>
    </row>
    <row r="58" spans="1:30" hidden="1">
      <c r="A58" s="6">
        <v>39996</v>
      </c>
      <c r="B58" s="9" t="s">
        <v>276</v>
      </c>
      <c r="C58" s="9" t="s">
        <v>461</v>
      </c>
      <c r="D58" s="9" t="s">
        <v>462</v>
      </c>
      <c r="E58" s="9" t="s">
        <v>402</v>
      </c>
      <c r="F58" s="10">
        <v>5</v>
      </c>
      <c r="G58">
        <v>5</v>
      </c>
      <c r="H58">
        <v>3</v>
      </c>
      <c r="I58">
        <v>3</v>
      </c>
      <c r="J58" s="9" t="s">
        <v>404</v>
      </c>
      <c r="K58" s="9" t="s">
        <v>405</v>
      </c>
      <c r="L58" t="s">
        <v>170</v>
      </c>
      <c r="M58" t="s">
        <v>170</v>
      </c>
      <c r="N58" s="9" t="s">
        <v>406</v>
      </c>
      <c r="O58">
        <v>5</v>
      </c>
      <c r="P58">
        <v>5</v>
      </c>
      <c r="S58">
        <v>1</v>
      </c>
      <c r="T58">
        <v>3</v>
      </c>
      <c r="V58">
        <v>1</v>
      </c>
      <c r="AC58">
        <f>(0*(0.0156*(9^3))+0*(0.0156*(7^3))+0*(0.0156*(8^3))+R58*(0.0156*(12.5^3)))+(S58*(0.0156*(17.5^3)))+(T58*(0.0156*(22.5^3)))+(U58*(0.0156*(27.5^3)))+(V58*(0.0156*(32.5^3)))+(W58*(0.0156*(37.5^3)))+(X58*(0.0156*(42.5^3)))+(Y58*(0.0156*(27.5^3)))</f>
        <v>1152.20625</v>
      </c>
    </row>
    <row r="59" spans="1:30">
      <c r="A59" s="6">
        <v>39996</v>
      </c>
      <c r="B59" s="9" t="s">
        <v>276</v>
      </c>
      <c r="C59" s="9" t="s">
        <v>461</v>
      </c>
      <c r="D59" s="9" t="s">
        <v>462</v>
      </c>
      <c r="E59" s="9" t="s">
        <v>402</v>
      </c>
      <c r="F59" s="10">
        <v>5</v>
      </c>
      <c r="G59">
        <v>5</v>
      </c>
      <c r="H59">
        <v>3</v>
      </c>
      <c r="I59">
        <v>3</v>
      </c>
      <c r="J59" s="9" t="s">
        <v>404</v>
      </c>
      <c r="K59" s="9" t="s">
        <v>405</v>
      </c>
      <c r="L59" t="s">
        <v>252</v>
      </c>
      <c r="M59" t="s">
        <v>263</v>
      </c>
      <c r="N59" t="s">
        <v>211</v>
      </c>
      <c r="O59">
        <v>1</v>
      </c>
      <c r="P59">
        <v>0</v>
      </c>
      <c r="R59">
        <v>1</v>
      </c>
      <c r="AB59">
        <v>0</v>
      </c>
      <c r="AC59">
        <f>(R59*(0.0211*(12.5^3)))+(S59*(0.0211*(17.5^3)))+(T59*(0.0211*(22.5^3)))+(U59*(0.0211*(27.5^3)))+(V59*(0.0211*(32.5^3)))+(W59*(0.0211*(37.5^3)))+(X59*(0.0211*(42.5^3)))+(Y59*(0.0211*(27.5^3)))</f>
        <v>41.2109375</v>
      </c>
      <c r="AD59">
        <f>(S59*(0.0211*(17.5^3)))+(T59*(0.0211*(22.5^3)))+(U59*(0.0211*(27.5^3)))+(V59*(0.0211*(32.5^3)))+(W59*(0.0211*(37.5^3)))+(X59*(0.0211*(42.5^3)))+(Y59*(0.0211*(27.5^3)))</f>
        <v>0</v>
      </c>
    </row>
    <row r="60" spans="1:30" hidden="1">
      <c r="A60" s="6">
        <v>39996</v>
      </c>
      <c r="B60" s="9" t="s">
        <v>276</v>
      </c>
      <c r="C60" s="9" t="s">
        <v>461</v>
      </c>
      <c r="D60" s="9" t="s">
        <v>462</v>
      </c>
      <c r="E60" s="9" t="s">
        <v>402</v>
      </c>
      <c r="F60" s="10">
        <v>5</v>
      </c>
      <c r="G60">
        <v>5.5</v>
      </c>
      <c r="H60">
        <v>4</v>
      </c>
      <c r="I60">
        <v>4</v>
      </c>
      <c r="J60" s="9" t="s">
        <v>404</v>
      </c>
      <c r="K60" s="9" t="s">
        <v>405</v>
      </c>
      <c r="L60" t="s">
        <v>170</v>
      </c>
      <c r="M60" t="s">
        <v>170</v>
      </c>
      <c r="N60" s="9" t="s">
        <v>238</v>
      </c>
      <c r="O60">
        <v>10</v>
      </c>
      <c r="P60">
        <v>0</v>
      </c>
      <c r="Q60" s="9" t="s">
        <v>343</v>
      </c>
      <c r="R60" s="9" t="s">
        <v>484</v>
      </c>
      <c r="AC60">
        <f>(3*(0.0156*(7^3))+1*(0.0156*(8^3))+1*(0.0156*(9^3))+4*(0.0156*(10^3))+1*(0.0156*(12^3))+0*(0.0156*(12.5^3)))+(S60*(0.0156*(17.5^3)))+(T60*(0.0156*(22.5^3)))+(U60*(0.0156*(27.5^3)))+(V60*(0.0156*(32.5^3)))+(W60*(0.0156*(37.5^3)))+(X60*(0.0156*(42.5^3)))+(Y60*(0.0156*(27.5^3)))</f>
        <v>124.7688</v>
      </c>
    </row>
    <row r="61" spans="1:30" hidden="1">
      <c r="A61" s="6">
        <v>39996</v>
      </c>
      <c r="B61" s="9" t="s">
        <v>276</v>
      </c>
      <c r="C61" s="9" t="s">
        <v>461</v>
      </c>
      <c r="D61" s="9" t="s">
        <v>462</v>
      </c>
      <c r="E61" s="9" t="s">
        <v>402</v>
      </c>
      <c r="F61" s="10">
        <v>5</v>
      </c>
      <c r="G61">
        <v>5.5</v>
      </c>
      <c r="H61">
        <v>4</v>
      </c>
      <c r="I61">
        <v>4</v>
      </c>
      <c r="J61" s="9" t="s">
        <v>404</v>
      </c>
      <c r="K61" s="9" t="s">
        <v>405</v>
      </c>
      <c r="L61" s="9" t="s">
        <v>79</v>
      </c>
      <c r="M61" s="9" t="s">
        <v>202</v>
      </c>
      <c r="N61" s="9" t="s">
        <v>485</v>
      </c>
      <c r="O61">
        <v>1</v>
      </c>
      <c r="P61">
        <v>0</v>
      </c>
      <c r="R61" t="s">
        <v>486</v>
      </c>
      <c r="AC61">
        <f>(0.0087*(120^2.98))/1000</f>
        <v>13.660901685981113</v>
      </c>
    </row>
    <row r="62" spans="1:30" hidden="1">
      <c r="A62" s="6">
        <v>39996</v>
      </c>
      <c r="B62" s="9" t="s">
        <v>276</v>
      </c>
      <c r="C62" s="9" t="s">
        <v>461</v>
      </c>
      <c r="D62" s="9" t="s">
        <v>462</v>
      </c>
      <c r="E62" s="9" t="s">
        <v>402</v>
      </c>
      <c r="F62" s="10">
        <v>5</v>
      </c>
      <c r="G62">
        <v>5.5</v>
      </c>
      <c r="H62">
        <v>4</v>
      </c>
      <c r="I62">
        <v>4</v>
      </c>
      <c r="J62" s="9" t="s">
        <v>404</v>
      </c>
      <c r="K62" s="9" t="s">
        <v>405</v>
      </c>
      <c r="L62" t="s">
        <v>170</v>
      </c>
      <c r="M62" t="s">
        <v>170</v>
      </c>
      <c r="N62" s="9" t="s">
        <v>406</v>
      </c>
      <c r="O62">
        <v>1</v>
      </c>
      <c r="P62">
        <v>1</v>
      </c>
      <c r="S62">
        <v>1</v>
      </c>
      <c r="AC62">
        <f>(0*(0.0156*(7^3))+0*(0.0156*(8^3))+0*(0.0156*(9^3))+0*(0.0156*(10^3))+0*(0.0156*(12^3))+R62*(0.0156*(12.5^3)))+(S62*(0.0156*(17.5^3)))+(T62*(0.0156*(22.5^3)))+(U62*(0.0156*(27.5^3)))+(V62*(0.0156*(32.5^3)))+(W62*(0.0156*(37.5^3)))+(X62*(0.0156*(42.5^3)))+(Y62*(0.0156*(27.5^3)))</f>
        <v>83.606250000000003</v>
      </c>
    </row>
    <row r="63" spans="1:30" hidden="1">
      <c r="A63" s="6">
        <v>39997</v>
      </c>
      <c r="B63" s="9" t="s">
        <v>276</v>
      </c>
      <c r="C63" s="9" t="s">
        <v>461</v>
      </c>
      <c r="D63" s="9" t="s">
        <v>462</v>
      </c>
      <c r="E63" s="9" t="s">
        <v>402</v>
      </c>
      <c r="F63" s="10">
        <v>6</v>
      </c>
      <c r="G63">
        <v>8</v>
      </c>
      <c r="H63">
        <v>1</v>
      </c>
      <c r="I63">
        <v>5</v>
      </c>
      <c r="J63" s="9" t="s">
        <v>404</v>
      </c>
      <c r="K63" s="9" t="s">
        <v>405</v>
      </c>
      <c r="L63" t="s">
        <v>170</v>
      </c>
      <c r="M63" t="s">
        <v>170</v>
      </c>
      <c r="N63" s="9" t="s">
        <v>238</v>
      </c>
      <c r="O63">
        <v>4</v>
      </c>
      <c r="P63">
        <v>0</v>
      </c>
      <c r="Q63" s="9" t="s">
        <v>487</v>
      </c>
      <c r="R63" s="9" t="s">
        <v>447</v>
      </c>
      <c r="AC63">
        <f>(0*(0.0156*(7^3))+2*(0.0156*(8^3))+1*(0.0156*(9^3))+1*(0.0156*(10^3))+0*(0.0156*(12^3))+0*(0.0156*(12.5^3)))+(S63*(0.0156*(17.5^3)))+(T63*(0.0156*(22.5^3)))+(U63*(0.0156*(27.5^3)))+(V63*(0.0156*(32.5^3)))+(W63*(0.0156*(37.5^3)))+(X63*(0.0156*(42.5^3)))+(Y63*(0.0156*(27.5^3)))</f>
        <v>42.946799999999996</v>
      </c>
    </row>
    <row r="64" spans="1:30" hidden="1">
      <c r="A64" s="6">
        <v>39997</v>
      </c>
      <c r="B64" s="9" t="s">
        <v>276</v>
      </c>
      <c r="C64" s="9" t="s">
        <v>461</v>
      </c>
      <c r="D64" s="9" t="s">
        <v>462</v>
      </c>
      <c r="E64" s="9" t="s">
        <v>402</v>
      </c>
      <c r="F64" s="10">
        <v>6</v>
      </c>
      <c r="G64">
        <v>8</v>
      </c>
      <c r="H64">
        <v>1</v>
      </c>
      <c r="I64">
        <v>5</v>
      </c>
      <c r="J64" s="9" t="s">
        <v>404</v>
      </c>
      <c r="K64" s="9" t="s">
        <v>405</v>
      </c>
      <c r="L64" s="9" t="s">
        <v>207</v>
      </c>
      <c r="M64" t="s">
        <v>60</v>
      </c>
      <c r="N64" s="9" t="s">
        <v>448</v>
      </c>
      <c r="O64">
        <v>1</v>
      </c>
      <c r="P64">
        <v>1</v>
      </c>
      <c r="T64" t="s">
        <v>488</v>
      </c>
      <c r="AC64">
        <f>(1*(0.0000055*(200^3.185)))</f>
        <v>117.25820068180396</v>
      </c>
    </row>
    <row r="65" spans="1:30" hidden="1">
      <c r="A65" s="6">
        <v>39997</v>
      </c>
      <c r="B65" s="9" t="s">
        <v>276</v>
      </c>
      <c r="C65" s="9" t="s">
        <v>461</v>
      </c>
      <c r="D65" s="9" t="s">
        <v>462</v>
      </c>
      <c r="E65" s="9" t="s">
        <v>402</v>
      </c>
      <c r="F65" s="10">
        <v>6</v>
      </c>
      <c r="G65">
        <v>8</v>
      </c>
      <c r="H65">
        <v>1</v>
      </c>
      <c r="I65">
        <v>5</v>
      </c>
      <c r="J65" s="9" t="s">
        <v>404</v>
      </c>
      <c r="K65" s="9" t="s">
        <v>405</v>
      </c>
      <c r="L65" t="s">
        <v>177</v>
      </c>
      <c r="M65" t="s">
        <v>265</v>
      </c>
      <c r="N65" s="9" t="s">
        <v>284</v>
      </c>
      <c r="O65">
        <v>1</v>
      </c>
      <c r="P65">
        <v>0</v>
      </c>
      <c r="Q65" t="s">
        <v>489</v>
      </c>
      <c r="AC65">
        <f>(1*(0.009*(90^3.06)))/1000</f>
        <v>8.594578612501893</v>
      </c>
    </row>
    <row r="66" spans="1:30" hidden="1">
      <c r="A66" s="6">
        <v>39997</v>
      </c>
      <c r="B66" s="9" t="s">
        <v>276</v>
      </c>
      <c r="C66" s="9" t="s">
        <v>461</v>
      </c>
      <c r="D66" s="9" t="s">
        <v>462</v>
      </c>
      <c r="E66" s="9" t="s">
        <v>402</v>
      </c>
      <c r="F66" s="10">
        <v>6</v>
      </c>
      <c r="G66">
        <v>8</v>
      </c>
      <c r="H66">
        <v>2</v>
      </c>
      <c r="I66">
        <v>6</v>
      </c>
      <c r="J66" s="9" t="s">
        <v>404</v>
      </c>
      <c r="K66" s="9" t="s">
        <v>405</v>
      </c>
      <c r="L66" t="s">
        <v>170</v>
      </c>
      <c r="M66" t="s">
        <v>170</v>
      </c>
      <c r="N66" s="9" t="s">
        <v>238</v>
      </c>
      <c r="O66">
        <v>1</v>
      </c>
      <c r="P66">
        <v>0</v>
      </c>
      <c r="Q66" s="9" t="s">
        <v>490</v>
      </c>
      <c r="AC66">
        <f>(0*(0.0156*(7^3))+1*(0.0156*(8^3))+0*(0.0156*(9^3))+0*(0.0156*(10^3))+0*(0.0156*(12^3))+0*(0.0156*(12.5^3)))+(S66*(0.0156*(17.5^3)))+(T66*(0.0156*(22.5^3)))+(U66*(0.0156*(27.5^3)))+(V66*(0.0156*(32.5^3)))+(W66*(0.0156*(37.5^3)))+(X66*(0.0156*(42.5^3)))+(Y66*(0.0156*(27.5^3)))</f>
        <v>7.9871999999999996</v>
      </c>
    </row>
    <row r="67" spans="1:30" hidden="1">
      <c r="A67" s="6">
        <v>39997</v>
      </c>
      <c r="B67" s="9" t="s">
        <v>276</v>
      </c>
      <c r="C67" s="9" t="s">
        <v>461</v>
      </c>
      <c r="D67" s="9" t="s">
        <v>462</v>
      </c>
      <c r="E67" s="9" t="s">
        <v>402</v>
      </c>
      <c r="F67" s="10">
        <v>6</v>
      </c>
      <c r="G67">
        <v>8</v>
      </c>
      <c r="H67">
        <v>2</v>
      </c>
      <c r="I67">
        <v>6</v>
      </c>
      <c r="J67" s="9" t="s">
        <v>404</v>
      </c>
      <c r="K67" s="9" t="s">
        <v>405</v>
      </c>
      <c r="L67" t="s">
        <v>170</v>
      </c>
      <c r="M67" t="s">
        <v>170</v>
      </c>
      <c r="N67" s="9" t="s">
        <v>409</v>
      </c>
      <c r="O67">
        <v>2</v>
      </c>
      <c r="P67">
        <v>2</v>
      </c>
      <c r="S67">
        <v>1</v>
      </c>
      <c r="U67">
        <v>1</v>
      </c>
      <c r="AC67">
        <f>(0*(0.0156*(7^3))+0*(0.0156*(8^3))+0*(0.0156*(9^3))+0*(0.0156*(10^3))+0*(0.0156*(12^3))+0*(0.0156*(12.5^3)))+(S67*(0.0156*(17.5^3)))+(T67*(0.0156*(22.5^3)))+(U67*(0.0156*(27.5^3)))+(V67*(0.0156*(32.5^3)))+(W67*(0.0156*(37.5^3)))+(X67*(0.0156*(42.5^3)))+(Y67*(0.0156*(27.5^3)))</f>
        <v>408.03749999999997</v>
      </c>
    </row>
    <row r="68" spans="1:30" hidden="1">
      <c r="A68" s="6">
        <v>39997</v>
      </c>
      <c r="B68" s="9" t="s">
        <v>276</v>
      </c>
      <c r="C68" s="9" t="s">
        <v>461</v>
      </c>
      <c r="D68" s="9" t="s">
        <v>462</v>
      </c>
      <c r="E68" s="9" t="s">
        <v>402</v>
      </c>
      <c r="F68" s="10">
        <v>6</v>
      </c>
      <c r="G68">
        <v>8</v>
      </c>
      <c r="H68">
        <v>2</v>
      </c>
      <c r="I68">
        <v>6</v>
      </c>
      <c r="J68" s="9" t="s">
        <v>404</v>
      </c>
      <c r="K68" s="9" t="s">
        <v>405</v>
      </c>
      <c r="L68" s="9" t="s">
        <v>82</v>
      </c>
      <c r="M68" s="9" t="s">
        <v>202</v>
      </c>
      <c r="N68" s="9" t="s">
        <v>491</v>
      </c>
      <c r="O68">
        <v>1</v>
      </c>
      <c r="P68">
        <v>1</v>
      </c>
      <c r="T68">
        <v>1</v>
      </c>
      <c r="AC68">
        <f>T68*(0.0043*(22.5^3.018))</f>
        <v>51.803045807752774</v>
      </c>
    </row>
    <row r="69" spans="1:30" hidden="1">
      <c r="A69" s="6">
        <v>39997</v>
      </c>
      <c r="B69" s="9" t="s">
        <v>276</v>
      </c>
      <c r="C69" s="9" t="s">
        <v>461</v>
      </c>
      <c r="D69" s="9" t="s">
        <v>462</v>
      </c>
      <c r="E69" s="9" t="s">
        <v>402</v>
      </c>
      <c r="F69" s="10">
        <v>6</v>
      </c>
      <c r="G69">
        <v>8</v>
      </c>
      <c r="H69">
        <v>2</v>
      </c>
      <c r="I69">
        <v>6</v>
      </c>
      <c r="J69" s="9" t="s">
        <v>404</v>
      </c>
      <c r="K69" s="9" t="s">
        <v>405</v>
      </c>
      <c r="L69" s="9" t="s">
        <v>83</v>
      </c>
      <c r="M69" t="s">
        <v>60</v>
      </c>
      <c r="N69" s="9" t="s">
        <v>448</v>
      </c>
      <c r="O69">
        <v>1</v>
      </c>
      <c r="P69">
        <v>1</v>
      </c>
      <c r="U69" t="s">
        <v>492</v>
      </c>
      <c r="AC69">
        <f>(1*(0.0000055*(260^3.185)))</f>
        <v>270.42871391866606</v>
      </c>
    </row>
    <row r="70" spans="1:30" hidden="1">
      <c r="A70" s="6">
        <v>39997</v>
      </c>
      <c r="B70" s="9" t="s">
        <v>276</v>
      </c>
      <c r="C70" s="9" t="s">
        <v>290</v>
      </c>
      <c r="D70" s="9" t="s">
        <v>291</v>
      </c>
      <c r="E70" s="9" t="s">
        <v>402</v>
      </c>
      <c r="G70">
        <v>6</v>
      </c>
      <c r="H70">
        <v>4</v>
      </c>
      <c r="I70">
        <v>4</v>
      </c>
      <c r="J70" s="9" t="s">
        <v>404</v>
      </c>
      <c r="K70" s="9" t="s">
        <v>405</v>
      </c>
      <c r="L70" t="s">
        <v>170</v>
      </c>
      <c r="M70" t="s">
        <v>170</v>
      </c>
      <c r="N70" s="9" t="s">
        <v>238</v>
      </c>
      <c r="O70">
        <v>3</v>
      </c>
      <c r="P70">
        <v>0</v>
      </c>
      <c r="Q70" s="9" t="s">
        <v>292</v>
      </c>
      <c r="R70" s="9" t="s">
        <v>447</v>
      </c>
      <c r="AC70">
        <f>(1*(0.0156*(7^3))+1*(0.0156*(8^3))+0*(0.0156*(9^3))+1*(0.0156*(10^3))+0*(0.0156*(12^3))+0*(0.0156*(12.5^3)))+(S70*(0.0156*(17.5^3)))+(T70*(0.0156*(22.5^3)))+(U70*(0.0156*(27.5^3)))+(V70*(0.0156*(32.5^3)))+(W70*(0.0156*(37.5^3)))+(X70*(0.0156*(42.5^3)))+(Y70*(0.0156*(27.5^3)))</f>
        <v>28.937999999999999</v>
      </c>
    </row>
    <row r="71" spans="1:30" hidden="1">
      <c r="A71" s="6">
        <v>39997</v>
      </c>
      <c r="B71" s="9" t="s">
        <v>276</v>
      </c>
      <c r="C71" s="9" t="s">
        <v>290</v>
      </c>
      <c r="D71" s="9" t="s">
        <v>291</v>
      </c>
      <c r="E71" s="9" t="s">
        <v>402</v>
      </c>
      <c r="G71">
        <v>6</v>
      </c>
      <c r="H71">
        <v>4</v>
      </c>
      <c r="I71">
        <v>4</v>
      </c>
      <c r="J71" s="9" t="s">
        <v>404</v>
      </c>
      <c r="K71" s="9" t="s">
        <v>405</v>
      </c>
      <c r="L71" t="s">
        <v>174</v>
      </c>
      <c r="M71" t="s">
        <v>174</v>
      </c>
      <c r="N71" s="9" t="s">
        <v>210</v>
      </c>
      <c r="O71">
        <v>1</v>
      </c>
      <c r="P71">
        <v>1</v>
      </c>
      <c r="Z71" t="s">
        <v>293</v>
      </c>
      <c r="AC71">
        <f>(1*(0.013*(50^3)))</f>
        <v>1625</v>
      </c>
    </row>
    <row r="72" spans="1:30" hidden="1">
      <c r="A72" s="6">
        <v>39998</v>
      </c>
      <c r="B72" s="9" t="s">
        <v>276</v>
      </c>
      <c r="C72" s="9" t="s">
        <v>290</v>
      </c>
      <c r="D72" s="9" t="s">
        <v>291</v>
      </c>
      <c r="E72" s="9" t="s">
        <v>402</v>
      </c>
      <c r="F72" s="7">
        <v>7</v>
      </c>
      <c r="G72">
        <v>8</v>
      </c>
      <c r="H72">
        <v>5</v>
      </c>
      <c r="I72">
        <v>5</v>
      </c>
      <c r="J72" s="9" t="s">
        <v>404</v>
      </c>
      <c r="K72" s="9" t="s">
        <v>405</v>
      </c>
      <c r="L72" t="s">
        <v>170</v>
      </c>
      <c r="M72" t="s">
        <v>170</v>
      </c>
      <c r="N72" s="9" t="s">
        <v>238</v>
      </c>
      <c r="O72">
        <v>4</v>
      </c>
      <c r="P72">
        <v>0</v>
      </c>
      <c r="Q72" s="9" t="s">
        <v>294</v>
      </c>
      <c r="R72" s="9" t="s">
        <v>447</v>
      </c>
      <c r="AC72">
        <f>(1*(0.0156*(7^3))+2*(0.0156*(8^3))+0*(0.0156*(9^3))+1*(0.0156*(10^3))+0*(0.0156*(12^3))+0*(0.0156*(12.5^3)))+(S72*(0.0156*(17.5^3)))+(T72*(0.0156*(22.5^3)))+(U72*(0.0156*(27.5^3)))+(V72*(0.0156*(32.5^3)))+(W72*(0.0156*(37.5^3)))+(X72*(0.0156*(42.5^3)))+(Y72*(0.0156*(27.5^3)))</f>
        <v>36.925199999999997</v>
      </c>
    </row>
    <row r="73" spans="1:30" hidden="1">
      <c r="A73" s="6">
        <v>39998</v>
      </c>
      <c r="B73" s="9" t="s">
        <v>276</v>
      </c>
      <c r="C73" s="9" t="s">
        <v>290</v>
      </c>
      <c r="D73" s="9" t="s">
        <v>291</v>
      </c>
      <c r="E73" s="9" t="s">
        <v>402</v>
      </c>
      <c r="F73" s="7">
        <v>7</v>
      </c>
      <c r="G73">
        <v>8</v>
      </c>
      <c r="H73">
        <v>5</v>
      </c>
      <c r="I73">
        <v>5</v>
      </c>
      <c r="J73" s="9" t="s">
        <v>404</v>
      </c>
      <c r="K73" s="9" t="s">
        <v>405</v>
      </c>
      <c r="L73" t="s">
        <v>170</v>
      </c>
      <c r="M73" t="s">
        <v>170</v>
      </c>
      <c r="N73" s="9" t="s">
        <v>409</v>
      </c>
      <c r="O73">
        <v>2</v>
      </c>
      <c r="P73">
        <v>2</v>
      </c>
      <c r="S73">
        <v>1</v>
      </c>
      <c r="V73">
        <v>1</v>
      </c>
      <c r="AC73">
        <f>(0*(0.0156*(7^3))+0*(0.0156*(8^3))+0*(0.0156*(9^3))+0*(0.0156*(10^3))+0*(0.0156*(12^3))+0*(0.0156*(12.5^3)))+(S73*(0.0156*(17.5^3)))+(T73*(0.0156*(22.5^3)))+(U73*(0.0156*(27.5^3)))+(V73*(0.0156*(32.5^3)))+(W73*(0.0156*(37.5^3)))+(X73*(0.0156*(42.5^3)))+(Y73*(0.0156*(27.5^3)))</f>
        <v>619.125</v>
      </c>
    </row>
    <row r="74" spans="1:30" hidden="1">
      <c r="A74" s="6">
        <v>39998</v>
      </c>
      <c r="B74" s="9" t="s">
        <v>276</v>
      </c>
      <c r="C74" s="9" t="s">
        <v>290</v>
      </c>
      <c r="D74" s="9" t="s">
        <v>291</v>
      </c>
      <c r="E74" s="9" t="s">
        <v>402</v>
      </c>
      <c r="F74" s="7">
        <v>7</v>
      </c>
      <c r="G74">
        <v>8</v>
      </c>
      <c r="H74">
        <v>5</v>
      </c>
      <c r="I74">
        <v>5</v>
      </c>
      <c r="J74" s="9" t="s">
        <v>404</v>
      </c>
      <c r="K74" s="9" t="s">
        <v>405</v>
      </c>
      <c r="L74" s="9" t="s">
        <v>172</v>
      </c>
      <c r="M74" t="s">
        <v>65</v>
      </c>
      <c r="N74" s="9" t="s">
        <v>407</v>
      </c>
      <c r="O74">
        <v>8</v>
      </c>
      <c r="P74">
        <v>0</v>
      </c>
      <c r="Q74" t="s">
        <v>295</v>
      </c>
      <c r="AC74">
        <f>8*(0.0004*(4^3.43))</f>
        <v>0.37171984601790925</v>
      </c>
    </row>
    <row r="75" spans="1:30" hidden="1">
      <c r="A75" s="6">
        <v>39998</v>
      </c>
      <c r="B75" s="9" t="s">
        <v>276</v>
      </c>
      <c r="C75" s="9" t="s">
        <v>290</v>
      </c>
      <c r="D75" s="9" t="s">
        <v>291</v>
      </c>
      <c r="E75" s="9" t="s">
        <v>402</v>
      </c>
      <c r="F75" s="7">
        <v>7</v>
      </c>
      <c r="G75">
        <v>8</v>
      </c>
      <c r="H75">
        <v>5</v>
      </c>
      <c r="I75">
        <v>5</v>
      </c>
      <c r="J75" s="9" t="s">
        <v>404</v>
      </c>
      <c r="K75" s="9" t="s">
        <v>405</v>
      </c>
      <c r="L75" s="9" t="s">
        <v>85</v>
      </c>
      <c r="M75" s="9" t="s">
        <v>58</v>
      </c>
      <c r="N75" s="9" t="s">
        <v>499</v>
      </c>
      <c r="O75">
        <v>1</v>
      </c>
      <c r="P75">
        <v>1</v>
      </c>
      <c r="T75" t="s">
        <v>488</v>
      </c>
      <c r="AC75">
        <f>(1*(0.0000055*(200^3.185)))</f>
        <v>117.25820068180396</v>
      </c>
    </row>
    <row r="76" spans="1:30" hidden="1">
      <c r="A76" s="6">
        <v>39998</v>
      </c>
      <c r="B76" s="9" t="s">
        <v>276</v>
      </c>
      <c r="C76" s="9" t="s">
        <v>290</v>
      </c>
      <c r="D76" s="9" t="s">
        <v>291</v>
      </c>
      <c r="E76" s="9" t="s">
        <v>402</v>
      </c>
      <c r="F76" s="7">
        <v>7</v>
      </c>
      <c r="G76">
        <v>8.5</v>
      </c>
      <c r="H76">
        <v>6</v>
      </c>
      <c r="I76">
        <v>6</v>
      </c>
      <c r="J76" s="9" t="s">
        <v>404</v>
      </c>
      <c r="K76" s="9" t="s">
        <v>405</v>
      </c>
      <c r="L76" t="s">
        <v>174</v>
      </c>
      <c r="M76" t="s">
        <v>174</v>
      </c>
      <c r="N76" s="9" t="s">
        <v>210</v>
      </c>
      <c r="O76">
        <v>1</v>
      </c>
      <c r="P76">
        <v>1</v>
      </c>
      <c r="X76" t="s">
        <v>500</v>
      </c>
      <c r="AC76">
        <f>(1*(0.013*(45^3)))</f>
        <v>1184.625</v>
      </c>
    </row>
    <row r="77" spans="1:30" hidden="1">
      <c r="A77" s="6">
        <v>39998</v>
      </c>
      <c r="B77" s="9" t="s">
        <v>276</v>
      </c>
      <c r="C77" s="9" t="s">
        <v>290</v>
      </c>
      <c r="D77" s="9" t="s">
        <v>291</v>
      </c>
      <c r="E77" s="9" t="s">
        <v>402</v>
      </c>
      <c r="F77" s="7">
        <v>7</v>
      </c>
      <c r="G77">
        <v>8.5</v>
      </c>
      <c r="H77">
        <v>6</v>
      </c>
      <c r="I77">
        <v>6</v>
      </c>
      <c r="J77" s="9" t="s">
        <v>404</v>
      </c>
      <c r="K77" s="9" t="s">
        <v>405</v>
      </c>
      <c r="L77" t="s">
        <v>170</v>
      </c>
      <c r="M77" t="s">
        <v>170</v>
      </c>
      <c r="N77" s="9" t="s">
        <v>238</v>
      </c>
      <c r="O77">
        <v>1</v>
      </c>
      <c r="P77">
        <v>0</v>
      </c>
      <c r="Q77" s="9" t="s">
        <v>501</v>
      </c>
      <c r="AC77">
        <f>(1*(0.0156*(7^3))+0*(0.0156*(8^3))+0*(0.0156*(9^3))+0*(0.0156*(10^3))+0*(0.0156*(12^3))+0*(0.0156*(12.5^3)))+(S77*(0.0156*(17.5^3)))+(T77*(0.0156*(22.5^3)))+(U77*(0.0156*(27.5^3)))+(V77*(0.0156*(32.5^3)))+(W77*(0.0156*(37.5^3)))+(X77*(0.0156*(42.5^3)))+(Y77*(0.0156*(27.5^3)))</f>
        <v>5.3507999999999996</v>
      </c>
    </row>
    <row r="78" spans="1:30">
      <c r="A78" s="6">
        <v>40016</v>
      </c>
      <c r="B78" s="9" t="s">
        <v>502</v>
      </c>
      <c r="C78" s="9" t="s">
        <v>503</v>
      </c>
      <c r="D78" s="9" t="s">
        <v>504</v>
      </c>
      <c r="E78" s="9" t="s">
        <v>505</v>
      </c>
      <c r="F78" s="7">
        <v>20</v>
      </c>
      <c r="G78">
        <v>6.1</v>
      </c>
      <c r="H78">
        <v>1</v>
      </c>
      <c r="I78">
        <v>1</v>
      </c>
      <c r="J78" s="9" t="s">
        <v>404</v>
      </c>
      <c r="K78" s="9" t="s">
        <v>405</v>
      </c>
      <c r="L78" t="s">
        <v>252</v>
      </c>
      <c r="M78" t="s">
        <v>263</v>
      </c>
      <c r="N78" s="9" t="s">
        <v>211</v>
      </c>
      <c r="O78">
        <v>3</v>
      </c>
      <c r="P78">
        <v>3</v>
      </c>
      <c r="S78">
        <v>3</v>
      </c>
      <c r="AB78">
        <v>339.24843750000002</v>
      </c>
      <c r="AC78">
        <f>(R78*(0.0211*(12.5^3)))+(S78*(0.0211*(17.5^3)))+(T78*(0.0211*(22.5^3)))+(U78*(0.0211*(27.5^3)))+(V78*(0.0211*(32.5^3)))+(W78*(0.0211*(37.5^3)))+(X78*(0.0211*(42.5^3)))+(Y78*(0.0211*(27.5^3)))</f>
        <v>339.24843750000002</v>
      </c>
      <c r="AD78">
        <f>(S78*(0.0211*(17.5^3)))+(T78*(0.0211*(22.5^3)))+(U78*(0.0211*(27.5^3)))+(V78*(0.0211*(32.5^3)))+(W78*(0.0211*(37.5^3)))+(X78*(0.0211*(42.5^3)))+(Y78*(0.0211*(27.5^3)))</f>
        <v>339.24843750000002</v>
      </c>
    </row>
    <row r="79" spans="1:30" hidden="1">
      <c r="A79" s="6">
        <v>40016</v>
      </c>
      <c r="B79" s="9" t="s">
        <v>502</v>
      </c>
      <c r="C79" s="9" t="s">
        <v>503</v>
      </c>
      <c r="D79" s="9" t="s">
        <v>504</v>
      </c>
      <c r="E79" s="9" t="s">
        <v>505</v>
      </c>
      <c r="F79" s="7">
        <v>20</v>
      </c>
      <c r="G79">
        <v>6.1</v>
      </c>
      <c r="H79">
        <v>1</v>
      </c>
      <c r="I79">
        <v>1</v>
      </c>
      <c r="J79" s="9" t="s">
        <v>404</v>
      </c>
      <c r="K79" s="9" t="s">
        <v>405</v>
      </c>
      <c r="L79" t="s">
        <v>199</v>
      </c>
      <c r="M79" t="s">
        <v>175</v>
      </c>
      <c r="N79" s="11" t="s">
        <v>38</v>
      </c>
      <c r="O79">
        <v>29</v>
      </c>
      <c r="P79">
        <v>0</v>
      </c>
      <c r="Q79" s="12" t="s">
        <v>506</v>
      </c>
      <c r="R79">
        <v>1</v>
      </c>
      <c r="AB79">
        <v>0</v>
      </c>
      <c r="AC79">
        <f>(17*(0.0175*(5^3))+11*(0.0175*(8^3))+R79*(0.0175*(12.5^3)))+(S79*(0.0175*(17.5^3)))+(T79*(0.0175*(22.5^3)))+(U79*(0.0175*(27.5^3)))+(V79*(0.0175*(32.5^3)))+(W79*(0.0175*(37.5^3)))+(X79*(0.0175*(42.5^3)))+(Y79*(0.0175*(27.5^3)))</f>
        <v>169.9271875</v>
      </c>
      <c r="AD79">
        <f>((S79*(0.0175*(17.5^3)))+(T79*(0.0175*(22.5^3)))+(U79*(0.0175*(27.5^3)))+(V79*(0.0175*(32.5^3)))+(W79*(0.0175*(37.5^3)))+(X79*(0.0175*(42.5^3)))+(Y79*(0.0175*(27.5^3))))</f>
        <v>0</v>
      </c>
    </row>
    <row r="80" spans="1:30" hidden="1">
      <c r="A80" s="6">
        <v>40016</v>
      </c>
      <c r="B80" s="9" t="s">
        <v>502</v>
      </c>
      <c r="C80" s="9" t="s">
        <v>503</v>
      </c>
      <c r="D80" s="9" t="s">
        <v>504</v>
      </c>
      <c r="E80" s="9" t="s">
        <v>505</v>
      </c>
      <c r="F80" s="7">
        <v>20</v>
      </c>
      <c r="G80">
        <v>6.1</v>
      </c>
      <c r="H80">
        <v>1</v>
      </c>
      <c r="I80">
        <v>1</v>
      </c>
      <c r="J80" s="9" t="s">
        <v>404</v>
      </c>
      <c r="K80" s="9" t="s">
        <v>405</v>
      </c>
      <c r="L80" t="s">
        <v>170</v>
      </c>
      <c r="M80" t="s">
        <v>170</v>
      </c>
      <c r="N80" s="9" t="s">
        <v>409</v>
      </c>
      <c r="O80">
        <v>1</v>
      </c>
      <c r="P80">
        <v>1</v>
      </c>
      <c r="W80">
        <v>1</v>
      </c>
      <c r="AC80">
        <f>(0*(0.0156*(7^3))+0*(0.0156*(8^3))+0*(0.0156*(9^3))+0*(0.0156*(10^3))+0*(0.0156*(12^3))+0*(0.0156*(12.5^3)))+(S80*(0.0156*(17.5^3)))+(T80*(0.0156*(22.5^3)))+(U80*(0.0156*(27.5^3)))+(V80*(0.0156*(32.5^3)))+(W80*(0.0156*(37.5^3)))+(X80*(0.0156*(42.5^3)))+(Y80*(0.0156*(27.5^3)))</f>
        <v>822.65625</v>
      </c>
    </row>
    <row r="81" spans="1:30" hidden="1">
      <c r="A81" s="6">
        <v>40016</v>
      </c>
      <c r="B81" s="9" t="s">
        <v>502</v>
      </c>
      <c r="C81" s="9" t="s">
        <v>503</v>
      </c>
      <c r="D81" s="9" t="s">
        <v>504</v>
      </c>
      <c r="E81" s="9" t="s">
        <v>505</v>
      </c>
      <c r="F81" s="7">
        <v>20</v>
      </c>
      <c r="G81">
        <v>6.1</v>
      </c>
      <c r="H81">
        <v>1</v>
      </c>
      <c r="I81">
        <v>1</v>
      </c>
      <c r="J81" s="9" t="s">
        <v>404</v>
      </c>
      <c r="K81" s="9" t="s">
        <v>405</v>
      </c>
      <c r="L81" t="s">
        <v>170</v>
      </c>
      <c r="M81" t="s">
        <v>170</v>
      </c>
      <c r="N81" s="9" t="s">
        <v>238</v>
      </c>
      <c r="O81">
        <v>1</v>
      </c>
      <c r="P81">
        <v>0</v>
      </c>
      <c r="R81">
        <v>1</v>
      </c>
      <c r="AC81">
        <f>(0*(0.0156*(7^3))+0*(0.0156*(8^3))+0*(0.0156*(9^3))+0*(0.0156*(10^3))+0*(0.0156*(12^3))+1*(0.0156*(12.5^3)))+(S81*(0.0156*(17.5^3)))+(T81*(0.0156*(22.5^3)))+(U81*(0.0156*(27.5^3)))+(V81*(0.0156*(32.5^3)))+(W81*(0.0156*(37.5^3)))+(X81*(0.0156*(42.5^3)))+(Y81*(0.0156*(27.5^3)))</f>
        <v>30.46875</v>
      </c>
    </row>
    <row r="82" spans="1:30" hidden="1">
      <c r="A82" s="6">
        <v>40016</v>
      </c>
      <c r="B82" s="9" t="s">
        <v>502</v>
      </c>
      <c r="C82" s="9" t="s">
        <v>503</v>
      </c>
      <c r="D82" s="9" t="s">
        <v>504</v>
      </c>
      <c r="E82" s="9" t="s">
        <v>505</v>
      </c>
      <c r="F82" s="7">
        <v>20</v>
      </c>
      <c r="G82">
        <v>6.1</v>
      </c>
      <c r="H82">
        <v>1</v>
      </c>
      <c r="I82">
        <v>1</v>
      </c>
      <c r="J82" s="9" t="s">
        <v>404</v>
      </c>
      <c r="K82" s="9" t="s">
        <v>405</v>
      </c>
      <c r="L82" s="9"/>
      <c r="M82" s="9"/>
      <c r="N82" s="11"/>
      <c r="O82">
        <v>0</v>
      </c>
      <c r="P82">
        <v>0</v>
      </c>
      <c r="AA82" t="s">
        <v>507</v>
      </c>
    </row>
    <row r="83" spans="1:30" hidden="1">
      <c r="A83" s="6">
        <v>40016</v>
      </c>
      <c r="B83" s="9" t="s">
        <v>502</v>
      </c>
      <c r="C83" s="9" t="s">
        <v>503</v>
      </c>
      <c r="D83" s="9" t="s">
        <v>504</v>
      </c>
      <c r="E83" s="9" t="s">
        <v>505</v>
      </c>
      <c r="F83" s="7">
        <v>20</v>
      </c>
      <c r="G83">
        <v>6.4</v>
      </c>
      <c r="H83">
        <v>2</v>
      </c>
      <c r="I83">
        <v>2</v>
      </c>
      <c r="J83" s="9" t="s">
        <v>404</v>
      </c>
      <c r="K83" s="9" t="s">
        <v>405</v>
      </c>
      <c r="L83" t="s">
        <v>199</v>
      </c>
      <c r="M83" t="s">
        <v>175</v>
      </c>
      <c r="N83" s="9" t="s">
        <v>38</v>
      </c>
      <c r="O83">
        <v>67</v>
      </c>
      <c r="P83">
        <v>0</v>
      </c>
      <c r="Q83" s="9" t="s">
        <v>508</v>
      </c>
      <c r="R83" t="s">
        <v>298</v>
      </c>
      <c r="AB83">
        <v>0</v>
      </c>
      <c r="AC83">
        <f>(48*(0.0175*(5^3)))+(16*(0.0175*(8^3))+(3*(0.0175*(10^3)))+(S83*(0.0175*(17.5^3)))+(T83*(0.0175*(22.5^3)))+(U83*(0.0175*(27.5^3)))+(V83*(0.0175*(32.5^3)))+(W83*(0.0175*(37.5^3)))+(X83*(0.0175*(42.5^3)))+(Y83*(0.0175*(27.5^3))))</f>
        <v>300.86</v>
      </c>
      <c r="AD83">
        <f>((S83*(0.0175*(17.5^3)))+(T83*(0.0175*(22.5^3)))+(U83*(0.0175*(27.5^3)))+(V83*(0.0175*(32.5^3)))+(W83*(0.0175*(37.5^3)))+(X83*(0.0175*(42.5^3)))+(Y83*(0.0175*(27.5^3))))</f>
        <v>0</v>
      </c>
    </row>
    <row r="84" spans="1:30" hidden="1">
      <c r="A84" s="6">
        <v>40016</v>
      </c>
      <c r="B84" s="9" t="s">
        <v>502</v>
      </c>
      <c r="C84" s="9" t="s">
        <v>503</v>
      </c>
      <c r="D84" s="9" t="s">
        <v>504</v>
      </c>
      <c r="E84" s="9" t="s">
        <v>505</v>
      </c>
      <c r="F84" s="7">
        <v>20</v>
      </c>
      <c r="G84">
        <v>6.4</v>
      </c>
      <c r="H84">
        <v>2</v>
      </c>
      <c r="I84">
        <v>2</v>
      </c>
      <c r="J84" s="9" t="s">
        <v>404</v>
      </c>
      <c r="K84" s="9" t="s">
        <v>405</v>
      </c>
      <c r="L84" t="s">
        <v>170</v>
      </c>
      <c r="M84" t="s">
        <v>170</v>
      </c>
      <c r="N84" s="9" t="s">
        <v>409</v>
      </c>
      <c r="O84">
        <v>1</v>
      </c>
      <c r="P84">
        <v>1</v>
      </c>
      <c r="V84">
        <v>1</v>
      </c>
      <c r="AC84">
        <f>(0*(0.0156*(7^3))+0*(0.0156*(8^3))+0*(0.0156*(9^3))+0*(0.0156*(10^3))+0*(0.0156*(12^3))+0*(0.0156*(12.5^3)))+(S84*(0.0156*(17.5^3)))+(T84*(0.0156*(22.5^3)))+(U84*(0.0156*(27.5^3)))+(V84*(0.0156*(32.5^3)))+(W84*(0.0156*(37.5^3)))+(X84*(0.0156*(42.5^3)))+(Y84*(0.0156*(27.5^3)))</f>
        <v>535.51874999999995</v>
      </c>
    </row>
    <row r="85" spans="1:30">
      <c r="A85" s="6">
        <v>40016</v>
      </c>
      <c r="B85" s="9" t="s">
        <v>502</v>
      </c>
      <c r="C85" s="9" t="s">
        <v>503</v>
      </c>
      <c r="D85" s="9" t="s">
        <v>504</v>
      </c>
      <c r="E85" s="9" t="s">
        <v>505</v>
      </c>
      <c r="F85" s="7">
        <v>15</v>
      </c>
      <c r="G85">
        <v>5.8</v>
      </c>
      <c r="H85">
        <v>3</v>
      </c>
      <c r="I85">
        <v>3</v>
      </c>
      <c r="J85" s="9" t="s">
        <v>404</v>
      </c>
      <c r="K85" s="9" t="s">
        <v>405</v>
      </c>
      <c r="L85" t="s">
        <v>252</v>
      </c>
      <c r="M85" t="s">
        <v>263</v>
      </c>
      <c r="N85" s="9" t="s">
        <v>211</v>
      </c>
      <c r="O85">
        <v>1</v>
      </c>
      <c r="P85">
        <v>1</v>
      </c>
      <c r="V85">
        <v>1</v>
      </c>
      <c r="AB85">
        <v>724.32343750000007</v>
      </c>
      <c r="AC85">
        <f>(R85*(0.0211*(12.5^3)))+(S85*(0.0211*(17.5^3)))+(T85*(0.0211*(22.5^3)))+(U85*(0.0211*(27.5^3)))+(V85*(0.0211*(32.5^3)))+(W85*(0.0211*(37.5^3)))+(X85*(0.0211*(42.5^3)))+(Y85*(0.0211*(27.5^3)))</f>
        <v>724.32343750000007</v>
      </c>
      <c r="AD85">
        <f>(S85*(0.0211*(17.5^3)))+(T85*(0.0211*(22.5^3)))+(U85*(0.0211*(27.5^3)))+(V85*(0.0211*(32.5^3)))+(W85*(0.0211*(37.5^3)))+(X85*(0.0211*(42.5^3)))+(Y85*(0.0211*(27.5^3)))</f>
        <v>724.32343750000007</v>
      </c>
    </row>
    <row r="86" spans="1:30" hidden="1">
      <c r="A86" s="6">
        <v>40016</v>
      </c>
      <c r="B86" s="9" t="s">
        <v>502</v>
      </c>
      <c r="C86" s="9" t="s">
        <v>503</v>
      </c>
      <c r="D86" s="9" t="s">
        <v>504</v>
      </c>
      <c r="E86" s="9" t="s">
        <v>505</v>
      </c>
      <c r="F86" s="7">
        <v>15</v>
      </c>
      <c r="G86">
        <v>5.8</v>
      </c>
      <c r="H86">
        <v>3</v>
      </c>
      <c r="I86">
        <v>3</v>
      </c>
      <c r="J86" s="9" t="s">
        <v>404</v>
      </c>
      <c r="K86" s="9" t="s">
        <v>405</v>
      </c>
      <c r="L86" s="9" t="s">
        <v>109</v>
      </c>
      <c r="M86" s="9" t="s">
        <v>202</v>
      </c>
      <c r="N86" s="11" t="s">
        <v>299</v>
      </c>
      <c r="O86">
        <v>0</v>
      </c>
      <c r="P86">
        <v>0</v>
      </c>
      <c r="Q86" s="11" t="s">
        <v>300</v>
      </c>
      <c r="AC86">
        <f>(0.0043*(6^3.018))</f>
        <v>0.95924364182691069</v>
      </c>
    </row>
    <row r="87" spans="1:30" hidden="1">
      <c r="A87" s="6">
        <v>40016</v>
      </c>
      <c r="B87" s="9" t="s">
        <v>502</v>
      </c>
      <c r="C87" s="9" t="s">
        <v>503</v>
      </c>
      <c r="D87" s="9" t="s">
        <v>504</v>
      </c>
      <c r="E87" s="9" t="s">
        <v>505</v>
      </c>
      <c r="F87" s="7">
        <v>15</v>
      </c>
      <c r="G87">
        <v>5.8</v>
      </c>
      <c r="H87">
        <v>3</v>
      </c>
      <c r="I87">
        <v>3</v>
      </c>
      <c r="J87" s="9" t="s">
        <v>404</v>
      </c>
      <c r="K87" s="9" t="s">
        <v>405</v>
      </c>
      <c r="L87" t="s">
        <v>170</v>
      </c>
      <c r="M87" t="s">
        <v>170</v>
      </c>
      <c r="N87" s="9" t="s">
        <v>238</v>
      </c>
      <c r="O87">
        <v>1</v>
      </c>
      <c r="P87">
        <v>0</v>
      </c>
      <c r="R87">
        <v>1</v>
      </c>
      <c r="AC87">
        <f>(0*(0.0156*(7^3))+0*(0.0156*(8^3))+0*(0.0156*(9^3))+0*(0.0156*(10^3))+0*(0.0156*(12^3))+1*(0.0156*(12.5^3)))+(S87*(0.0156*(17.5^3)))+(T87*(0.0156*(22.5^3)))+(U87*(0.0156*(27.5^3)))+(V87*(0.0156*(32.5^3)))+(W87*(0.0156*(37.5^3)))+(X87*(0.0156*(42.5^3)))+(Y87*(0.0156*(27.5^3)))</f>
        <v>30.46875</v>
      </c>
    </row>
    <row r="88" spans="1:30" hidden="1">
      <c r="A88" s="6">
        <v>40016</v>
      </c>
      <c r="B88" s="9" t="s">
        <v>502</v>
      </c>
      <c r="C88" s="9" t="s">
        <v>503</v>
      </c>
      <c r="D88" s="9" t="s">
        <v>504</v>
      </c>
      <c r="E88" s="9" t="s">
        <v>505</v>
      </c>
      <c r="F88" s="7">
        <v>15</v>
      </c>
      <c r="G88">
        <v>5.4</v>
      </c>
      <c r="H88">
        <v>4</v>
      </c>
      <c r="I88">
        <v>4</v>
      </c>
      <c r="J88" s="9" t="s">
        <v>404</v>
      </c>
      <c r="K88" s="9" t="s">
        <v>405</v>
      </c>
      <c r="L88" t="s">
        <v>170</v>
      </c>
      <c r="M88" t="s">
        <v>170</v>
      </c>
      <c r="N88" s="9" t="s">
        <v>406</v>
      </c>
      <c r="O88">
        <v>1</v>
      </c>
      <c r="P88">
        <v>1</v>
      </c>
      <c r="T88">
        <v>1</v>
      </c>
      <c r="AC88">
        <f>(0*(0.0156*(7^3))+0*(0.0156*(8^3))+0*(0.0156*(9^3))+0*(0.0156*(10^3))+0*(0.0156*(12^3))+0*(0.0156*(12.5^3)))+(S88*(0.0156*(17.5^3)))+(T88*(0.0156*(22.5^3)))+(U88*(0.0156*(27.5^3)))+(V88*(0.0156*(32.5^3)))+(W88*(0.0156*(37.5^3)))+(X88*(0.0156*(42.5^3)))+(Y88*(0.0156*(27.5^3)))</f>
        <v>177.69374999999999</v>
      </c>
    </row>
    <row r="89" spans="1:30" hidden="1">
      <c r="A89" s="6">
        <v>40016</v>
      </c>
      <c r="B89" s="9" t="s">
        <v>502</v>
      </c>
      <c r="C89" s="9" t="s">
        <v>503</v>
      </c>
      <c r="D89" s="9" t="s">
        <v>301</v>
      </c>
      <c r="E89" s="9" t="s">
        <v>505</v>
      </c>
      <c r="F89" s="7">
        <v>20</v>
      </c>
      <c r="G89">
        <v>5.4</v>
      </c>
      <c r="H89">
        <v>5</v>
      </c>
      <c r="I89">
        <v>5</v>
      </c>
      <c r="J89" s="9" t="s">
        <v>404</v>
      </c>
      <c r="K89" s="9" t="s">
        <v>405</v>
      </c>
      <c r="L89" t="s">
        <v>170</v>
      </c>
      <c r="M89" t="s">
        <v>170</v>
      </c>
      <c r="N89" s="9" t="s">
        <v>409</v>
      </c>
      <c r="O89">
        <v>4</v>
      </c>
      <c r="P89">
        <v>4</v>
      </c>
      <c r="T89">
        <v>2</v>
      </c>
      <c r="U89">
        <v>1</v>
      </c>
      <c r="W89">
        <v>1</v>
      </c>
      <c r="AC89">
        <f>(0*(0.0156*(7^3))+0*(0.0156*(8^3))+0*(0.0156*(9^3))+0*(0.0156*(10^3))+0*(0.0156*(12^3))+0*(0.0156*(12.5^3)))+(S89*(0.0156*(17.5^3)))+(T89*(0.0156*(22.5^3)))+(U89*(0.0156*(27.5^3)))+(V89*(0.0156*(32.5^3)))+(W89*(0.0156*(37.5^3)))+(X89*(0.0156*(42.5^3)))+(Y89*(0.0156*(27.5^3)))</f>
        <v>1502.4749999999999</v>
      </c>
    </row>
    <row r="90" spans="1:30" hidden="1">
      <c r="A90" s="6">
        <v>40016</v>
      </c>
      <c r="B90" s="9" t="s">
        <v>502</v>
      </c>
      <c r="C90" s="9" t="s">
        <v>503</v>
      </c>
      <c r="D90" s="9" t="s">
        <v>301</v>
      </c>
      <c r="E90" s="9" t="s">
        <v>505</v>
      </c>
      <c r="F90" s="7">
        <v>20</v>
      </c>
      <c r="G90">
        <v>5.4</v>
      </c>
      <c r="H90">
        <v>5</v>
      </c>
      <c r="I90">
        <v>5</v>
      </c>
      <c r="J90" s="9" t="s">
        <v>404</v>
      </c>
      <c r="K90" s="9" t="s">
        <v>405</v>
      </c>
      <c r="L90" t="s">
        <v>170</v>
      </c>
      <c r="M90" t="s">
        <v>170</v>
      </c>
      <c r="N90" s="9" t="s">
        <v>238</v>
      </c>
      <c r="O90">
        <v>2</v>
      </c>
      <c r="P90">
        <v>0</v>
      </c>
      <c r="R90">
        <v>2</v>
      </c>
      <c r="AC90">
        <f>(0*(0.0156*(7^3))+0*(0.0156*(8^3))+0*(0.0156*(9^3))+0*(0.0156*(10^3))+0*(0.0156*(12^3))+2*(0.0156*(12.5^3)))+(S90*(0.0156*(17.5^3)))+(T90*(0.0156*(22.5^3)))+(U90*(0.0156*(27.5^3)))+(V90*(0.0156*(32.5^3)))+(W90*(0.0156*(37.5^3)))+(X90*(0.0156*(42.5^3)))+(Y90*(0.0156*(27.5^3)))</f>
        <v>60.9375</v>
      </c>
    </row>
    <row r="91" spans="1:30">
      <c r="A91" s="6">
        <v>40016</v>
      </c>
      <c r="B91" s="9" t="s">
        <v>502</v>
      </c>
      <c r="C91" s="9" t="s">
        <v>503</v>
      </c>
      <c r="D91" s="9" t="s">
        <v>301</v>
      </c>
      <c r="E91" s="9" t="s">
        <v>505</v>
      </c>
      <c r="F91" s="7">
        <v>20</v>
      </c>
      <c r="G91">
        <v>5.4</v>
      </c>
      <c r="H91">
        <v>5</v>
      </c>
      <c r="I91">
        <v>5</v>
      </c>
      <c r="J91" s="9" t="s">
        <v>404</v>
      </c>
      <c r="K91" s="9" t="s">
        <v>405</v>
      </c>
      <c r="L91" t="s">
        <v>252</v>
      </c>
      <c r="M91" t="s">
        <v>263</v>
      </c>
      <c r="N91" s="9" t="s">
        <v>211</v>
      </c>
      <c r="O91">
        <v>3</v>
      </c>
      <c r="P91">
        <v>2</v>
      </c>
      <c r="R91">
        <v>1</v>
      </c>
      <c r="S91">
        <v>1</v>
      </c>
      <c r="T91">
        <v>1</v>
      </c>
      <c r="AB91">
        <v>353.42500000000001</v>
      </c>
      <c r="AC91">
        <f>(R91*(0.0211*(12.5^3)))+(S91*(0.0211*(17.5^3)))+(T91*(0.0211*(22.5^3)))+(U91*(0.0211*(27.5^3)))+(V91*(0.0211*(32.5^3)))+(W91*(0.0211*(37.5^3)))+(X91*(0.0211*(42.5^3)))+(Y91*(0.0211*(27.5^3)))</f>
        <v>394.63593749999995</v>
      </c>
      <c r="AD91">
        <f>(S91*(0.0211*(17.5^3)))+(T91*(0.0211*(22.5^3)))+(U91*(0.0211*(27.5^3)))+(V91*(0.0211*(32.5^3)))+(W91*(0.0211*(37.5^3)))+(X91*(0.0211*(42.5^3)))+(Y91*(0.0211*(27.5^3)))</f>
        <v>353.42500000000001</v>
      </c>
    </row>
    <row r="92" spans="1:30" hidden="1">
      <c r="A92" s="6">
        <v>40016</v>
      </c>
      <c r="B92" s="9" t="s">
        <v>502</v>
      </c>
      <c r="C92" s="9" t="s">
        <v>503</v>
      </c>
      <c r="D92" s="9" t="s">
        <v>301</v>
      </c>
      <c r="E92" s="9" t="s">
        <v>505</v>
      </c>
      <c r="F92" s="7">
        <v>20</v>
      </c>
      <c r="G92">
        <v>5.4</v>
      </c>
      <c r="H92">
        <v>5</v>
      </c>
      <c r="I92">
        <v>5</v>
      </c>
      <c r="J92" s="9" t="s">
        <v>404</v>
      </c>
      <c r="K92" s="9" t="s">
        <v>405</v>
      </c>
      <c r="L92" s="9" t="s">
        <v>83</v>
      </c>
      <c r="M92" t="s">
        <v>60</v>
      </c>
      <c r="N92" s="9" t="s">
        <v>448</v>
      </c>
      <c r="O92">
        <v>1</v>
      </c>
      <c r="P92">
        <v>1</v>
      </c>
      <c r="T92">
        <v>1</v>
      </c>
      <c r="AC92">
        <f>(1*(0.0000055*(225^3.185)))</f>
        <v>170.63338631495762</v>
      </c>
    </row>
    <row r="93" spans="1:30" hidden="1">
      <c r="A93" s="6">
        <v>40016</v>
      </c>
      <c r="B93" s="9" t="s">
        <v>502</v>
      </c>
      <c r="C93" s="9" t="s">
        <v>503</v>
      </c>
      <c r="D93" s="9" t="s">
        <v>301</v>
      </c>
      <c r="E93" s="9" t="s">
        <v>505</v>
      </c>
      <c r="F93" s="7">
        <v>20</v>
      </c>
      <c r="G93">
        <v>5.4</v>
      </c>
      <c r="H93">
        <v>5</v>
      </c>
      <c r="I93">
        <v>5</v>
      </c>
      <c r="J93" s="9" t="s">
        <v>404</v>
      </c>
      <c r="K93" s="9" t="s">
        <v>405</v>
      </c>
      <c r="L93" t="s">
        <v>170</v>
      </c>
      <c r="M93" t="s">
        <v>170</v>
      </c>
      <c r="N93" s="9" t="s">
        <v>406</v>
      </c>
      <c r="O93">
        <v>1</v>
      </c>
      <c r="P93">
        <v>1</v>
      </c>
      <c r="U93">
        <v>1</v>
      </c>
      <c r="AC93">
        <f>(0*(0.0156*(7^3))+0*(0.0156*(8^3))+0*(0.0156*(9^3))+0*(0.0156*(10^3))+0*(0.0156*(12^3))+0*(0.0156*(12.5^3)))+(S93*(0.0156*(17.5^3)))+(T93*(0.0156*(22.5^3)))+(U93*(0.0156*(27.5^3)))+(V93*(0.0156*(32.5^3)))+(W93*(0.0156*(37.5^3)))+(X93*(0.0156*(42.5^3)))+(Y93*(0.0156*(27.5^3)))</f>
        <v>324.43124999999998</v>
      </c>
    </row>
    <row r="94" spans="1:30" hidden="1">
      <c r="A94" s="6">
        <v>40017</v>
      </c>
      <c r="B94" s="9" t="s">
        <v>502</v>
      </c>
      <c r="C94" s="9" t="s">
        <v>302</v>
      </c>
      <c r="D94" s="9" t="s">
        <v>303</v>
      </c>
      <c r="E94" s="9" t="s">
        <v>505</v>
      </c>
      <c r="F94" s="7">
        <v>15</v>
      </c>
      <c r="G94">
        <v>5.5</v>
      </c>
      <c r="H94">
        <v>1</v>
      </c>
      <c r="I94">
        <v>1</v>
      </c>
      <c r="J94" s="9" t="s">
        <v>404</v>
      </c>
      <c r="K94" s="9" t="s">
        <v>405</v>
      </c>
      <c r="L94" t="s">
        <v>170</v>
      </c>
      <c r="M94" t="s">
        <v>170</v>
      </c>
      <c r="N94" s="9" t="s">
        <v>409</v>
      </c>
      <c r="O94">
        <v>2</v>
      </c>
      <c r="P94">
        <v>2</v>
      </c>
      <c r="T94">
        <v>2</v>
      </c>
      <c r="AC94">
        <f>(0*(0.0156*(7^3))+0*(0.0156*(8^3))+0*(0.0156*(9^3))+0*(0.0156*(10^3))+0*(0.0156*(12^3))+0*(0.0156*(12.5^3)))+(S94*(0.0156*(17.5^3)))+(T94*(0.0156*(22.5^3)))+(U94*(0.0156*(27.5^3)))+(V94*(0.0156*(32.5^3)))+(W94*(0.0156*(37.5^3)))+(X94*(0.0156*(42.5^3)))+(Y94*(0.0156*(27.5^3)))</f>
        <v>355.38749999999999</v>
      </c>
    </row>
    <row r="95" spans="1:30" hidden="1">
      <c r="A95" s="6">
        <v>40017</v>
      </c>
      <c r="B95" s="9" t="s">
        <v>502</v>
      </c>
      <c r="C95" s="9" t="s">
        <v>302</v>
      </c>
      <c r="D95" s="9" t="s">
        <v>303</v>
      </c>
      <c r="E95" s="9" t="s">
        <v>505</v>
      </c>
      <c r="F95" s="7">
        <v>15</v>
      </c>
      <c r="G95">
        <v>5.5</v>
      </c>
      <c r="H95">
        <v>1</v>
      </c>
      <c r="I95">
        <v>1</v>
      </c>
      <c r="J95" s="9" t="s">
        <v>404</v>
      </c>
      <c r="K95" s="9" t="s">
        <v>405</v>
      </c>
      <c r="L95" t="s">
        <v>170</v>
      </c>
      <c r="M95" t="s">
        <v>170</v>
      </c>
      <c r="N95" s="9" t="s">
        <v>238</v>
      </c>
      <c r="O95">
        <v>5</v>
      </c>
      <c r="P95">
        <v>0</v>
      </c>
      <c r="Q95">
        <v>4</v>
      </c>
      <c r="R95">
        <v>1</v>
      </c>
      <c r="AC95">
        <f>(1*(0.0156*(4^3))+0*(0.0156*(8^3))+0*(0.0156*(9^3))+0*(0.0156*(10^3))+0*(0.0156*(12^3))+1*(0.0156*(12.5^3)))+(S95*(0.0156*(17.5^3)))+(T95*(0.0156*(22.5^3)))+(U95*(0.0156*(27.5^3)))+(V95*(0.0156*(32.5^3)))+(W95*(0.0156*(37.5^3)))+(X95*(0.0156*(42.5^3)))+(Y95*(0.0156*(27.5^3)))</f>
        <v>31.46715</v>
      </c>
    </row>
    <row r="96" spans="1:30" hidden="1">
      <c r="A96" s="6">
        <v>40017</v>
      </c>
      <c r="B96" s="9" t="s">
        <v>502</v>
      </c>
      <c r="C96" s="9" t="s">
        <v>302</v>
      </c>
      <c r="D96" s="9" t="s">
        <v>303</v>
      </c>
      <c r="E96" s="9" t="s">
        <v>505</v>
      </c>
      <c r="F96" s="7">
        <v>15</v>
      </c>
      <c r="G96">
        <v>5.5</v>
      </c>
      <c r="H96">
        <v>1</v>
      </c>
      <c r="I96">
        <v>1</v>
      </c>
      <c r="J96" s="9" t="s">
        <v>404</v>
      </c>
      <c r="K96" s="9" t="s">
        <v>405</v>
      </c>
      <c r="L96" s="9" t="s">
        <v>111</v>
      </c>
      <c r="M96" s="9" t="s">
        <v>60</v>
      </c>
      <c r="N96" s="9" t="s">
        <v>304</v>
      </c>
      <c r="O96">
        <v>1</v>
      </c>
      <c r="P96">
        <v>1</v>
      </c>
      <c r="U96">
        <v>1</v>
      </c>
      <c r="AC96">
        <f>(U96*(0.0000055*(275^3.185)))</f>
        <v>323.3235356776064</v>
      </c>
    </row>
    <row r="97" spans="1:30" hidden="1">
      <c r="A97" s="6">
        <v>40017</v>
      </c>
      <c r="B97" s="9" t="s">
        <v>502</v>
      </c>
      <c r="C97" s="9" t="s">
        <v>302</v>
      </c>
      <c r="D97" s="9" t="s">
        <v>303</v>
      </c>
      <c r="E97" s="9" t="s">
        <v>505</v>
      </c>
      <c r="F97" s="7">
        <v>15</v>
      </c>
      <c r="G97" t="s">
        <v>305</v>
      </c>
      <c r="H97">
        <v>2</v>
      </c>
      <c r="I97">
        <v>2</v>
      </c>
      <c r="J97" s="9" t="s">
        <v>404</v>
      </c>
      <c r="K97" s="9" t="s">
        <v>405</v>
      </c>
      <c r="L97" s="9" t="s">
        <v>76</v>
      </c>
      <c r="M97" s="9" t="s">
        <v>76</v>
      </c>
      <c r="N97" s="11" t="s">
        <v>233</v>
      </c>
      <c r="O97">
        <v>2</v>
      </c>
      <c r="P97">
        <v>2</v>
      </c>
      <c r="S97">
        <v>1</v>
      </c>
      <c r="T97">
        <v>1</v>
      </c>
      <c r="AC97">
        <f>(S97*(0.000491*(17.5^3.05)))+(T97*(0.000491*(22.5^3.05)))</f>
        <v>9.5712083585606855</v>
      </c>
    </row>
    <row r="98" spans="1:30">
      <c r="A98" s="6">
        <v>40017</v>
      </c>
      <c r="B98" s="9" t="s">
        <v>502</v>
      </c>
      <c r="C98" s="9" t="s">
        <v>302</v>
      </c>
      <c r="D98" s="9" t="s">
        <v>303</v>
      </c>
      <c r="E98" s="9" t="s">
        <v>505</v>
      </c>
      <c r="F98" s="7">
        <v>15</v>
      </c>
      <c r="G98" t="s">
        <v>305</v>
      </c>
      <c r="H98">
        <v>2</v>
      </c>
      <c r="I98">
        <v>2</v>
      </c>
      <c r="J98" s="9" t="s">
        <v>404</v>
      </c>
      <c r="K98" s="9" t="s">
        <v>405</v>
      </c>
      <c r="L98" t="s">
        <v>252</v>
      </c>
      <c r="M98" t="s">
        <v>263</v>
      </c>
      <c r="N98" s="11" t="s">
        <v>211</v>
      </c>
      <c r="O98">
        <v>2</v>
      </c>
      <c r="P98">
        <v>1</v>
      </c>
      <c r="Q98" s="9" t="s">
        <v>490</v>
      </c>
      <c r="S98">
        <v>1</v>
      </c>
      <c r="AB98">
        <v>113.0828125</v>
      </c>
      <c r="AC98">
        <f>(R98*(0.0211*(12.5^3)))+(S98*(0.0211*(17.5^3)))+(T98*(0.0211*(22.5^3)))+(U98*(0.0211*(27.5^3)))+(V98*(0.0211*(32.5^3)))+(W98*(0.0211*(37.5^3)))+(X98*(0.0211*(42.5^3)))+(Y98*(0.0211*(27.5^3)))</f>
        <v>113.0828125</v>
      </c>
      <c r="AD98">
        <f>(S98*(0.0211*(17.5^3)))+(T98*(0.0211*(22.5^3)))+(U98*(0.0211*(27.5^3)))+(V98*(0.0211*(32.5^3)))+(W98*(0.0211*(37.5^3)))+(X98*(0.0211*(42.5^3)))+(Y98*(0.0211*(27.5^3)))</f>
        <v>113.0828125</v>
      </c>
    </row>
    <row r="99" spans="1:30" hidden="1">
      <c r="A99" s="6">
        <v>40017</v>
      </c>
      <c r="B99" s="9" t="s">
        <v>502</v>
      </c>
      <c r="C99" s="9" t="s">
        <v>302</v>
      </c>
      <c r="D99" s="9" t="s">
        <v>303</v>
      </c>
      <c r="E99" s="9" t="s">
        <v>505</v>
      </c>
      <c r="F99" s="7">
        <v>15</v>
      </c>
      <c r="G99" t="s">
        <v>305</v>
      </c>
      <c r="H99">
        <v>2</v>
      </c>
      <c r="I99">
        <v>2</v>
      </c>
      <c r="J99" s="9" t="s">
        <v>404</v>
      </c>
      <c r="K99" s="9" t="s">
        <v>405</v>
      </c>
      <c r="L99" t="s">
        <v>170</v>
      </c>
      <c r="M99" t="s">
        <v>170</v>
      </c>
      <c r="N99" s="9" t="s">
        <v>409</v>
      </c>
      <c r="O99">
        <v>2</v>
      </c>
      <c r="P99">
        <v>2</v>
      </c>
      <c r="S99">
        <v>1</v>
      </c>
      <c r="U99">
        <v>1</v>
      </c>
      <c r="AC99">
        <f>(0*(0.0156*(7^3))+0*(0.0156*(8^3))+0*(0.0156*(9^3))+0*(0.0156*(10^3))+0*(0.0156*(12^3))+0*(0.0156*(12.5^3)))+(S99*(0.0156*(17.5^3)))+(T99*(0.0156*(22.5^3)))+(U99*(0.0156*(27.5^3)))+(V99*(0.0156*(32.5^3)))+(W99*(0.0156*(37.5^3)))+(X99*(0.0156*(42.5^3)))+(Y99*(0.0156*(27.5^3)))</f>
        <v>408.03749999999997</v>
      </c>
    </row>
    <row r="100" spans="1:30" hidden="1">
      <c r="A100" s="6">
        <v>40017</v>
      </c>
      <c r="B100" s="9" t="s">
        <v>502</v>
      </c>
      <c r="C100" s="9" t="s">
        <v>302</v>
      </c>
      <c r="D100" s="9" t="s">
        <v>303</v>
      </c>
      <c r="E100" s="9" t="s">
        <v>505</v>
      </c>
      <c r="F100" s="7">
        <v>15</v>
      </c>
      <c r="G100" t="s">
        <v>305</v>
      </c>
      <c r="H100">
        <v>2</v>
      </c>
      <c r="I100">
        <v>2</v>
      </c>
      <c r="J100" s="9" t="s">
        <v>404</v>
      </c>
      <c r="K100" s="9" t="s">
        <v>405</v>
      </c>
      <c r="L100" s="9" t="s">
        <v>54</v>
      </c>
      <c r="M100" s="9" t="s">
        <v>60</v>
      </c>
      <c r="N100" s="9" t="s">
        <v>304</v>
      </c>
      <c r="O100">
        <v>2</v>
      </c>
      <c r="P100">
        <v>2</v>
      </c>
      <c r="S100">
        <v>1</v>
      </c>
      <c r="U100">
        <v>1</v>
      </c>
      <c r="AC100">
        <f>(S100*(0.0000055*(175^3.185)))+(U100*(0.0000055*(275^3.185)))</f>
        <v>399.96060253377652</v>
      </c>
    </row>
    <row r="101" spans="1:30" hidden="1">
      <c r="A101" s="6">
        <v>40017</v>
      </c>
      <c r="B101" s="9" t="s">
        <v>502</v>
      </c>
      <c r="C101" s="9" t="s">
        <v>302</v>
      </c>
      <c r="D101" s="9" t="s">
        <v>303</v>
      </c>
      <c r="E101" s="9" t="s">
        <v>505</v>
      </c>
      <c r="F101" s="7">
        <v>15</v>
      </c>
      <c r="G101" t="s">
        <v>305</v>
      </c>
      <c r="H101">
        <v>2</v>
      </c>
      <c r="I101">
        <v>2</v>
      </c>
      <c r="J101" s="9" t="s">
        <v>404</v>
      </c>
      <c r="K101" s="9" t="s">
        <v>405</v>
      </c>
      <c r="L101" t="s">
        <v>199</v>
      </c>
      <c r="M101" t="s">
        <v>175</v>
      </c>
      <c r="N101" s="9" t="s">
        <v>38</v>
      </c>
      <c r="O101">
        <v>3</v>
      </c>
      <c r="P101">
        <v>0</v>
      </c>
      <c r="Q101" t="s">
        <v>244</v>
      </c>
      <c r="R101">
        <v>1</v>
      </c>
      <c r="AB101">
        <v>0</v>
      </c>
      <c r="AC101">
        <f>(48*(0.0175*(5^3)))+(16*(0.0175*(8^3))+(R101*(0.0175*(12.5^3)))+(S101*(0.0175*(17.5^3)))+(T101*(0.0175*(22.5^3)))+(U101*(0.0175*(27.5^3)))+(V101*(0.0175*(32.5^3)))+(W101*(0.0175*(37.5^3)))+(X101*(0.0175*(42.5^3)))+(Y101*(0.0175*(27.5^3))))</f>
        <v>282.53968750000001</v>
      </c>
      <c r="AD101">
        <f>((S101*(0.0175*(17.5^3)))+(T101*(0.0175*(22.5^3)))+(U101*(0.0175*(27.5^3)))+(V101*(0.0175*(32.5^3)))+(W101*(0.0175*(37.5^3)))+(X101*(0.0175*(42.5^3)))+(Y101*(0.0175*(27.5^3))))</f>
        <v>0</v>
      </c>
    </row>
    <row r="102" spans="1:30" hidden="1">
      <c r="A102" s="6">
        <v>40017</v>
      </c>
      <c r="B102" s="9" t="s">
        <v>502</v>
      </c>
      <c r="C102" s="9" t="s">
        <v>302</v>
      </c>
      <c r="D102" s="9" t="s">
        <v>306</v>
      </c>
      <c r="E102" s="9" t="s">
        <v>505</v>
      </c>
      <c r="F102" s="7">
        <v>15</v>
      </c>
      <c r="G102">
        <v>8.1999999999999993</v>
      </c>
      <c r="H102">
        <v>3</v>
      </c>
      <c r="I102">
        <v>3</v>
      </c>
      <c r="J102" s="9" t="s">
        <v>404</v>
      </c>
      <c r="K102" s="9" t="s">
        <v>405</v>
      </c>
      <c r="L102" s="9" t="s">
        <v>55</v>
      </c>
      <c r="M102" s="9" t="s">
        <v>64</v>
      </c>
      <c r="N102" s="9" t="s">
        <v>307</v>
      </c>
      <c r="O102">
        <v>27</v>
      </c>
      <c r="P102">
        <v>0</v>
      </c>
      <c r="Q102" s="9" t="s">
        <v>308</v>
      </c>
      <c r="AA102" t="s">
        <v>118</v>
      </c>
      <c r="AC102">
        <f>(27*(0.0004*(5^3.43)))</f>
        <v>2.6970616288786107</v>
      </c>
    </row>
    <row r="103" spans="1:30" hidden="1">
      <c r="A103" s="6">
        <v>40017</v>
      </c>
      <c r="B103" s="9" t="s">
        <v>502</v>
      </c>
      <c r="C103" s="9" t="s">
        <v>302</v>
      </c>
      <c r="D103" s="9" t="s">
        <v>306</v>
      </c>
      <c r="E103" s="9" t="s">
        <v>505</v>
      </c>
      <c r="F103" s="7">
        <v>15</v>
      </c>
      <c r="G103">
        <v>8.1999999999999993</v>
      </c>
      <c r="H103">
        <v>3</v>
      </c>
      <c r="I103">
        <v>3</v>
      </c>
      <c r="J103" s="9" t="s">
        <v>404</v>
      </c>
      <c r="K103" s="9" t="s">
        <v>405</v>
      </c>
      <c r="L103" t="s">
        <v>170</v>
      </c>
      <c r="M103" t="s">
        <v>170</v>
      </c>
      <c r="N103" s="9" t="s">
        <v>409</v>
      </c>
      <c r="O103">
        <v>1</v>
      </c>
      <c r="P103">
        <v>1</v>
      </c>
      <c r="S103">
        <v>1</v>
      </c>
      <c r="AC103">
        <f>(0*(0.0156*(7^3))+0*(0.0156*(8^3))+0*(0.0156*(9^3))+0*(0.0156*(10^3))+0*(0.0156*(12^3))+0*(0.0156*(12.5^3)))+(S103*(0.0156*(17.5^3)))+(T103*(0.0156*(22.5^3)))+(U103*(0.0156*(27.5^3)))+(V103*(0.0156*(32.5^3)))+(W103*(0.0156*(37.5^3)))+(X103*(0.0156*(42.5^3)))+(Y103*(0.0156*(27.5^3)))</f>
        <v>83.606250000000003</v>
      </c>
    </row>
    <row r="104" spans="1:30" hidden="1">
      <c r="A104" s="6">
        <v>40017</v>
      </c>
      <c r="B104" s="9" t="s">
        <v>502</v>
      </c>
      <c r="C104" s="9" t="s">
        <v>302</v>
      </c>
      <c r="D104" s="9" t="s">
        <v>306</v>
      </c>
      <c r="E104" s="9" t="s">
        <v>505</v>
      </c>
      <c r="F104" s="7">
        <v>15</v>
      </c>
      <c r="G104">
        <v>8.1999999999999993</v>
      </c>
      <c r="H104">
        <v>3</v>
      </c>
      <c r="I104">
        <v>3</v>
      </c>
      <c r="J104" s="9" t="s">
        <v>404</v>
      </c>
      <c r="K104" s="9" t="s">
        <v>405</v>
      </c>
      <c r="L104" s="9" t="s">
        <v>81</v>
      </c>
      <c r="M104" s="9" t="s">
        <v>202</v>
      </c>
      <c r="N104" s="9" t="s">
        <v>119</v>
      </c>
      <c r="O104">
        <v>1</v>
      </c>
      <c r="P104">
        <v>0</v>
      </c>
      <c r="R104" t="s">
        <v>120</v>
      </c>
      <c r="AC104">
        <f>(1*(0.0043*(14^3.018)))</f>
        <v>12.373223770999775</v>
      </c>
    </row>
    <row r="105" spans="1:30">
      <c r="A105" s="6">
        <v>40017</v>
      </c>
      <c r="B105" s="9" t="s">
        <v>502</v>
      </c>
      <c r="C105" s="9" t="s">
        <v>302</v>
      </c>
      <c r="D105" s="9" t="s">
        <v>306</v>
      </c>
      <c r="E105" s="9" t="s">
        <v>505</v>
      </c>
      <c r="F105" s="7">
        <v>15</v>
      </c>
      <c r="G105">
        <v>7.5</v>
      </c>
      <c r="H105">
        <v>4</v>
      </c>
      <c r="I105">
        <v>4</v>
      </c>
      <c r="J105" s="9" t="s">
        <v>404</v>
      </c>
      <c r="K105" s="9" t="s">
        <v>405</v>
      </c>
      <c r="L105" t="s">
        <v>252</v>
      </c>
      <c r="M105" t="s">
        <v>263</v>
      </c>
      <c r="N105" s="11" t="s">
        <v>211</v>
      </c>
      <c r="O105">
        <v>2</v>
      </c>
      <c r="P105">
        <v>0</v>
      </c>
      <c r="Q105" s="11" t="s">
        <v>490</v>
      </c>
      <c r="R105" s="12">
        <v>1</v>
      </c>
      <c r="S105" s="12"/>
      <c r="T105" s="12"/>
      <c r="U105" s="12"/>
      <c r="V105" s="12"/>
      <c r="W105" s="12"/>
      <c r="X105" s="12"/>
      <c r="AB105">
        <v>0</v>
      </c>
      <c r="AC105">
        <f>(R105*(0.0211*(12.5^3)))+(S105*(0.0211*(17.5^3)))+(T105*(0.0211*(22.5^3)))+(U105*(0.0211*(27.5^3)))+(V105*(0.0211*(32.5^3)))+(W105*(0.0211*(37.5^3)))+(X105*(0.0211*(42.5^3)))+(Y105*(0.0211*(27.5^3)))</f>
        <v>41.2109375</v>
      </c>
      <c r="AD105">
        <f>(S105*(0.0211*(17.5^3)))+(T105*(0.0211*(22.5^3)))+(U105*(0.0211*(27.5^3)))+(V105*(0.0211*(32.5^3)))+(W105*(0.0211*(37.5^3)))+(X105*(0.0211*(42.5^3)))+(Y105*(0.0211*(27.5^3)))</f>
        <v>0</v>
      </c>
    </row>
    <row r="106" spans="1:30" hidden="1">
      <c r="A106" s="6">
        <v>40017</v>
      </c>
      <c r="B106" s="9" t="s">
        <v>502</v>
      </c>
      <c r="C106" s="9" t="s">
        <v>302</v>
      </c>
      <c r="D106" s="9" t="s">
        <v>306</v>
      </c>
      <c r="E106" s="9" t="s">
        <v>505</v>
      </c>
      <c r="F106" s="7">
        <v>15</v>
      </c>
      <c r="G106">
        <v>7.5</v>
      </c>
      <c r="H106">
        <v>4</v>
      </c>
      <c r="I106">
        <v>4</v>
      </c>
      <c r="J106" s="9" t="s">
        <v>404</v>
      </c>
      <c r="K106" s="9" t="s">
        <v>405</v>
      </c>
      <c r="L106" s="9" t="s">
        <v>77</v>
      </c>
      <c r="M106" t="s">
        <v>65</v>
      </c>
      <c r="N106" s="11" t="s">
        <v>407</v>
      </c>
      <c r="O106">
        <v>50</v>
      </c>
      <c r="P106">
        <v>0</v>
      </c>
      <c r="Q106" s="11" t="s">
        <v>121</v>
      </c>
      <c r="R106" s="12"/>
      <c r="S106" s="12"/>
      <c r="T106" s="12"/>
      <c r="U106" s="12"/>
      <c r="V106" s="12"/>
      <c r="W106" s="12"/>
      <c r="X106" s="12"/>
      <c r="AC106">
        <f>50*(0.0004*(5^3.43))</f>
        <v>4.9945585719974277</v>
      </c>
    </row>
    <row r="107" spans="1:30" hidden="1">
      <c r="A107" s="6">
        <v>40017</v>
      </c>
      <c r="B107" s="9" t="s">
        <v>502</v>
      </c>
      <c r="C107" s="9" t="s">
        <v>302</v>
      </c>
      <c r="D107" s="9" t="s">
        <v>306</v>
      </c>
      <c r="E107" s="9" t="s">
        <v>505</v>
      </c>
      <c r="F107" s="7">
        <v>15</v>
      </c>
      <c r="G107">
        <v>7.5</v>
      </c>
      <c r="H107">
        <v>4</v>
      </c>
      <c r="I107">
        <v>4</v>
      </c>
      <c r="J107" s="9" t="s">
        <v>404</v>
      </c>
      <c r="K107" s="9" t="s">
        <v>405</v>
      </c>
      <c r="L107" t="s">
        <v>170</v>
      </c>
      <c r="M107" t="s">
        <v>170</v>
      </c>
      <c r="N107" s="11" t="s">
        <v>406</v>
      </c>
      <c r="O107">
        <v>1</v>
      </c>
      <c r="P107">
        <v>1</v>
      </c>
      <c r="Q107" s="12"/>
      <c r="R107" s="12"/>
      <c r="S107" s="12"/>
      <c r="T107" s="12"/>
      <c r="U107" s="12">
        <v>1</v>
      </c>
      <c r="V107" s="12"/>
      <c r="W107" s="12"/>
      <c r="X107" s="12"/>
      <c r="AC107">
        <f>(0*(0.0156*(7^3))+0*(0.0156*(8^3))+0*(0.0156*(9^3))+0*(0.0156*(10^3))+0*(0.0156*(12^3))+0*(0.0156*(12.5^3)))+(S107*(0.0156*(17.5^3)))+(T107*(0.0156*(22.5^3)))+(U107*(0.0156*(27.5^3)))+(V107*(0.0156*(32.5^3)))+(W107*(0.0156*(37.5^3)))+(X107*(0.0156*(42.5^3)))+(Y107*(0.0156*(27.5^3)))</f>
        <v>324.43124999999998</v>
      </c>
    </row>
    <row r="108" spans="1:30" hidden="1">
      <c r="A108" s="6">
        <v>40017</v>
      </c>
      <c r="B108" s="9" t="s">
        <v>502</v>
      </c>
      <c r="C108" s="9" t="s">
        <v>302</v>
      </c>
      <c r="D108" s="9" t="s">
        <v>306</v>
      </c>
      <c r="E108" s="9" t="s">
        <v>505</v>
      </c>
      <c r="F108" s="7">
        <v>15</v>
      </c>
      <c r="G108">
        <v>7.5</v>
      </c>
      <c r="H108">
        <v>4</v>
      </c>
      <c r="I108">
        <v>4</v>
      </c>
      <c r="J108" s="9" t="s">
        <v>404</v>
      </c>
      <c r="K108" s="9" t="s">
        <v>405</v>
      </c>
      <c r="L108" t="s">
        <v>170</v>
      </c>
      <c r="M108" t="s">
        <v>170</v>
      </c>
      <c r="N108" s="11" t="s">
        <v>409</v>
      </c>
      <c r="O108">
        <v>2</v>
      </c>
      <c r="P108">
        <v>1</v>
      </c>
      <c r="Q108" s="12"/>
      <c r="R108" s="12">
        <v>1</v>
      </c>
      <c r="S108" s="12"/>
      <c r="T108" s="12">
        <v>1</v>
      </c>
      <c r="U108" s="12"/>
      <c r="V108" s="12"/>
      <c r="W108" s="12"/>
      <c r="X108" s="12"/>
      <c r="AC108">
        <f>(0*(0.0156*(7^3))+0*(0.0156*(8^3))+0*(0.0156*(9^3))+0*(0.0156*(10^3))+0*(0.0156*(12^3))+1*(0.0156*(12.5^3)))+(S108*(0.0156*(17.5^3)))+(T108*(0.0156*(22.5^3)))+(U108*(0.0156*(27.5^3)))+(V108*(0.0156*(32.5^3)))+(W108*(0.0156*(37.5^3)))+(X108*(0.0156*(42.5^3)))+(Y108*(0.0156*(27.5^3)))</f>
        <v>208.16249999999999</v>
      </c>
    </row>
    <row r="109" spans="1:30" hidden="1">
      <c r="A109" s="6">
        <v>40017</v>
      </c>
      <c r="B109" s="9" t="s">
        <v>502</v>
      </c>
      <c r="C109" s="9" t="s">
        <v>302</v>
      </c>
      <c r="D109" s="9" t="s">
        <v>306</v>
      </c>
      <c r="E109" s="9" t="s">
        <v>505</v>
      </c>
      <c r="F109" s="7">
        <v>15</v>
      </c>
      <c r="G109">
        <v>7.5</v>
      </c>
      <c r="H109">
        <v>4</v>
      </c>
      <c r="I109">
        <v>4</v>
      </c>
      <c r="J109" s="9" t="s">
        <v>404</v>
      </c>
      <c r="K109" s="9" t="s">
        <v>405</v>
      </c>
      <c r="L109" t="s">
        <v>199</v>
      </c>
      <c r="M109" t="s">
        <v>175</v>
      </c>
      <c r="N109" s="11" t="s">
        <v>38</v>
      </c>
      <c r="O109">
        <v>56</v>
      </c>
      <c r="P109">
        <v>0</v>
      </c>
      <c r="Q109" s="12" t="s">
        <v>122</v>
      </c>
      <c r="R109" s="12"/>
      <c r="S109" s="12"/>
      <c r="T109" s="12"/>
      <c r="U109" s="12"/>
      <c r="V109" s="12"/>
      <c r="W109" s="12"/>
      <c r="X109" s="12"/>
      <c r="AB109">
        <v>0</v>
      </c>
      <c r="AC109">
        <f>(56*(0.0175*(8^3))+R109*(0.0175*(12.5^3)))+(S109*(0.0175*(17.5^3)))+(T109*(0.0175*(22.5^3)))+(U109*(0.0175*(27.5^3)))+(V109*(0.0175*(32.5^3)))+(W109*(0.0175*(37.5^3)))+(X109*(0.0175*(42.5^3)))+(Y109*(0.0175*(27.5^3)))</f>
        <v>501.76000000000005</v>
      </c>
      <c r="AD109">
        <f>((S109*(0.0175*(17.5^3)))+(T109*(0.0175*(22.5^3)))+(U109*(0.0175*(27.5^3)))+(V109*(0.0175*(32.5^3)))+(W109*(0.0175*(37.5^3)))+(X109*(0.0175*(42.5^3)))+(Y109*(0.0175*(27.5^3))))</f>
        <v>0</v>
      </c>
    </row>
    <row r="110" spans="1:30">
      <c r="A110" s="6">
        <v>40017</v>
      </c>
      <c r="B110" s="9" t="s">
        <v>502</v>
      </c>
      <c r="C110" s="9" t="s">
        <v>302</v>
      </c>
      <c r="D110" s="9" t="s">
        <v>306</v>
      </c>
      <c r="E110" s="9" t="s">
        <v>505</v>
      </c>
      <c r="F110" s="7">
        <v>15</v>
      </c>
      <c r="G110">
        <v>6</v>
      </c>
      <c r="H110">
        <v>5</v>
      </c>
      <c r="I110">
        <v>5</v>
      </c>
      <c r="J110" s="9" t="s">
        <v>404</v>
      </c>
      <c r="K110" s="9" t="s">
        <v>405</v>
      </c>
      <c r="L110" t="s">
        <v>252</v>
      </c>
      <c r="M110" t="s">
        <v>263</v>
      </c>
      <c r="N110" s="11" t="s">
        <v>211</v>
      </c>
      <c r="O110">
        <v>45</v>
      </c>
      <c r="P110">
        <v>2</v>
      </c>
      <c r="Q110" s="12" t="s">
        <v>123</v>
      </c>
      <c r="R110" s="12">
        <v>22</v>
      </c>
      <c r="S110">
        <v>2</v>
      </c>
      <c r="AA110" t="s">
        <v>124</v>
      </c>
      <c r="AB110">
        <v>226.16562500000001</v>
      </c>
      <c r="AC110">
        <f>(R110*(0.0211*(12.5^3)))+(S110*(0.0211*(17.5^3)))+(T110*(0.0211*(22.5^3)))+(U110*(0.0211*(27.5^3)))+(V110*(0.0211*(32.5^3)))+(W110*(0.0211*(37.5^3)))+(X110*(0.0211*(42.5^3)))+(Y110*(0.0211*(27.5^3)))</f>
        <v>1132.8062500000001</v>
      </c>
      <c r="AD110">
        <f>(S110*(0.0211*(17.5^3)))+(T110*(0.0211*(22.5^3)))+(U110*(0.0211*(27.5^3)))+(V110*(0.0211*(32.5^3)))+(W110*(0.0211*(37.5^3)))+(X110*(0.0211*(42.5^3)))+(Y110*(0.0211*(27.5^3)))</f>
        <v>226.16562500000001</v>
      </c>
    </row>
    <row r="111" spans="1:30" hidden="1">
      <c r="A111" s="6">
        <v>40017</v>
      </c>
      <c r="B111" s="9" t="s">
        <v>502</v>
      </c>
      <c r="C111" s="9" t="s">
        <v>302</v>
      </c>
      <c r="D111" s="9" t="s">
        <v>306</v>
      </c>
      <c r="E111" s="9" t="s">
        <v>505</v>
      </c>
      <c r="F111" s="7">
        <v>15</v>
      </c>
      <c r="G111">
        <v>6</v>
      </c>
      <c r="H111">
        <v>5</v>
      </c>
      <c r="I111">
        <v>5</v>
      </c>
      <c r="J111" s="9" t="s">
        <v>404</v>
      </c>
      <c r="K111" s="9" t="s">
        <v>405</v>
      </c>
      <c r="L111" t="s">
        <v>199</v>
      </c>
      <c r="M111" t="s">
        <v>175</v>
      </c>
      <c r="N111" s="11" t="s">
        <v>38</v>
      </c>
      <c r="O111">
        <v>1</v>
      </c>
      <c r="P111">
        <v>0</v>
      </c>
      <c r="Q111" s="12" t="s">
        <v>501</v>
      </c>
      <c r="AB111">
        <v>0</v>
      </c>
      <c r="AC111">
        <f>(1*(0.0175*(7^3))+R111*(0.0175*(12.5^3)))+(S111*(0.0175*(17.5^3)))+(T111*(0.0175*(22.5^3)))+(U111*(0.0175*(27.5^3)))+(V111*(0.0175*(32.5^3)))+(W111*(0.0175*(37.5^3)))+(X111*(0.0175*(42.5^3)))+(Y111*(0.0175*(27.5^3)))</f>
        <v>6.0025000000000004</v>
      </c>
      <c r="AD111">
        <f>((S111*(0.0175*(17.5^3)))+(T111*(0.0175*(22.5^3)))+(U111*(0.0175*(27.5^3)))+(V111*(0.0175*(32.5^3)))+(W111*(0.0175*(37.5^3)))+(X111*(0.0175*(42.5^3)))+(Y111*(0.0175*(27.5^3))))</f>
        <v>0</v>
      </c>
    </row>
    <row r="112" spans="1:30" hidden="1">
      <c r="A112" s="6">
        <v>40017</v>
      </c>
      <c r="B112" s="9" t="s">
        <v>502</v>
      </c>
      <c r="C112" s="9" t="s">
        <v>302</v>
      </c>
      <c r="D112" s="9" t="s">
        <v>306</v>
      </c>
      <c r="E112" s="9" t="s">
        <v>505</v>
      </c>
      <c r="F112" s="7">
        <v>15</v>
      </c>
      <c r="G112">
        <v>6</v>
      </c>
      <c r="H112">
        <v>5</v>
      </c>
      <c r="I112">
        <v>5</v>
      </c>
      <c r="J112" s="9" t="s">
        <v>404</v>
      </c>
      <c r="K112" s="9" t="s">
        <v>405</v>
      </c>
      <c r="L112" t="s">
        <v>170</v>
      </c>
      <c r="M112" t="s">
        <v>170</v>
      </c>
      <c r="N112" s="11" t="s">
        <v>409</v>
      </c>
      <c r="O112">
        <v>2</v>
      </c>
      <c r="P112">
        <v>1</v>
      </c>
      <c r="Q112" s="12"/>
      <c r="R112">
        <v>1</v>
      </c>
      <c r="S112">
        <v>1</v>
      </c>
      <c r="AC112">
        <f>(0*(0.0156*(7^3))+0*(0.0156*(8^3))+0*(0.0156*(9^3))+0*(0.0156*(10^3))+0*(0.0156*(12^3))+1*(0.0156*(12.5^3)))+(S112*(0.0156*(17.5^3)))+(T112*(0.0156*(22.5^3)))+(U112*(0.0156*(27.5^3)))+(V112*(0.0156*(32.5^3)))+(W112*(0.0156*(37.5^3)))+(X112*(0.0156*(42.5^3)))+(Y112*(0.0156*(27.5^3)))</f>
        <v>114.075</v>
      </c>
    </row>
    <row r="113" spans="1:30" hidden="1">
      <c r="A113" s="6">
        <v>40017</v>
      </c>
      <c r="B113" s="9" t="s">
        <v>502</v>
      </c>
      <c r="C113" s="9" t="s">
        <v>302</v>
      </c>
      <c r="D113" s="9" t="s">
        <v>306</v>
      </c>
      <c r="E113" s="9" t="s">
        <v>505</v>
      </c>
      <c r="F113" s="7">
        <v>15</v>
      </c>
      <c r="G113">
        <v>6</v>
      </c>
      <c r="H113">
        <v>5</v>
      </c>
      <c r="I113">
        <v>5</v>
      </c>
      <c r="J113" s="9" t="s">
        <v>404</v>
      </c>
      <c r="K113" s="9" t="s">
        <v>405</v>
      </c>
      <c r="L113" t="s">
        <v>170</v>
      </c>
      <c r="M113" t="s">
        <v>170</v>
      </c>
      <c r="N113" s="11" t="s">
        <v>238</v>
      </c>
      <c r="O113">
        <v>1</v>
      </c>
      <c r="P113">
        <v>0</v>
      </c>
      <c r="Q113" s="12" t="s">
        <v>490</v>
      </c>
      <c r="AC113">
        <f>(0*(0.0156*(7^3))+1*(0.0156*(8^3))+0*(0.0156*(9^3))+0*(0.0156*(10^3))+0*(0.0156*(12^3))+0*(0.0156*(12.5^3)))+(S113*(0.0156*(17.5^3)))+(T113*(0.0156*(22.5^3)))+(U113*(0.0156*(27.5^3)))+(V113*(0.0156*(32.5^3)))+(W113*(0.0156*(37.5^3)))+(X113*(0.0156*(42.5^3)))+(Y113*(0.0156*(27.5^3)))</f>
        <v>7.9871999999999996</v>
      </c>
    </row>
    <row r="114" spans="1:30">
      <c r="A114" s="6">
        <v>40017</v>
      </c>
      <c r="B114" s="9" t="s">
        <v>502</v>
      </c>
      <c r="C114" s="9" t="s">
        <v>302</v>
      </c>
      <c r="D114" s="9" t="s">
        <v>306</v>
      </c>
      <c r="E114" s="9" t="s">
        <v>505</v>
      </c>
      <c r="F114" s="7">
        <v>15</v>
      </c>
      <c r="G114">
        <v>5.9</v>
      </c>
      <c r="H114">
        <v>6</v>
      </c>
      <c r="I114">
        <v>6</v>
      </c>
      <c r="J114" s="9" t="s">
        <v>404</v>
      </c>
      <c r="K114" s="9" t="s">
        <v>405</v>
      </c>
      <c r="L114" t="s">
        <v>252</v>
      </c>
      <c r="M114" t="s">
        <v>263</v>
      </c>
      <c r="N114" s="11" t="s">
        <v>211</v>
      </c>
      <c r="O114">
        <v>54</v>
      </c>
      <c r="P114">
        <v>1</v>
      </c>
      <c r="Q114" s="11" t="s">
        <v>185</v>
      </c>
      <c r="R114">
        <v>4</v>
      </c>
      <c r="S114">
        <v>1</v>
      </c>
      <c r="AB114">
        <v>113.0828125</v>
      </c>
      <c r="AC114">
        <f>(R114*(0.0211*(12.5^3)))+(S114*(0.0211*(17.5^3)))+(T114*(0.0211*(22.5^3)))+(U114*(0.0211*(27.5^3)))+(V114*(0.0211*(32.5^3)))+(W114*(0.0211*(37.5^3)))+(X114*(0.0211*(42.5^3)))+(Y114*(0.0211*(27.5^3)))</f>
        <v>277.92656249999999</v>
      </c>
      <c r="AD114">
        <f>(S114*(0.0211*(17.5^3)))+(T114*(0.0211*(22.5^3)))+(U114*(0.0211*(27.5^3)))+(V114*(0.0211*(32.5^3)))+(W114*(0.0211*(37.5^3)))+(X114*(0.0211*(42.5^3)))+(Y114*(0.0211*(27.5^3)))</f>
        <v>113.0828125</v>
      </c>
    </row>
    <row r="115" spans="1:30" hidden="1">
      <c r="A115" s="6">
        <v>40017</v>
      </c>
      <c r="B115" s="9" t="s">
        <v>502</v>
      </c>
      <c r="C115" s="9" t="s">
        <v>302</v>
      </c>
      <c r="D115" s="9" t="s">
        <v>306</v>
      </c>
      <c r="E115" s="9" t="s">
        <v>505</v>
      </c>
      <c r="F115" s="7">
        <v>15</v>
      </c>
      <c r="G115">
        <v>5.9</v>
      </c>
      <c r="H115">
        <v>6</v>
      </c>
      <c r="I115">
        <v>6</v>
      </c>
      <c r="J115" s="9" t="s">
        <v>404</v>
      </c>
      <c r="K115" s="9" t="s">
        <v>405</v>
      </c>
      <c r="L115" t="s">
        <v>170</v>
      </c>
      <c r="M115" t="s">
        <v>170</v>
      </c>
      <c r="N115" s="11" t="s">
        <v>406</v>
      </c>
      <c r="O115">
        <v>1</v>
      </c>
      <c r="P115">
        <v>1</v>
      </c>
      <c r="T115">
        <v>1</v>
      </c>
      <c r="AC115">
        <f>(0*(0.0156*(7^3))+0*(0.0156*(8^3))+0*(0.0156*(9^3))+0*(0.0156*(10^3))+0*(0.0156*(12^3))+0*(0.0156*(12.5^3)))+(S115*(0.0156*(17.5^3)))+(T115*(0.0156*(22.5^3)))+(U115*(0.0156*(27.5^3)))+(V115*(0.0156*(32.5^3)))+(W115*(0.0156*(37.5^3)))+(X115*(0.0156*(42.5^3)))+(Y115*(0.0156*(27.5^3)))</f>
        <v>177.69374999999999</v>
      </c>
    </row>
    <row r="116" spans="1:30" hidden="1">
      <c r="A116" s="6">
        <v>40017</v>
      </c>
      <c r="B116" s="9" t="s">
        <v>502</v>
      </c>
      <c r="C116" s="9" t="s">
        <v>302</v>
      </c>
      <c r="D116" s="9" t="s">
        <v>306</v>
      </c>
      <c r="E116" s="9" t="s">
        <v>505</v>
      </c>
      <c r="F116" s="7">
        <v>15</v>
      </c>
      <c r="G116">
        <v>5.9</v>
      </c>
      <c r="H116">
        <v>6</v>
      </c>
      <c r="I116">
        <v>6</v>
      </c>
      <c r="J116" s="9" t="s">
        <v>404</v>
      </c>
      <c r="K116" s="9" t="s">
        <v>405</v>
      </c>
      <c r="L116" t="s">
        <v>170</v>
      </c>
      <c r="M116" t="s">
        <v>170</v>
      </c>
      <c r="N116" s="11" t="s">
        <v>238</v>
      </c>
      <c r="O116">
        <v>2</v>
      </c>
      <c r="P116">
        <v>0</v>
      </c>
      <c r="Q116" t="s">
        <v>489</v>
      </c>
      <c r="R116">
        <v>1</v>
      </c>
      <c r="AC116">
        <f>(0*(0.0156*(7^3))+0*(0.0156*(8^3))+1*(0.0156*(9^3))+0*(0.0156*(10^3))+0*(0.0156*(12^3))+1*(0.0156*(12.5^3)))+(S116*(0.0156*(17.5^3)))+(T116*(0.0156*(22.5^3)))+(U116*(0.0156*(27.5^3)))+(V116*(0.0156*(32.5^3)))+(W116*(0.0156*(37.5^3)))+(X116*(0.0156*(42.5^3)))+(Y116*(0.0156*(27.5^3)))</f>
        <v>41.841149999999999</v>
      </c>
    </row>
    <row r="117" spans="1:30" hidden="1">
      <c r="A117" s="6">
        <v>40018</v>
      </c>
      <c r="B117" s="9" t="s">
        <v>502</v>
      </c>
      <c r="C117" s="9" t="s">
        <v>186</v>
      </c>
      <c r="D117" s="9" t="s">
        <v>187</v>
      </c>
      <c r="E117" s="9" t="s">
        <v>505</v>
      </c>
      <c r="F117" s="7">
        <v>20</v>
      </c>
      <c r="G117" t="s">
        <v>188</v>
      </c>
      <c r="H117">
        <v>1</v>
      </c>
      <c r="I117">
        <v>1</v>
      </c>
      <c r="J117" s="9" t="s">
        <v>404</v>
      </c>
      <c r="K117" s="9" t="s">
        <v>405</v>
      </c>
      <c r="L117" t="s">
        <v>170</v>
      </c>
      <c r="M117" t="s">
        <v>170</v>
      </c>
      <c r="N117" s="11" t="s">
        <v>406</v>
      </c>
      <c r="O117">
        <v>1</v>
      </c>
      <c r="P117">
        <v>1</v>
      </c>
      <c r="U117">
        <v>1</v>
      </c>
      <c r="AC117">
        <f>(0*(0.0156*(7^3))+0*(0.0156*(8^3))+0*(0.0156*(9^3))+0*(0.0156*(10^3))+0*(0.0156*(12^3))+0*(0.0156*(12.5^3)))+(S117*(0.0156*(17.5^3)))+(T117*(0.0156*(22.5^3)))+(U117*(0.0156*(27.5^3)))+(V117*(0.0156*(32.5^3)))+(W117*(0.0156*(37.5^3)))+(X117*(0.0156*(42.5^3)))+(Y117*(0.0156*(27.5^3)))</f>
        <v>324.43124999999998</v>
      </c>
    </row>
    <row r="118" spans="1:30" hidden="1">
      <c r="A118" s="6">
        <v>40018</v>
      </c>
      <c r="B118" s="9" t="s">
        <v>502</v>
      </c>
      <c r="C118" s="9" t="s">
        <v>186</v>
      </c>
      <c r="D118" s="9" t="s">
        <v>187</v>
      </c>
      <c r="E118" s="9" t="s">
        <v>505</v>
      </c>
      <c r="F118" s="7">
        <v>20</v>
      </c>
      <c r="G118" t="s">
        <v>188</v>
      </c>
      <c r="H118">
        <v>1</v>
      </c>
      <c r="I118">
        <v>1</v>
      </c>
      <c r="J118" s="9" t="s">
        <v>404</v>
      </c>
      <c r="K118" s="9" t="s">
        <v>405</v>
      </c>
      <c r="L118" t="s">
        <v>174</v>
      </c>
      <c r="M118" t="s">
        <v>174</v>
      </c>
      <c r="N118" s="11" t="s">
        <v>210</v>
      </c>
      <c r="O118">
        <v>2</v>
      </c>
      <c r="P118">
        <v>2</v>
      </c>
      <c r="U118">
        <v>1</v>
      </c>
      <c r="V118">
        <v>1</v>
      </c>
      <c r="AC118">
        <f>(U118*(0.013*(27.5^3)))+(V118*(0.013*(32.5^3)))</f>
        <v>716.625</v>
      </c>
    </row>
    <row r="119" spans="1:30" hidden="1">
      <c r="A119" s="6">
        <v>40018</v>
      </c>
      <c r="B119" s="9" t="s">
        <v>502</v>
      </c>
      <c r="C119" s="9" t="s">
        <v>186</v>
      </c>
      <c r="D119" s="9" t="s">
        <v>187</v>
      </c>
      <c r="E119" s="9" t="s">
        <v>505</v>
      </c>
      <c r="F119" s="7">
        <v>20</v>
      </c>
      <c r="G119" t="s">
        <v>188</v>
      </c>
      <c r="H119">
        <v>1</v>
      </c>
      <c r="I119">
        <v>1</v>
      </c>
      <c r="J119" s="9" t="s">
        <v>404</v>
      </c>
      <c r="K119" s="9" t="s">
        <v>405</v>
      </c>
      <c r="L119" t="s">
        <v>170</v>
      </c>
      <c r="M119" t="s">
        <v>170</v>
      </c>
      <c r="N119" s="11" t="s">
        <v>409</v>
      </c>
      <c r="O119">
        <v>3</v>
      </c>
      <c r="P119">
        <v>3</v>
      </c>
      <c r="T119">
        <v>1</v>
      </c>
      <c r="U119">
        <v>2</v>
      </c>
      <c r="AC119">
        <f>(0*(0.0156*(7^3))+0*(0.0156*(8^3))+0*(0.0156*(9^3))+0*(0.0156*(10^3))+0*(0.0156*(12^3))+0*(0.0156*(12.5^3)))+(S119*(0.0156*(17.5^3)))+(T119*(0.0156*(22.5^3)))+(U119*(0.0156*(27.5^3)))+(V119*(0.0156*(32.5^3)))+(W119*(0.0156*(37.5^3)))+(X119*(0.0156*(42.5^3)))+(Y119*(0.0156*(27.5^3)))</f>
        <v>826.55624999999998</v>
      </c>
    </row>
    <row r="120" spans="1:30" hidden="1">
      <c r="A120" s="6">
        <v>40018</v>
      </c>
      <c r="B120" s="9" t="s">
        <v>502</v>
      </c>
      <c r="C120" s="9" t="s">
        <v>186</v>
      </c>
      <c r="D120" s="9" t="s">
        <v>187</v>
      </c>
      <c r="E120" s="9" t="s">
        <v>505</v>
      </c>
      <c r="F120" s="7">
        <v>20</v>
      </c>
      <c r="G120" t="s">
        <v>188</v>
      </c>
      <c r="H120">
        <v>1</v>
      </c>
      <c r="I120">
        <v>1</v>
      </c>
      <c r="J120" s="9" t="s">
        <v>404</v>
      </c>
      <c r="K120" s="9" t="s">
        <v>405</v>
      </c>
      <c r="L120" t="s">
        <v>170</v>
      </c>
      <c r="M120" t="s">
        <v>170</v>
      </c>
      <c r="N120" s="11" t="s">
        <v>238</v>
      </c>
      <c r="O120">
        <v>5</v>
      </c>
      <c r="P120">
        <v>0</v>
      </c>
      <c r="R120">
        <v>5</v>
      </c>
      <c r="AC120">
        <f>(0*(0.0156*(7^3))+0*(0.0156*(8^3))+0*(0.0156*(9^3))+0*(0.0156*(10^3))+0*(0.0156*(12^3))+5*(0.0156*(12.5^3)))+(S120*(0.0156*(17.5^3)))+(T120*(0.0156*(22.5^3)))+(U120*(0.0156*(27.5^3)))+(V120*(0.0156*(32.5^3)))+(W120*(0.0156*(37.5^3)))+(X120*(0.0156*(42.5^3)))+(Y120*(0.0156*(27.5^3)))</f>
        <v>152.34375</v>
      </c>
    </row>
    <row r="121" spans="1:30" hidden="1">
      <c r="A121" s="6">
        <v>40018</v>
      </c>
      <c r="B121" s="9" t="s">
        <v>502</v>
      </c>
      <c r="C121" s="9" t="s">
        <v>186</v>
      </c>
      <c r="D121" s="9" t="s">
        <v>187</v>
      </c>
      <c r="E121" s="9" t="s">
        <v>505</v>
      </c>
      <c r="F121" s="7">
        <v>20</v>
      </c>
      <c r="G121" t="s">
        <v>188</v>
      </c>
      <c r="H121">
        <v>1</v>
      </c>
      <c r="I121">
        <v>1</v>
      </c>
      <c r="J121" s="9" t="s">
        <v>404</v>
      </c>
      <c r="K121" s="9" t="s">
        <v>405</v>
      </c>
      <c r="L121" s="9" t="s">
        <v>54</v>
      </c>
      <c r="M121" s="9" t="s">
        <v>60</v>
      </c>
      <c r="N121" s="11" t="s">
        <v>304</v>
      </c>
      <c r="O121">
        <v>11</v>
      </c>
      <c r="P121">
        <v>2</v>
      </c>
      <c r="Q121" s="12">
        <v>8</v>
      </c>
      <c r="R121" t="s">
        <v>12</v>
      </c>
      <c r="S121">
        <v>1</v>
      </c>
      <c r="U121">
        <v>1</v>
      </c>
      <c r="AC121">
        <f>(1*(0.0000055*(80^3.185)))+(1*(0.0000055*(110^3.185)))+(S121*(0.0000055*(175^3.185)))+(U121*(0.0000055*(275^3.185)))</f>
        <v>423.76118373838494</v>
      </c>
    </row>
    <row r="122" spans="1:30" hidden="1">
      <c r="A122" s="6">
        <v>40018</v>
      </c>
      <c r="B122" s="9" t="s">
        <v>502</v>
      </c>
      <c r="C122" s="9" t="s">
        <v>186</v>
      </c>
      <c r="D122" s="9" t="s">
        <v>13</v>
      </c>
      <c r="E122" s="9" t="s">
        <v>505</v>
      </c>
      <c r="F122" s="8" t="s">
        <v>14</v>
      </c>
      <c r="G122" t="s">
        <v>15</v>
      </c>
      <c r="H122">
        <v>2</v>
      </c>
      <c r="I122">
        <v>2</v>
      </c>
      <c r="J122" s="9" t="s">
        <v>404</v>
      </c>
      <c r="K122" s="9" t="s">
        <v>405</v>
      </c>
      <c r="L122" t="s">
        <v>170</v>
      </c>
      <c r="M122" t="s">
        <v>170</v>
      </c>
      <c r="N122" s="11" t="s">
        <v>409</v>
      </c>
      <c r="O122">
        <v>3</v>
      </c>
      <c r="P122">
        <v>3</v>
      </c>
      <c r="S122">
        <v>1</v>
      </c>
      <c r="T122">
        <v>1</v>
      </c>
      <c r="W122">
        <v>1</v>
      </c>
      <c r="AC122">
        <f>(0*(0.0156*(7^3))+0*(0.0156*(8^3))+0*(0.0156*(9^3))+0*(0.0156*(10^3))+0*(0.0156*(12^3))+0*(0.0156*(12.5^3)))+(S122*(0.0156*(17.5^3)))+(T122*(0.0156*(22.5^3)))+(U122*(0.0156*(27.5^3)))+(V122*(0.0156*(32.5^3)))+(W122*(0.0156*(37.5^3)))+(X122*(0.0156*(42.5^3)))+(Y122*(0.0156*(27.5^3)))</f>
        <v>1083.95625</v>
      </c>
    </row>
    <row r="123" spans="1:30" hidden="1">
      <c r="A123" s="6">
        <v>40018</v>
      </c>
      <c r="B123" s="9" t="s">
        <v>502</v>
      </c>
      <c r="C123" s="9" t="s">
        <v>186</v>
      </c>
      <c r="D123" s="9" t="s">
        <v>13</v>
      </c>
      <c r="E123" s="9" t="s">
        <v>505</v>
      </c>
      <c r="F123" s="8" t="s">
        <v>14</v>
      </c>
      <c r="G123" t="s">
        <v>15</v>
      </c>
      <c r="H123">
        <v>2</v>
      </c>
      <c r="I123">
        <v>2</v>
      </c>
      <c r="J123" s="9" t="s">
        <v>404</v>
      </c>
      <c r="K123" s="9" t="s">
        <v>405</v>
      </c>
      <c r="L123" s="9" t="s">
        <v>83</v>
      </c>
      <c r="M123" t="s">
        <v>60</v>
      </c>
      <c r="N123" s="11" t="s">
        <v>448</v>
      </c>
      <c r="O123">
        <v>1</v>
      </c>
      <c r="P123">
        <v>1</v>
      </c>
      <c r="S123">
        <v>1</v>
      </c>
      <c r="AC123">
        <f>(1*(0.0000055*(175^3.185)))</f>
        <v>76.637066856170094</v>
      </c>
    </row>
    <row r="124" spans="1:30" hidden="1">
      <c r="A124" s="6">
        <v>40018</v>
      </c>
      <c r="B124" s="9" t="s">
        <v>502</v>
      </c>
      <c r="C124" s="9" t="s">
        <v>186</v>
      </c>
      <c r="D124" s="9" t="s">
        <v>13</v>
      </c>
      <c r="E124" s="9" t="s">
        <v>505</v>
      </c>
      <c r="F124" s="8" t="s">
        <v>14</v>
      </c>
      <c r="G124" t="s">
        <v>15</v>
      </c>
      <c r="H124">
        <v>2</v>
      </c>
      <c r="I124">
        <v>2</v>
      </c>
      <c r="J124" s="9" t="s">
        <v>404</v>
      </c>
      <c r="K124" s="9" t="s">
        <v>405</v>
      </c>
      <c r="L124" t="s">
        <v>170</v>
      </c>
      <c r="M124" t="s">
        <v>170</v>
      </c>
      <c r="N124" s="11" t="s">
        <v>238</v>
      </c>
      <c r="O124">
        <v>3</v>
      </c>
      <c r="P124">
        <v>0</v>
      </c>
      <c r="Q124" t="s">
        <v>16</v>
      </c>
      <c r="R124" t="s">
        <v>447</v>
      </c>
      <c r="AC124">
        <f>(1*(0.0156*(6^3))+1*(0.0156*(8^3))+0*(0.0156*(9^3))+1*(0.0156*(10^3))+0*(0.0156*(12^3))+0*(0.0156*(12.5^3)))+(S124*(0.0156*(17.5^3)))+(T124*(0.0156*(22.5^3)))+(U124*(0.0156*(27.5^3)))+(V124*(0.0156*(32.5^3)))+(W124*(0.0156*(37.5^3)))+(X124*(0.0156*(42.5^3)))+(Y124*(0.0156*(27.5^3)))</f>
        <v>26.956800000000001</v>
      </c>
    </row>
    <row r="125" spans="1:30" hidden="1">
      <c r="A125" s="6">
        <v>40018</v>
      </c>
      <c r="B125" s="9" t="s">
        <v>502</v>
      </c>
      <c r="C125" s="9" t="s">
        <v>186</v>
      </c>
      <c r="D125" s="9" t="s">
        <v>13</v>
      </c>
      <c r="E125" s="9" t="s">
        <v>505</v>
      </c>
      <c r="F125" s="8" t="s">
        <v>14</v>
      </c>
      <c r="G125" t="s">
        <v>15</v>
      </c>
      <c r="H125">
        <v>2</v>
      </c>
      <c r="I125">
        <v>2</v>
      </c>
      <c r="J125" s="9" t="s">
        <v>404</v>
      </c>
      <c r="K125" s="9" t="s">
        <v>405</v>
      </c>
      <c r="L125" s="9" t="s">
        <v>77</v>
      </c>
      <c r="M125" t="s">
        <v>65</v>
      </c>
      <c r="N125" s="11" t="s">
        <v>407</v>
      </c>
      <c r="O125">
        <v>8</v>
      </c>
      <c r="P125">
        <v>0</v>
      </c>
      <c r="Q125">
        <v>8</v>
      </c>
      <c r="AC125">
        <f>1*(0.0004*(8^3.43))</f>
        <v>0.50079345774267114</v>
      </c>
    </row>
    <row r="126" spans="1:30" hidden="1">
      <c r="A126" s="6">
        <v>40018</v>
      </c>
      <c r="B126" s="9" t="s">
        <v>502</v>
      </c>
      <c r="C126" s="9" t="s">
        <v>186</v>
      </c>
      <c r="D126" s="9" t="s">
        <v>13</v>
      </c>
      <c r="E126" s="9" t="s">
        <v>505</v>
      </c>
      <c r="F126" s="8" t="s">
        <v>14</v>
      </c>
      <c r="G126" t="s">
        <v>17</v>
      </c>
      <c r="H126">
        <v>3</v>
      </c>
      <c r="I126">
        <v>3</v>
      </c>
      <c r="J126" s="9" t="s">
        <v>404</v>
      </c>
      <c r="K126" s="9" t="s">
        <v>405</v>
      </c>
      <c r="L126" t="s">
        <v>170</v>
      </c>
      <c r="M126" t="s">
        <v>170</v>
      </c>
      <c r="N126" s="11" t="s">
        <v>238</v>
      </c>
      <c r="O126">
        <v>2</v>
      </c>
      <c r="P126">
        <v>0</v>
      </c>
      <c r="Q126" s="11" t="s">
        <v>143</v>
      </c>
      <c r="AC126">
        <f>(0*(0.0156*(7^3))+1*(0.0156*(8^3))+1*(0.0156*(9^3))+0*(0.0156*(10^3))+0*(0.0156*(12^3))+0*(0.0156*(12.5^3)))+(S126*(0.0156*(17.5^3)))+(T126*(0.0156*(22.5^3)))+(U126*(0.0156*(27.5^3)))+(V126*(0.0156*(32.5^3)))+(W126*(0.0156*(37.5^3)))+(X126*(0.0156*(42.5^3)))+(Y126*(0.0156*(27.5^3)))</f>
        <v>19.3596</v>
      </c>
    </row>
    <row r="127" spans="1:30" hidden="1">
      <c r="A127" s="6">
        <v>40018</v>
      </c>
      <c r="B127" s="9" t="s">
        <v>502</v>
      </c>
      <c r="C127" s="9" t="s">
        <v>186</v>
      </c>
      <c r="D127" s="9" t="s">
        <v>13</v>
      </c>
      <c r="E127" s="9" t="s">
        <v>505</v>
      </c>
      <c r="F127" s="8" t="s">
        <v>14</v>
      </c>
      <c r="G127" t="s">
        <v>17</v>
      </c>
      <c r="H127">
        <v>3</v>
      </c>
      <c r="I127">
        <v>3</v>
      </c>
      <c r="J127" s="9" t="s">
        <v>404</v>
      </c>
      <c r="K127" s="9" t="s">
        <v>405</v>
      </c>
      <c r="L127" t="s">
        <v>170</v>
      </c>
      <c r="M127" t="s">
        <v>170</v>
      </c>
      <c r="N127" s="11" t="s">
        <v>409</v>
      </c>
      <c r="O127">
        <v>2</v>
      </c>
      <c r="P127">
        <v>0</v>
      </c>
      <c r="R127">
        <v>2</v>
      </c>
      <c r="AC127">
        <f>(0*(0.0156*(7^3))+0*(0.0156*(8^3))+0*(0.0156*(9^3))+0*(0.0156*(10^3))+0*(0.0156*(12^3))+2*(0.0156*(12.5^3)))+(S127*(0.0156*(17.5^3)))+(T127*(0.0156*(22.5^3)))+(U127*(0.0156*(27.5^3)))+(V127*(0.0156*(32.5^3)))+(W127*(0.0156*(37.5^3)))+(X127*(0.0156*(42.5^3)))+(Y127*(0.0156*(27.5^3)))</f>
        <v>60.9375</v>
      </c>
    </row>
    <row r="128" spans="1:30" hidden="1">
      <c r="A128" s="6">
        <v>40018</v>
      </c>
      <c r="B128" s="9" t="s">
        <v>502</v>
      </c>
      <c r="C128" s="9" t="s">
        <v>186</v>
      </c>
      <c r="D128" s="9" t="s">
        <v>13</v>
      </c>
      <c r="E128" s="9" t="s">
        <v>505</v>
      </c>
      <c r="F128" s="8" t="s">
        <v>14</v>
      </c>
      <c r="G128" t="s">
        <v>17</v>
      </c>
      <c r="H128">
        <v>3</v>
      </c>
      <c r="I128">
        <v>3</v>
      </c>
      <c r="J128" s="9" t="s">
        <v>404</v>
      </c>
      <c r="K128" s="9" t="s">
        <v>405</v>
      </c>
      <c r="L128" t="s">
        <v>174</v>
      </c>
      <c r="M128" t="s">
        <v>174</v>
      </c>
      <c r="N128" s="11" t="s">
        <v>210</v>
      </c>
      <c r="O128">
        <v>1</v>
      </c>
      <c r="P128">
        <v>1</v>
      </c>
      <c r="W128">
        <v>1</v>
      </c>
      <c r="AC128">
        <f>(W128*(0.013*(37.5^3)))</f>
        <v>685.546875</v>
      </c>
    </row>
    <row r="129" spans="1:30" hidden="1">
      <c r="A129" s="6">
        <v>40018</v>
      </c>
      <c r="B129" s="9" t="s">
        <v>502</v>
      </c>
      <c r="C129" s="9" t="s">
        <v>186</v>
      </c>
      <c r="D129" s="9" t="s">
        <v>13</v>
      </c>
      <c r="E129" s="9" t="s">
        <v>18</v>
      </c>
      <c r="G129" s="7" t="s">
        <v>136</v>
      </c>
      <c r="H129">
        <v>4</v>
      </c>
      <c r="I129">
        <v>4</v>
      </c>
      <c r="J129" s="9" t="s">
        <v>404</v>
      </c>
      <c r="K129" s="9" t="s">
        <v>405</v>
      </c>
      <c r="L129" t="s">
        <v>170</v>
      </c>
      <c r="M129" t="s">
        <v>170</v>
      </c>
      <c r="N129" s="11" t="s">
        <v>406</v>
      </c>
      <c r="O129">
        <v>1</v>
      </c>
      <c r="P129">
        <v>1</v>
      </c>
      <c r="T129">
        <v>1</v>
      </c>
      <c r="AC129">
        <f>(0*(0.0156*(7^3))+0*(0.0156*(8^3))+0*(0.0156*(9^3))+0*(0.0156*(10^3))+0*(0.0156*(12^3))+0*(0.0156*(12.5^3)))+(S129*(0.0156*(17.5^3)))+(T129*(0.0156*(22.5^3)))+(U129*(0.0156*(27.5^3)))+(V129*(0.0156*(32.5^3)))+(W129*(0.0156*(37.5^3)))+(X129*(0.0156*(42.5^3)))+(Y129*(0.0156*(27.5^3)))</f>
        <v>177.69374999999999</v>
      </c>
    </row>
    <row r="130" spans="1:30" hidden="1">
      <c r="A130" s="6">
        <v>40018</v>
      </c>
      <c r="B130" s="9" t="s">
        <v>502</v>
      </c>
      <c r="C130" s="9" t="s">
        <v>186</v>
      </c>
      <c r="D130" s="9" t="s">
        <v>13</v>
      </c>
      <c r="E130" s="9" t="s">
        <v>18</v>
      </c>
      <c r="G130" s="7" t="s">
        <v>136</v>
      </c>
      <c r="H130">
        <v>4</v>
      </c>
      <c r="I130">
        <v>4</v>
      </c>
      <c r="J130" s="9" t="s">
        <v>404</v>
      </c>
      <c r="K130" s="9" t="s">
        <v>405</v>
      </c>
      <c r="L130" t="s">
        <v>170</v>
      </c>
      <c r="M130" t="s">
        <v>170</v>
      </c>
      <c r="N130" s="11" t="s">
        <v>409</v>
      </c>
      <c r="O130">
        <v>3</v>
      </c>
      <c r="P130">
        <v>3</v>
      </c>
      <c r="S130">
        <v>1</v>
      </c>
      <c r="U130">
        <v>1</v>
      </c>
      <c r="V130">
        <v>1</v>
      </c>
      <c r="AC130">
        <f>(0*(0.0156*(7^3))+0*(0.0156*(8^3))+0*(0.0156*(9^3))+0*(0.0156*(10^3))+0*(0.0156*(12^3))+0*(0.0156*(12.5^3)))+(S130*(0.0156*(17.5^3)))+(T130*(0.0156*(22.5^3)))+(U130*(0.0156*(27.5^3)))+(V130*(0.0156*(32.5^3)))+(W130*(0.0156*(37.5^3)))+(X130*(0.0156*(42.5^3)))+(Y130*(0.0156*(27.5^3)))</f>
        <v>943.55624999999986</v>
      </c>
    </row>
    <row r="131" spans="1:30" hidden="1">
      <c r="A131" s="6">
        <v>40018</v>
      </c>
      <c r="B131" s="9" t="s">
        <v>502</v>
      </c>
      <c r="C131" s="9" t="s">
        <v>186</v>
      </c>
      <c r="D131" s="9" t="s">
        <v>13</v>
      </c>
      <c r="E131" s="9" t="s">
        <v>18</v>
      </c>
      <c r="G131" s="7" t="s">
        <v>136</v>
      </c>
      <c r="H131">
        <v>4</v>
      </c>
      <c r="I131">
        <v>4</v>
      </c>
      <c r="J131" s="9" t="s">
        <v>404</v>
      </c>
      <c r="K131" s="9" t="s">
        <v>405</v>
      </c>
      <c r="L131" s="9" t="s">
        <v>107</v>
      </c>
      <c r="M131" s="9" t="s">
        <v>202</v>
      </c>
      <c r="N131" s="11" t="s">
        <v>335</v>
      </c>
      <c r="O131">
        <v>1</v>
      </c>
      <c r="P131">
        <v>1</v>
      </c>
      <c r="T131">
        <v>1</v>
      </c>
      <c r="AC131">
        <f>(T131*(0.0043*(22.5^3.018)))</f>
        <v>51.803045807752774</v>
      </c>
    </row>
    <row r="132" spans="1:30" hidden="1">
      <c r="A132" s="6">
        <v>40043</v>
      </c>
      <c r="B132" t="s">
        <v>336</v>
      </c>
      <c r="C132" t="s">
        <v>337</v>
      </c>
      <c r="D132" t="s">
        <v>338</v>
      </c>
      <c r="E132" t="s">
        <v>339</v>
      </c>
      <c r="G132" t="s">
        <v>340</v>
      </c>
      <c r="H132">
        <v>1</v>
      </c>
      <c r="I132">
        <v>1</v>
      </c>
      <c r="J132" t="s">
        <v>545</v>
      </c>
      <c r="K132" t="s">
        <v>546</v>
      </c>
      <c r="L132" t="s">
        <v>170</v>
      </c>
      <c r="M132" t="s">
        <v>170</v>
      </c>
      <c r="N132" t="s">
        <v>547</v>
      </c>
      <c r="O132">
        <v>3</v>
      </c>
      <c r="P132">
        <v>3</v>
      </c>
      <c r="T132">
        <v>1</v>
      </c>
      <c r="U132">
        <v>1</v>
      </c>
      <c r="V132">
        <v>1</v>
      </c>
      <c r="AC132">
        <f>(0*(0.0156*(7^3))+0*(0.0156*(8^3))+0*(0.0156*(9^3))+0*(0.0156*(10^3))+0*(0.0156*(12^3))+0*(0.0156*(12.5^3)))+(S132*(0.0156*(17.5^3)))+(T132*(0.0156*(22.5^3)))+(U132*(0.0156*(27.5^3)))+(V132*(0.0156*(32.5^3)))+(W132*(0.0156*(37.5^3)))+(X132*(0.0156*(42.5^3)))+(Y132*(0.0156*(27.5^3)))</f>
        <v>1037.64375</v>
      </c>
    </row>
    <row r="133" spans="1:30" hidden="1">
      <c r="A133" s="6">
        <v>40043</v>
      </c>
      <c r="B133" t="s">
        <v>548</v>
      </c>
      <c r="C133" t="s">
        <v>337</v>
      </c>
      <c r="D133" t="s">
        <v>549</v>
      </c>
      <c r="E133" t="s">
        <v>339</v>
      </c>
      <c r="G133" t="s">
        <v>813</v>
      </c>
      <c r="H133">
        <v>1</v>
      </c>
      <c r="I133">
        <v>1</v>
      </c>
      <c r="J133" t="s">
        <v>552</v>
      </c>
      <c r="K133" t="s">
        <v>445</v>
      </c>
      <c r="L133" t="s">
        <v>177</v>
      </c>
      <c r="M133" t="s">
        <v>202</v>
      </c>
      <c r="N133" t="s">
        <v>553</v>
      </c>
      <c r="O133">
        <v>2</v>
      </c>
      <c r="P133">
        <v>0</v>
      </c>
      <c r="Q133" t="s">
        <v>554</v>
      </c>
      <c r="AC133">
        <f>(2*(0.009*(50^3.06)))/1000</f>
        <v>2.8452518760507912</v>
      </c>
    </row>
    <row r="134" spans="1:30">
      <c r="A134" s="6">
        <v>40043</v>
      </c>
      <c r="B134" t="s">
        <v>548</v>
      </c>
      <c r="C134" t="s">
        <v>337</v>
      </c>
      <c r="D134" t="s">
        <v>555</v>
      </c>
      <c r="E134" t="s">
        <v>556</v>
      </c>
      <c r="G134" t="s">
        <v>557</v>
      </c>
      <c r="H134">
        <v>1</v>
      </c>
      <c r="I134">
        <v>1</v>
      </c>
      <c r="J134" t="s">
        <v>558</v>
      </c>
      <c r="K134" t="s">
        <v>349</v>
      </c>
      <c r="L134" t="s">
        <v>252</v>
      </c>
      <c r="M134" t="s">
        <v>263</v>
      </c>
      <c r="N134" t="s">
        <v>211</v>
      </c>
      <c r="O134">
        <v>19</v>
      </c>
      <c r="P134">
        <v>0</v>
      </c>
      <c r="R134" t="s">
        <v>350</v>
      </c>
      <c r="AB134">
        <v>0</v>
      </c>
      <c r="AC134">
        <f>(4*(0.0211*(12.5^3)))+(S134*(0.0211*(17.5^3)))+(T134*(0.0211*(22.5^3)))+(U134*(0.0211*(27.5^3)))+(V134*(0.0211*(32.5^3)))+(W134*(0.0211*(37.5^3)))+(X134*(0.0211*(42.5^3)))+(Y134*(0.0211*(27.5^3)))</f>
        <v>164.84375</v>
      </c>
      <c r="AD134">
        <f>(S134*(0.0211*(17.5^3)))+(T134*(0.0211*(22.5^3)))+(U134*(0.0211*(27.5^3)))+(V134*(0.0211*(32.5^3)))+(W134*(0.0211*(37.5^3)))+(X134*(0.0211*(42.5^3)))+(Y134*(0.0211*(27.5^3)))</f>
        <v>0</v>
      </c>
    </row>
    <row r="135" spans="1:30" hidden="1">
      <c r="A135" s="6">
        <v>40043</v>
      </c>
      <c r="B135" t="s">
        <v>548</v>
      </c>
      <c r="C135" t="s">
        <v>337</v>
      </c>
      <c r="D135" t="s">
        <v>351</v>
      </c>
      <c r="E135" t="s">
        <v>352</v>
      </c>
      <c r="G135" t="s">
        <v>813</v>
      </c>
      <c r="H135">
        <v>1</v>
      </c>
      <c r="I135">
        <v>1</v>
      </c>
      <c r="J135" t="s">
        <v>552</v>
      </c>
      <c r="K135" t="s">
        <v>445</v>
      </c>
      <c r="L135" t="s">
        <v>172</v>
      </c>
      <c r="M135" t="s">
        <v>65</v>
      </c>
      <c r="N135" t="s">
        <v>563</v>
      </c>
      <c r="O135">
        <v>24</v>
      </c>
      <c r="P135">
        <v>0</v>
      </c>
      <c r="Q135" t="s">
        <v>564</v>
      </c>
      <c r="AC135">
        <f>24*(0.0004*(4^3.43))</f>
        <v>1.1151595380537278</v>
      </c>
    </row>
    <row r="136" spans="1:30" hidden="1">
      <c r="A136" s="6">
        <v>40043</v>
      </c>
      <c r="B136" t="s">
        <v>548</v>
      </c>
      <c r="C136" t="s">
        <v>337</v>
      </c>
      <c r="D136" t="s">
        <v>555</v>
      </c>
      <c r="E136" t="s">
        <v>556</v>
      </c>
      <c r="G136" t="s">
        <v>565</v>
      </c>
      <c r="H136">
        <v>2</v>
      </c>
      <c r="I136">
        <v>2</v>
      </c>
      <c r="J136" t="s">
        <v>558</v>
      </c>
      <c r="K136" t="s">
        <v>349</v>
      </c>
      <c r="L136" t="s">
        <v>170</v>
      </c>
      <c r="M136" t="s">
        <v>170</v>
      </c>
      <c r="N136" t="s">
        <v>359</v>
      </c>
      <c r="O136">
        <v>9</v>
      </c>
      <c r="P136">
        <v>9</v>
      </c>
      <c r="S136">
        <v>6</v>
      </c>
      <c r="T136">
        <v>2</v>
      </c>
      <c r="V136">
        <v>1</v>
      </c>
      <c r="AC136">
        <f>(0*(0.0156*(7^3))+0*(0.0156*(8^3))+0*(0.0156*(9^3))+0*(0.0156*(10^3))+0*(0.0156*(12^3))+0*(0.0156*(12.5^3)))+(S136*(0.0156*(17.5^3)))+(T136*(0.0156*(22.5^3)))+(U136*(0.0156*(27.5^3)))+(V136*(0.0156*(32.5^3)))+(W136*(0.0156*(37.5^3)))+(X136*(0.0156*(42.5^3)))+(Y136*(0.0156*(27.5^3)))</f>
        <v>1392.54375</v>
      </c>
    </row>
    <row r="137" spans="1:30" hidden="1">
      <c r="A137" s="6">
        <v>40043</v>
      </c>
      <c r="B137" t="s">
        <v>548</v>
      </c>
      <c r="C137" t="s">
        <v>337</v>
      </c>
      <c r="D137" t="s">
        <v>360</v>
      </c>
      <c r="E137" t="s">
        <v>361</v>
      </c>
      <c r="G137" t="s">
        <v>362</v>
      </c>
      <c r="H137">
        <v>2</v>
      </c>
      <c r="I137">
        <v>2</v>
      </c>
      <c r="J137" t="s">
        <v>370</v>
      </c>
      <c r="K137" t="s">
        <v>371</v>
      </c>
      <c r="L137" t="s">
        <v>170</v>
      </c>
      <c r="M137" t="s">
        <v>170</v>
      </c>
      <c r="N137" t="s">
        <v>372</v>
      </c>
      <c r="O137">
        <v>7</v>
      </c>
      <c r="P137">
        <v>7</v>
      </c>
      <c r="S137">
        <v>1</v>
      </c>
      <c r="T137">
        <v>2</v>
      </c>
      <c r="V137">
        <v>1</v>
      </c>
      <c r="W137">
        <v>3</v>
      </c>
      <c r="AC137">
        <f>(0*(0.0156*(7^3))+0*(0.0156*(8^3))+0*(0.0156*(9^3))+0*(0.0156*(10^3))+0*(0.0156*(12^3))+0*(0.0156*(12.5^3)))+(S137*(0.0156*(17.5^3)))+(T137*(0.0156*(22.5^3)))+(U137*(0.0156*(27.5^3)))+(V137*(0.0156*(32.5^3)))+(W137*(0.0156*(37.5^3)))+(X137*(0.0156*(42.5^3)))+(Y137*(0.0156*(27.5^3)))</f>
        <v>3442.4812499999998</v>
      </c>
    </row>
    <row r="138" spans="1:30">
      <c r="A138" s="6">
        <v>40043</v>
      </c>
      <c r="B138" t="s">
        <v>373</v>
      </c>
      <c r="C138" t="s">
        <v>374</v>
      </c>
      <c r="D138" t="s">
        <v>549</v>
      </c>
      <c r="E138" t="s">
        <v>375</v>
      </c>
      <c r="G138" t="s">
        <v>376</v>
      </c>
      <c r="H138">
        <v>2</v>
      </c>
      <c r="I138">
        <v>2</v>
      </c>
      <c r="J138" t="s">
        <v>552</v>
      </c>
      <c r="K138" t="s">
        <v>445</v>
      </c>
      <c r="L138" t="s">
        <v>252</v>
      </c>
      <c r="M138" t="s">
        <v>263</v>
      </c>
      <c r="N138" t="s">
        <v>211</v>
      </c>
      <c r="O138">
        <v>9</v>
      </c>
      <c r="P138">
        <v>1</v>
      </c>
      <c r="Q138" t="s">
        <v>292</v>
      </c>
      <c r="R138" t="s">
        <v>377</v>
      </c>
      <c r="S138">
        <v>1</v>
      </c>
      <c r="AB138">
        <v>113.0828125</v>
      </c>
      <c r="AC138">
        <f>(6*(0.0211*(12.5^3)))+(S138*(0.0211*(17.5^3)))+(T138*(0.0211*(22.5^3)))+(U138*(0.0211*(27.5^3)))+(V138*(0.0211*(32.5^3)))+(W138*(0.0211*(37.5^3)))+(X138*(0.0211*(42.5^3)))+(Y138*(0.0211*(27.5^3)))</f>
        <v>360.34843749999999</v>
      </c>
      <c r="AD138">
        <f>(S138*(0.0211*(17.5^3)))+(T138*(0.0211*(22.5^3)))+(U138*(0.0211*(27.5^3)))+(V138*(0.0211*(32.5^3)))+(W138*(0.0211*(37.5^3)))+(X138*(0.0211*(42.5^3)))+(Y138*(0.0211*(27.5^3)))</f>
        <v>113.0828125</v>
      </c>
    </row>
    <row r="139" spans="1:30" hidden="1">
      <c r="A139" s="6">
        <v>40043</v>
      </c>
      <c r="B139" t="s">
        <v>548</v>
      </c>
      <c r="C139" t="s">
        <v>337</v>
      </c>
      <c r="D139" t="s">
        <v>378</v>
      </c>
      <c r="E139" t="s">
        <v>415</v>
      </c>
      <c r="G139" t="s">
        <v>416</v>
      </c>
      <c r="H139">
        <v>2</v>
      </c>
      <c r="I139">
        <v>2</v>
      </c>
      <c r="J139" t="s">
        <v>417</v>
      </c>
      <c r="K139" t="s">
        <v>643</v>
      </c>
      <c r="L139" t="s">
        <v>170</v>
      </c>
      <c r="M139" t="s">
        <v>170</v>
      </c>
      <c r="N139" t="s">
        <v>213</v>
      </c>
      <c r="O139">
        <v>4</v>
      </c>
      <c r="P139">
        <v>0</v>
      </c>
      <c r="R139" t="s">
        <v>214</v>
      </c>
      <c r="AC139">
        <f>(0*(0.0156*(7^3))+0*(0.0156*(8^3))+0*(0.0156*(9^3))+1*(0.0156*(11^3))+2*(0.0156*(12^3))+1*(0.0156*(13^3)))+(S139*(0.0156*(17.5^3)))+(T139*(0.0156*(22.5^3)))+(U139*(0.0156*(27.5^3)))+(V139*(0.0156*(32.5^3)))+(W139*(0.0156*(37.5^3)))+(X139*(0.0156*(42.5^3)))+(Y139*(0.0156*(27.5^3)))</f>
        <v>108.9504</v>
      </c>
    </row>
    <row r="140" spans="1:30" hidden="1">
      <c r="A140" s="6">
        <v>40043</v>
      </c>
      <c r="B140" t="s">
        <v>215</v>
      </c>
      <c r="C140" t="s">
        <v>216</v>
      </c>
      <c r="D140" t="s">
        <v>217</v>
      </c>
      <c r="E140" t="s">
        <v>339</v>
      </c>
      <c r="G140" t="s">
        <v>218</v>
      </c>
      <c r="H140">
        <v>2</v>
      </c>
      <c r="I140">
        <v>2</v>
      </c>
      <c r="J140" t="s">
        <v>552</v>
      </c>
      <c r="K140" t="s">
        <v>445</v>
      </c>
      <c r="L140" s="9" t="s">
        <v>77</v>
      </c>
      <c r="M140" t="s">
        <v>65</v>
      </c>
      <c r="N140" t="s">
        <v>563</v>
      </c>
      <c r="O140">
        <v>18</v>
      </c>
      <c r="P140">
        <v>0</v>
      </c>
      <c r="Q140" t="s">
        <v>219</v>
      </c>
      <c r="AC140">
        <f>5*(0.0004*(4^3.43))+(13*(0.0004*(6^3.43)))</f>
        <v>2.6592821872697869</v>
      </c>
    </row>
    <row r="141" spans="1:30" hidden="1">
      <c r="A141" s="6">
        <v>40043</v>
      </c>
      <c r="B141" t="s">
        <v>46</v>
      </c>
      <c r="C141" t="s">
        <v>104</v>
      </c>
      <c r="D141" t="s">
        <v>338</v>
      </c>
      <c r="E141" t="s">
        <v>352</v>
      </c>
      <c r="G141" t="s">
        <v>105</v>
      </c>
      <c r="H141">
        <v>2</v>
      </c>
      <c r="I141">
        <v>2</v>
      </c>
      <c r="J141" t="s">
        <v>545</v>
      </c>
      <c r="K141" t="s">
        <v>546</v>
      </c>
      <c r="L141" t="s">
        <v>179</v>
      </c>
      <c r="M141" t="s">
        <v>179</v>
      </c>
      <c r="N141" t="s">
        <v>35</v>
      </c>
      <c r="O141">
        <v>3</v>
      </c>
      <c r="P141">
        <v>2</v>
      </c>
      <c r="Q141" t="s">
        <v>106</v>
      </c>
      <c r="S141">
        <v>2</v>
      </c>
      <c r="AC141" s="9">
        <f>((S141*(EXP(3.19*(LOG10(175)))))-5.29)+(1*(EXP(3.19*(LOG10(60))))-5.29)</f>
        <v>2841.8542972152309</v>
      </c>
    </row>
    <row r="142" spans="1:30" hidden="1">
      <c r="A142" s="6">
        <v>40043</v>
      </c>
      <c r="B142" t="s">
        <v>50</v>
      </c>
      <c r="C142" t="s">
        <v>51</v>
      </c>
      <c r="D142" t="s">
        <v>52</v>
      </c>
      <c r="E142" t="s">
        <v>438</v>
      </c>
      <c r="G142" t="s">
        <v>439</v>
      </c>
      <c r="H142">
        <v>2</v>
      </c>
      <c r="I142">
        <v>2</v>
      </c>
      <c r="J142" t="s">
        <v>440</v>
      </c>
      <c r="K142" t="s">
        <v>441</v>
      </c>
      <c r="L142" t="s">
        <v>174</v>
      </c>
      <c r="M142" t="s">
        <v>174</v>
      </c>
      <c r="N142" t="s">
        <v>442</v>
      </c>
      <c r="O142">
        <v>1</v>
      </c>
      <c r="P142">
        <v>1</v>
      </c>
      <c r="X142">
        <v>1</v>
      </c>
      <c r="AC142">
        <f>(X142*(0.013*(42.5^3)))</f>
        <v>997.953125</v>
      </c>
    </row>
    <row r="143" spans="1:30">
      <c r="A143" s="6">
        <v>40043</v>
      </c>
      <c r="B143" t="s">
        <v>443</v>
      </c>
      <c r="C143" t="s">
        <v>638</v>
      </c>
      <c r="D143" t="s">
        <v>639</v>
      </c>
      <c r="E143" t="s">
        <v>640</v>
      </c>
      <c r="G143" t="s">
        <v>641</v>
      </c>
      <c r="H143">
        <v>3</v>
      </c>
      <c r="I143">
        <v>3</v>
      </c>
      <c r="J143" t="s">
        <v>404</v>
      </c>
      <c r="K143" t="s">
        <v>642</v>
      </c>
      <c r="L143" t="s">
        <v>252</v>
      </c>
      <c r="M143" t="s">
        <v>263</v>
      </c>
      <c r="N143" t="s">
        <v>211</v>
      </c>
      <c r="O143">
        <v>48</v>
      </c>
      <c r="P143">
        <v>0</v>
      </c>
      <c r="Q143" t="s">
        <v>650</v>
      </c>
      <c r="R143" t="s">
        <v>651</v>
      </c>
      <c r="AB143">
        <v>0</v>
      </c>
      <c r="AC143">
        <f>(30*(0.0211*(12.5^3)))+(S143*(0.0211*(17.5^3)))+(T143*(0.0211*(22.5^3)))+(U143*(0.0211*(27.5^3)))+(V143*(0.0211*(32.5^3)))+(W143*(0.0211*(37.5^3)))+(X143*(0.0211*(42.5^3)))+(Y143*(0.0211*(27.5^3)))</f>
        <v>1236.328125</v>
      </c>
      <c r="AD143">
        <f>(S143*(0.0211*(17.5^3)))+(T143*(0.0211*(22.5^3)))+(U143*(0.0211*(27.5^3)))+(V143*(0.0211*(32.5^3)))+(W143*(0.0211*(37.5^3)))+(X143*(0.0211*(42.5^3)))+(Y143*(0.0211*(27.5^3)))</f>
        <v>0</v>
      </c>
    </row>
    <row r="144" spans="1:30" hidden="1">
      <c r="A144" s="6">
        <v>40043</v>
      </c>
      <c r="B144" t="s">
        <v>548</v>
      </c>
      <c r="C144" t="s">
        <v>337</v>
      </c>
      <c r="D144" t="s">
        <v>338</v>
      </c>
      <c r="E144" t="s">
        <v>339</v>
      </c>
      <c r="G144" t="s">
        <v>652</v>
      </c>
      <c r="H144">
        <v>3</v>
      </c>
      <c r="I144">
        <v>3</v>
      </c>
      <c r="J144" t="s">
        <v>404</v>
      </c>
      <c r="K144" t="s">
        <v>445</v>
      </c>
      <c r="L144" t="s">
        <v>170</v>
      </c>
      <c r="M144" t="s">
        <v>170</v>
      </c>
      <c r="N144" t="s">
        <v>653</v>
      </c>
      <c r="O144">
        <v>3</v>
      </c>
      <c r="P144">
        <v>3</v>
      </c>
      <c r="U144">
        <v>3</v>
      </c>
      <c r="AC144">
        <f>(0*(0.0156*(7^3))+0*(0.0156*(8^3))+0*(0.0156*(9^3))+0*(0.0156*(10^3))+0*(0.0156*(12^3))+0*(0.0156*(12.5^3)))+(S144*(0.0156*(17.5^3)))+(T144*(0.0156*(22.5^3)))+(U144*(0.0156*(27.5^3)))+(V144*(0.0156*(32.5^3)))+(W144*(0.0156*(37.5^3)))+(X144*(0.0156*(42.5^3)))+(Y144*(0.0156*(27.5^3)))</f>
        <v>973.29374999999993</v>
      </c>
    </row>
    <row r="145" spans="1:30" hidden="1">
      <c r="A145" s="6">
        <v>40043</v>
      </c>
      <c r="B145" t="s">
        <v>548</v>
      </c>
      <c r="C145" t="s">
        <v>337</v>
      </c>
      <c r="D145" t="s">
        <v>338</v>
      </c>
      <c r="E145" t="s">
        <v>339</v>
      </c>
      <c r="G145" t="s">
        <v>652</v>
      </c>
      <c r="H145">
        <v>3</v>
      </c>
      <c r="I145">
        <v>3</v>
      </c>
      <c r="J145" t="s">
        <v>404</v>
      </c>
      <c r="K145" t="s">
        <v>445</v>
      </c>
      <c r="L145" t="s">
        <v>170</v>
      </c>
      <c r="M145" t="s">
        <v>170</v>
      </c>
      <c r="N145" t="s">
        <v>654</v>
      </c>
      <c r="O145">
        <v>2</v>
      </c>
      <c r="P145">
        <v>0</v>
      </c>
      <c r="R145">
        <v>2</v>
      </c>
      <c r="AC145">
        <f>(0*(0.0156*(7^3))+0*(0.0156*(8^3))+0*(0.0156*(9^3))+0*(0.0156*(10^3))+0*(0.0156*(12^3))+2*(0.0156*(12.5^3)))+(S145*(0.0156*(17.5^3)))+(T145*(0.0156*(22.5^3)))+(U145*(0.0156*(27.5^3)))+(V145*(0.0156*(32.5^3)))+(W145*(0.0156*(37.5^3)))+(X145*(0.0156*(42.5^3)))+(Y145*(0.0156*(27.5^3)))</f>
        <v>60.9375</v>
      </c>
    </row>
    <row r="146" spans="1:30" hidden="1">
      <c r="A146" s="6">
        <v>40043</v>
      </c>
      <c r="B146" t="s">
        <v>548</v>
      </c>
      <c r="C146" t="s">
        <v>337</v>
      </c>
      <c r="D146" t="s">
        <v>338</v>
      </c>
      <c r="E146" t="s">
        <v>339</v>
      </c>
      <c r="G146" t="s">
        <v>652</v>
      </c>
      <c r="H146">
        <v>3</v>
      </c>
      <c r="I146">
        <v>3</v>
      </c>
      <c r="J146" t="s">
        <v>404</v>
      </c>
      <c r="K146" t="s">
        <v>445</v>
      </c>
      <c r="L146" t="s">
        <v>170</v>
      </c>
      <c r="M146" t="s">
        <v>170</v>
      </c>
      <c r="N146" t="s">
        <v>655</v>
      </c>
      <c r="O146">
        <v>4</v>
      </c>
      <c r="P146">
        <v>4</v>
      </c>
      <c r="S146">
        <v>4</v>
      </c>
      <c r="AC146">
        <f>(0*(0.0156*(7^3))+0*(0.0156*(8^3))+0*(0.0156*(9^3))+0*(0.0156*(10^3))+0*(0.0156*(12^3))+0*(0.0156*(12.5^3)))+(S146*(0.0156*(17.5^3)))+(T146*(0.0156*(22.5^3)))+(U146*(0.0156*(27.5^3)))+(V146*(0.0156*(32.5^3)))+(W146*(0.0156*(37.5^3)))+(X146*(0.0156*(42.5^3)))+(Y146*(0.0156*(27.5^3)))</f>
        <v>334.42500000000001</v>
      </c>
    </row>
    <row r="147" spans="1:30" hidden="1">
      <c r="A147" s="6">
        <v>40043</v>
      </c>
      <c r="B147" t="s">
        <v>548</v>
      </c>
      <c r="C147" t="s">
        <v>337</v>
      </c>
      <c r="D147" t="s">
        <v>338</v>
      </c>
      <c r="E147" t="s">
        <v>339</v>
      </c>
      <c r="G147" t="s">
        <v>652</v>
      </c>
      <c r="H147">
        <v>3</v>
      </c>
      <c r="I147">
        <v>3</v>
      </c>
      <c r="J147" t="s">
        <v>404</v>
      </c>
      <c r="K147" t="s">
        <v>445</v>
      </c>
      <c r="L147" t="s">
        <v>61</v>
      </c>
      <c r="M147" t="s">
        <v>175</v>
      </c>
      <c r="N147" t="s">
        <v>538</v>
      </c>
      <c r="O147">
        <v>3</v>
      </c>
      <c r="P147">
        <v>0</v>
      </c>
      <c r="R147" t="s">
        <v>539</v>
      </c>
      <c r="AB147">
        <v>0</v>
      </c>
      <c r="AC147">
        <f>3*((0.0000146*(120^3.041)))</f>
        <v>92.100986023923937</v>
      </c>
      <c r="AD147">
        <f>(S147*(0.000007*(175^3.144)))</f>
        <v>0</v>
      </c>
    </row>
    <row r="148" spans="1:30">
      <c r="A148" s="6">
        <v>40043</v>
      </c>
      <c r="B148" t="s">
        <v>548</v>
      </c>
      <c r="C148" t="s">
        <v>337</v>
      </c>
      <c r="D148" t="s">
        <v>338</v>
      </c>
      <c r="E148" t="s">
        <v>339</v>
      </c>
      <c r="G148" t="s">
        <v>455</v>
      </c>
      <c r="H148">
        <v>4</v>
      </c>
      <c r="I148">
        <v>4</v>
      </c>
      <c r="J148" t="s">
        <v>404</v>
      </c>
      <c r="K148" t="s">
        <v>445</v>
      </c>
      <c r="L148" t="s">
        <v>252</v>
      </c>
      <c r="M148" t="s">
        <v>263</v>
      </c>
      <c r="N148" t="s">
        <v>211</v>
      </c>
      <c r="O148">
        <v>31</v>
      </c>
      <c r="P148">
        <v>0</v>
      </c>
      <c r="R148" t="s">
        <v>456</v>
      </c>
      <c r="AB148">
        <v>0</v>
      </c>
      <c r="AC148">
        <f>(31*(0.0211*(12.5^3)))+(S148*(0.0211*(17.5^3)))+(T148*(0.0211*(22.5^3)))+(U148*(0.0211*(27.5^3)))+(V148*(0.0211*(32.5^3)))+(W148*(0.0211*(37.5^3)))+(X148*(0.0211*(42.5^3)))+(Y148*(0.0211*(27.5^3)))</f>
        <v>1277.5390625</v>
      </c>
      <c r="AD148">
        <f>(S148*(0.0211*(17.5^3)))+(T148*(0.0211*(22.5^3)))+(U148*(0.0211*(27.5^3)))+(V148*(0.0211*(32.5^3)))+(W148*(0.0211*(37.5^3)))+(X148*(0.0211*(42.5^3)))+(Y148*(0.0211*(27.5^3)))</f>
        <v>0</v>
      </c>
    </row>
    <row r="149" spans="1:30" hidden="1">
      <c r="A149" s="6">
        <v>40043</v>
      </c>
      <c r="B149" t="s">
        <v>548</v>
      </c>
      <c r="C149" t="s">
        <v>337</v>
      </c>
      <c r="D149" t="s">
        <v>338</v>
      </c>
      <c r="E149" t="s">
        <v>339</v>
      </c>
      <c r="G149" t="s">
        <v>455</v>
      </c>
      <c r="H149">
        <v>4</v>
      </c>
      <c r="I149">
        <v>4</v>
      </c>
      <c r="J149" t="s">
        <v>404</v>
      </c>
      <c r="K149" t="s">
        <v>445</v>
      </c>
      <c r="L149" t="s">
        <v>170</v>
      </c>
      <c r="M149" t="s">
        <v>170</v>
      </c>
      <c r="N149" t="s">
        <v>653</v>
      </c>
      <c r="O149">
        <v>5</v>
      </c>
      <c r="P149">
        <v>5</v>
      </c>
      <c r="S149">
        <v>2</v>
      </c>
      <c r="T149">
        <v>2</v>
      </c>
      <c r="W149">
        <v>1</v>
      </c>
      <c r="AC149">
        <f>(0*(0.0156*(7^3))+0*(0.0156*(8^3))+0*(0.0156*(9^3))+0*(0.0156*(10^3))+0*(0.0156*(12^3))+0*(0.0156*(12.5^3)))+(S149*(0.0156*(17.5^3)))+(T149*(0.0156*(22.5^3)))+(U149*(0.0156*(27.5^3)))+(V149*(0.0156*(32.5^3)))+(W149*(0.0156*(37.5^3)))+(X149*(0.0156*(42.5^3)))+(Y149*(0.0156*(27.5^3)))</f>
        <v>1345.2562499999999</v>
      </c>
    </row>
    <row r="150" spans="1:30" hidden="1">
      <c r="A150" s="6">
        <v>40043</v>
      </c>
      <c r="B150" t="s">
        <v>548</v>
      </c>
      <c r="C150" t="s">
        <v>337</v>
      </c>
      <c r="D150" t="s">
        <v>338</v>
      </c>
      <c r="E150" t="s">
        <v>339</v>
      </c>
      <c r="G150" t="s">
        <v>455</v>
      </c>
      <c r="H150">
        <v>4</v>
      </c>
      <c r="I150">
        <v>4</v>
      </c>
      <c r="J150" t="s">
        <v>404</v>
      </c>
      <c r="K150" t="s">
        <v>445</v>
      </c>
      <c r="L150" t="s">
        <v>61</v>
      </c>
      <c r="M150" t="s">
        <v>175</v>
      </c>
      <c r="N150" t="s">
        <v>457</v>
      </c>
      <c r="O150">
        <v>2</v>
      </c>
      <c r="P150">
        <v>0</v>
      </c>
      <c r="Q150" t="s">
        <v>656</v>
      </c>
      <c r="R150" t="s">
        <v>657</v>
      </c>
      <c r="AB150">
        <v>0</v>
      </c>
      <c r="AC150">
        <f>(1*(0.00000779*(70^3.18)))+(1*(0.00000779*(100^3.18)))</f>
        <v>23.586352454153225</v>
      </c>
      <c r="AD150">
        <f>(S150*(0.000007*(175^3.144)))</f>
        <v>0</v>
      </c>
    </row>
    <row r="151" spans="1:30" hidden="1">
      <c r="A151" s="6">
        <v>40043</v>
      </c>
      <c r="B151" t="s">
        <v>548</v>
      </c>
      <c r="C151" t="s">
        <v>337</v>
      </c>
      <c r="D151" t="s">
        <v>338</v>
      </c>
      <c r="E151" t="s">
        <v>339</v>
      </c>
      <c r="G151" t="s">
        <v>455</v>
      </c>
      <c r="H151">
        <v>4</v>
      </c>
      <c r="I151">
        <v>4</v>
      </c>
      <c r="J151" t="s">
        <v>404</v>
      </c>
      <c r="K151" t="s">
        <v>445</v>
      </c>
      <c r="L151" s="9" t="s">
        <v>85</v>
      </c>
      <c r="M151" s="9" t="s">
        <v>59</v>
      </c>
      <c r="N151" t="s">
        <v>658</v>
      </c>
      <c r="O151">
        <v>1</v>
      </c>
      <c r="P151">
        <v>1</v>
      </c>
      <c r="S151" t="s">
        <v>464</v>
      </c>
      <c r="AC151">
        <f>(1*(0.0000055*(180^3.185)))</f>
        <v>83.831187519855675</v>
      </c>
    </row>
    <row r="152" spans="1:30" hidden="1">
      <c r="A152" s="6">
        <v>40043</v>
      </c>
      <c r="B152" t="s">
        <v>465</v>
      </c>
      <c r="C152" t="s">
        <v>661</v>
      </c>
      <c r="D152" t="s">
        <v>378</v>
      </c>
      <c r="E152" t="s">
        <v>339</v>
      </c>
      <c r="G152" t="s">
        <v>455</v>
      </c>
      <c r="H152">
        <v>4</v>
      </c>
      <c r="I152">
        <v>4</v>
      </c>
      <c r="J152" t="s">
        <v>404</v>
      </c>
      <c r="K152" t="s">
        <v>445</v>
      </c>
      <c r="L152" t="s">
        <v>170</v>
      </c>
      <c r="M152" t="s">
        <v>170</v>
      </c>
      <c r="N152" t="s">
        <v>654</v>
      </c>
      <c r="O152">
        <v>5</v>
      </c>
      <c r="P152">
        <v>0</v>
      </c>
      <c r="Q152" t="s">
        <v>662</v>
      </c>
      <c r="R152" t="s">
        <v>663</v>
      </c>
      <c r="AC152">
        <f>(0*(0.0156*(7^3))+0*(0.0156*(8^3))+1*(0.0156*(9^3))+4*(0.0156*(10^3))+0*(0.0156*(12^3))+0*(0.0156*(12.5^3)))+(S152*(0.0156*(17.5^3)))+(T152*(0.0156*(22.5^3)))+(U152*(0.0156*(27.5^3)))+(V152*(0.0156*(32.5^3)))+(W152*(0.0156*(37.5^3)))+(X152*(0.0156*(42.5^3)))+(Y152*(0.0156*(27.5^3)))</f>
        <v>73.772400000000005</v>
      </c>
    </row>
    <row r="153" spans="1:30" hidden="1">
      <c r="A153" s="6">
        <v>40043</v>
      </c>
      <c r="B153" t="s">
        <v>465</v>
      </c>
      <c r="C153" t="s">
        <v>661</v>
      </c>
      <c r="D153" t="s">
        <v>378</v>
      </c>
      <c r="E153" t="s">
        <v>339</v>
      </c>
      <c r="G153" t="s">
        <v>455</v>
      </c>
      <c r="H153">
        <v>4</v>
      </c>
      <c r="I153">
        <v>4</v>
      </c>
      <c r="J153" t="s">
        <v>404</v>
      </c>
      <c r="K153" t="s">
        <v>445</v>
      </c>
      <c r="L153" t="s">
        <v>170</v>
      </c>
      <c r="M153" t="s">
        <v>170</v>
      </c>
      <c r="N153" t="s">
        <v>655</v>
      </c>
      <c r="O153">
        <v>1</v>
      </c>
      <c r="P153">
        <v>1</v>
      </c>
      <c r="S153">
        <v>1</v>
      </c>
      <c r="AC153">
        <f>(0*(0.0156*(7^3))+0*(0.0156*(8^3))+0*(0.0156*(9^3))+0*(0.0156*(10^3))+0*(0.0156*(12^3))+0*(0.0156*(12.5^3)))+(S153*(0.0156*(17.5^3)))+(T153*(0.0156*(22.5^3)))+(U153*(0.0156*(27.5^3)))+(V153*(0.0156*(32.5^3)))+(W153*(0.0156*(37.5^3)))+(X153*(0.0156*(42.5^3)))+(Y153*(0.0156*(27.5^3)))</f>
        <v>83.606250000000003</v>
      </c>
    </row>
    <row r="154" spans="1:30" hidden="1">
      <c r="A154" s="6">
        <v>40043</v>
      </c>
      <c r="B154" t="s">
        <v>465</v>
      </c>
      <c r="C154" t="s">
        <v>661</v>
      </c>
      <c r="D154" t="s">
        <v>378</v>
      </c>
      <c r="E154" t="s">
        <v>339</v>
      </c>
      <c r="G154" t="s">
        <v>455</v>
      </c>
      <c r="H154">
        <v>4</v>
      </c>
      <c r="I154">
        <v>4</v>
      </c>
      <c r="J154" t="s">
        <v>404</v>
      </c>
      <c r="K154" t="s">
        <v>445</v>
      </c>
      <c r="L154" t="s">
        <v>199</v>
      </c>
      <c r="M154" t="s">
        <v>175</v>
      </c>
      <c r="N154" t="s">
        <v>38</v>
      </c>
      <c r="O154">
        <v>5</v>
      </c>
      <c r="P154">
        <v>0</v>
      </c>
      <c r="Q154" t="s">
        <v>468</v>
      </c>
      <c r="AB154">
        <v>0</v>
      </c>
      <c r="AC154">
        <f>(3*(0.0175*(3^3))+2*(0.0175*(4^3))+R154*(0.0175*(12.5^3)))+(S154*(0.0175*(17.5^3)))+(T154*(0.0175*(22.5^3)))+(U154*(0.0175*(27.5^3)))+(V154*(0.0175*(32.5^3)))+(W154*(0.0175*(37.5^3)))+(X154*(0.0175*(42.5^3)))+(Y154*(0.0175*(27.5^3)))</f>
        <v>3.6575000000000002</v>
      </c>
      <c r="AD154">
        <f>((S154*(0.0175*(17.5^3)))+(T154*(0.0175*(22.5^3)))+(U154*(0.0175*(27.5^3)))+(V154*(0.0175*(32.5^3)))+(W154*(0.0175*(37.5^3)))+(X154*(0.0175*(42.5^3)))+(Y154*(0.0175*(27.5^3))))</f>
        <v>0</v>
      </c>
    </row>
    <row r="155" spans="1:30" hidden="1">
      <c r="A155" s="6">
        <v>40044</v>
      </c>
      <c r="B155" t="s">
        <v>469</v>
      </c>
      <c r="C155" t="s">
        <v>470</v>
      </c>
      <c r="D155" t="s">
        <v>471</v>
      </c>
      <c r="E155" t="s">
        <v>472</v>
      </c>
      <c r="G155" t="s">
        <v>473</v>
      </c>
      <c r="H155">
        <v>1</v>
      </c>
      <c r="I155">
        <v>1</v>
      </c>
      <c r="J155" t="s">
        <v>404</v>
      </c>
      <c r="K155" t="s">
        <v>474</v>
      </c>
      <c r="L155" t="s">
        <v>170</v>
      </c>
      <c r="M155" t="s">
        <v>170</v>
      </c>
      <c r="N155" t="s">
        <v>475</v>
      </c>
      <c r="O155">
        <v>4</v>
      </c>
      <c r="P155">
        <v>4</v>
      </c>
      <c r="S155">
        <v>1</v>
      </c>
      <c r="T155">
        <v>1</v>
      </c>
      <c r="U155">
        <v>1</v>
      </c>
      <c r="W155">
        <v>1</v>
      </c>
      <c r="AC155">
        <f>(0*(0.0156*(7^3))+0*(0.0156*(8^3))+0*(0.0156*(9^3))+0*(0.0156*(10^3))+0*(0.0156*(12^3))+0*(0.0156*(12.5^3)))+(S155*(0.0156*(17.5^3)))+(T155*(0.0156*(22.5^3)))+(U155*(0.0156*(27.5^3)))+(V155*(0.0156*(32.5^3)))+(W155*(0.0156*(37.5^3)))+(X155*(0.0156*(42.5^3)))+(Y155*(0.0156*(27.5^3)))</f>
        <v>1408.3875</v>
      </c>
    </row>
    <row r="156" spans="1:30" hidden="1">
      <c r="A156" s="6">
        <v>40044</v>
      </c>
      <c r="B156" t="s">
        <v>469</v>
      </c>
      <c r="C156" t="s">
        <v>470</v>
      </c>
      <c r="D156" t="s">
        <v>471</v>
      </c>
      <c r="E156" t="s">
        <v>472</v>
      </c>
      <c r="G156" t="s">
        <v>473</v>
      </c>
      <c r="H156">
        <v>1</v>
      </c>
      <c r="I156">
        <v>1</v>
      </c>
      <c r="J156" t="s">
        <v>404</v>
      </c>
      <c r="K156" t="s">
        <v>474</v>
      </c>
      <c r="L156" t="s">
        <v>170</v>
      </c>
      <c r="M156" t="s">
        <v>170</v>
      </c>
      <c r="N156" t="s">
        <v>476</v>
      </c>
      <c r="O156">
        <v>2</v>
      </c>
      <c r="P156">
        <v>2</v>
      </c>
      <c r="S156">
        <v>1</v>
      </c>
      <c r="V156">
        <v>1</v>
      </c>
      <c r="AC156">
        <f>(0*(0.0156*(7^3))+0*(0.0156*(8^3))+0*(0.0156*(9^3))+0*(0.0156*(10^3))+0*(0.0156*(12^3))+0*(0.0156*(12.5^3)))+(S156*(0.0156*(17.5^3)))+(T156*(0.0156*(22.5^3)))+(U156*(0.0156*(27.5^3)))+(V156*(0.0156*(32.5^3)))+(W156*(0.0156*(37.5^3)))+(X156*(0.0156*(42.5^3)))+(Y156*(0.0156*(27.5^3)))</f>
        <v>619.125</v>
      </c>
    </row>
    <row r="157" spans="1:30" hidden="1">
      <c r="A157" s="6">
        <v>40044</v>
      </c>
      <c r="B157" t="s">
        <v>469</v>
      </c>
      <c r="C157" t="s">
        <v>470</v>
      </c>
      <c r="D157" t="s">
        <v>471</v>
      </c>
      <c r="E157" t="s">
        <v>472</v>
      </c>
      <c r="G157" t="s">
        <v>473</v>
      </c>
      <c r="H157">
        <v>1</v>
      </c>
      <c r="I157">
        <v>1</v>
      </c>
      <c r="J157" t="s">
        <v>404</v>
      </c>
      <c r="K157" t="s">
        <v>474</v>
      </c>
      <c r="L157" t="s">
        <v>170</v>
      </c>
      <c r="M157" t="s">
        <v>170</v>
      </c>
      <c r="N157" t="s">
        <v>477</v>
      </c>
      <c r="O157">
        <v>1</v>
      </c>
      <c r="P157">
        <v>0</v>
      </c>
      <c r="R157" t="s">
        <v>478</v>
      </c>
      <c r="AC157">
        <f>(0*(0.0156*(7^3))+0*(0.0156*(8^3))+0*(0.0156*(9^3))+0*(0.0156*(10^3))+1*(0.0156*(12^3))+0*(0.0156*(12.5^3)))+(S157*(0.0156*(17.5^3)))+(T157*(0.0156*(22.5^3)))+(U157*(0.0156*(27.5^3)))+(V157*(0.0156*(32.5^3)))+(W157*(0.0156*(37.5^3)))+(X157*(0.0156*(42.5^3)))+(Y157*(0.0156*(27.5^3)))</f>
        <v>26.956799999999998</v>
      </c>
    </row>
    <row r="158" spans="1:30" hidden="1">
      <c r="A158" s="6">
        <v>40044</v>
      </c>
      <c r="B158" t="s">
        <v>469</v>
      </c>
      <c r="C158" t="s">
        <v>470</v>
      </c>
      <c r="D158" t="s">
        <v>471</v>
      </c>
      <c r="E158" t="s">
        <v>472</v>
      </c>
      <c r="G158" t="s">
        <v>473</v>
      </c>
      <c r="H158">
        <v>1</v>
      </c>
      <c r="I158">
        <v>1</v>
      </c>
      <c r="J158" t="s">
        <v>404</v>
      </c>
      <c r="K158" t="s">
        <v>474</v>
      </c>
      <c r="L158" s="9" t="s">
        <v>111</v>
      </c>
      <c r="M158" s="9" t="s">
        <v>60</v>
      </c>
      <c r="N158" t="s">
        <v>479</v>
      </c>
      <c r="O158">
        <v>1</v>
      </c>
      <c r="P158">
        <v>1</v>
      </c>
      <c r="S158" t="s">
        <v>480</v>
      </c>
      <c r="AC158">
        <f>(1*(0.0000055*(180^3.185)))</f>
        <v>83.831187519855675</v>
      </c>
    </row>
    <row r="159" spans="1:30" hidden="1">
      <c r="A159" s="6">
        <v>40044</v>
      </c>
      <c r="B159" t="s">
        <v>469</v>
      </c>
      <c r="C159" t="s">
        <v>470</v>
      </c>
      <c r="D159" t="s">
        <v>471</v>
      </c>
      <c r="E159" t="s">
        <v>472</v>
      </c>
      <c r="G159" t="s">
        <v>481</v>
      </c>
      <c r="H159">
        <v>2</v>
      </c>
      <c r="I159">
        <v>2</v>
      </c>
      <c r="J159" t="s">
        <v>404</v>
      </c>
      <c r="K159" t="s">
        <v>474</v>
      </c>
      <c r="L159" t="s">
        <v>170</v>
      </c>
      <c r="M159" t="s">
        <v>170</v>
      </c>
      <c r="N159" t="s">
        <v>476</v>
      </c>
      <c r="O159">
        <v>3</v>
      </c>
      <c r="P159">
        <v>3</v>
      </c>
      <c r="V159">
        <v>1</v>
      </c>
      <c r="W159">
        <v>2</v>
      </c>
      <c r="AC159">
        <f>(0*(0.0156*(7^3))+0*(0.0156*(8^3))+0*(0.0156*(9^3))+0*(0.0156*(10^3))+0*(0.0156*(12^3))+0*(0.0156*(12.5^3)))+(S159*(0.0156*(17.5^3)))+(T159*(0.0156*(22.5^3)))+(U159*(0.0156*(27.5^3)))+(V159*(0.0156*(32.5^3)))+(W159*(0.0156*(37.5^3)))+(X159*(0.0156*(42.5^3)))+(Y159*(0.0156*(27.5^3)))</f>
        <v>2180.8312500000002</v>
      </c>
    </row>
    <row r="160" spans="1:30">
      <c r="A160" s="6">
        <v>40044</v>
      </c>
      <c r="B160" t="s">
        <v>469</v>
      </c>
      <c r="C160" t="s">
        <v>470</v>
      </c>
      <c r="D160" t="s">
        <v>471</v>
      </c>
      <c r="E160" t="s">
        <v>472</v>
      </c>
      <c r="G160" t="s">
        <v>481</v>
      </c>
      <c r="H160">
        <v>2</v>
      </c>
      <c r="I160">
        <v>2</v>
      </c>
      <c r="J160" t="s">
        <v>404</v>
      </c>
      <c r="K160" t="s">
        <v>474</v>
      </c>
      <c r="L160" t="s">
        <v>252</v>
      </c>
      <c r="M160" t="s">
        <v>263</v>
      </c>
      <c r="N160" t="s">
        <v>211</v>
      </c>
      <c r="O160">
        <v>94</v>
      </c>
      <c r="P160">
        <v>9</v>
      </c>
      <c r="R160" t="s">
        <v>482</v>
      </c>
      <c r="T160" t="s">
        <v>483</v>
      </c>
      <c r="U160" t="s">
        <v>559</v>
      </c>
      <c r="V160">
        <v>2</v>
      </c>
      <c r="AB160">
        <v>3500.0442625000001</v>
      </c>
      <c r="AC160">
        <f>(85*(0.0211*(12.5^3)))+(S160*(0.0211*(17.5^3)))+(5*(0.0211*(22.5^3)))+(1*(0.0211*(27.5^3)))+(V160*(0.0211*(32.5^3)))+(W160*(0.0211*(37.5^3)))+(X160*(0.0211*(42.5^3)))+(Y160*(0.0211*(27.5^3)))</f>
        <v>6592.1015625</v>
      </c>
      <c r="AD160">
        <f>(1*(0.0211*(18^3)))+(3*(0.0211*(22.5^3)))+(1*(0.0211*(27.5^3)))+(V160*(0.0211*(32.5^3)))+(1*(0.0211*(25^3)))+(1*(0.0211*(27.5^3)))</f>
        <v>3500.0442625000001</v>
      </c>
    </row>
    <row r="161" spans="1:30" hidden="1">
      <c r="A161" s="6">
        <v>40044</v>
      </c>
      <c r="B161" t="s">
        <v>469</v>
      </c>
      <c r="C161" t="s">
        <v>470</v>
      </c>
      <c r="D161" t="s">
        <v>471</v>
      </c>
      <c r="E161" t="s">
        <v>472</v>
      </c>
      <c r="G161" t="s">
        <v>481</v>
      </c>
      <c r="H161">
        <v>2</v>
      </c>
      <c r="I161">
        <v>2</v>
      </c>
      <c r="J161" t="s">
        <v>404</v>
      </c>
      <c r="K161" t="s">
        <v>474</v>
      </c>
      <c r="L161" t="s">
        <v>179</v>
      </c>
      <c r="M161" t="s">
        <v>179</v>
      </c>
      <c r="N161" t="s">
        <v>560</v>
      </c>
      <c r="O161">
        <v>2</v>
      </c>
      <c r="P161">
        <v>0</v>
      </c>
      <c r="Q161" t="s">
        <v>561</v>
      </c>
      <c r="AC161">
        <f>(1*(0.000491*(6^3.05)))+(1*(0.000491*(7^3.05)))</f>
        <v>0.30161840039549542</v>
      </c>
    </row>
    <row r="162" spans="1:30" hidden="1">
      <c r="A162" s="6">
        <v>40044</v>
      </c>
      <c r="B162" t="s">
        <v>469</v>
      </c>
      <c r="C162" t="s">
        <v>470</v>
      </c>
      <c r="D162" t="s">
        <v>471</v>
      </c>
      <c r="E162" t="s">
        <v>472</v>
      </c>
      <c r="G162" t="s">
        <v>481</v>
      </c>
      <c r="H162">
        <v>2</v>
      </c>
      <c r="I162">
        <v>2</v>
      </c>
      <c r="J162" t="s">
        <v>404</v>
      </c>
      <c r="K162" t="s">
        <v>474</v>
      </c>
      <c r="L162" s="9" t="s">
        <v>77</v>
      </c>
      <c r="M162" t="s">
        <v>65</v>
      </c>
      <c r="N162" t="s">
        <v>562</v>
      </c>
      <c r="O162">
        <v>23</v>
      </c>
      <c r="P162">
        <v>0</v>
      </c>
      <c r="Q162" t="s">
        <v>816</v>
      </c>
      <c r="AC162">
        <f>22*(0.0004*(7.5^3.43))+(1*(0.0004*(6^3.43)))</f>
        <v>9.0163251304029597</v>
      </c>
    </row>
    <row r="163" spans="1:30" hidden="1">
      <c r="A163" s="6">
        <v>40044</v>
      </c>
      <c r="B163" t="s">
        <v>469</v>
      </c>
      <c r="C163" t="s">
        <v>470</v>
      </c>
      <c r="D163" t="s">
        <v>471</v>
      </c>
      <c r="E163" t="s">
        <v>472</v>
      </c>
      <c r="G163" t="s">
        <v>481</v>
      </c>
      <c r="H163">
        <v>2</v>
      </c>
      <c r="I163">
        <v>2</v>
      </c>
      <c r="J163" t="s">
        <v>404</v>
      </c>
      <c r="K163" t="s">
        <v>474</v>
      </c>
      <c r="L163" t="s">
        <v>199</v>
      </c>
      <c r="M163" t="s">
        <v>175</v>
      </c>
      <c r="N163" t="s">
        <v>38</v>
      </c>
      <c r="O163">
        <v>5</v>
      </c>
      <c r="P163">
        <v>0</v>
      </c>
      <c r="Q163" t="s">
        <v>817</v>
      </c>
      <c r="AB163">
        <v>0</v>
      </c>
      <c r="AC163">
        <f>(5*(0.0175*(4^3))+R163*(0.0175*(12.5^3)))+(S163*(0.0175*(17.5^3)))+(T163*(0.0175*(22.5^3)))+(U163*(0.0175*(27.5^3)))+(V163*(0.0175*(32.5^3)))+(W163*(0.0175*(37.5^3)))+(X163*(0.0175*(42.5^3)))+(Y163*(0.0175*(27.5^3)))</f>
        <v>5.6000000000000005</v>
      </c>
      <c r="AD163">
        <f>((S163*(0.0175*(17.5^3)))+(T163*(0.0175*(22.5^3)))+(U163*(0.0175*(27.5^3)))+(V163*(0.0175*(32.5^3)))+(W163*(0.0175*(37.5^3)))+(X163*(0.0175*(42.5^3)))+(Y163*(0.0175*(27.5^3))))</f>
        <v>0</v>
      </c>
    </row>
    <row r="164" spans="1:30" hidden="1">
      <c r="A164" s="6">
        <v>40044</v>
      </c>
      <c r="B164" t="s">
        <v>469</v>
      </c>
      <c r="C164" t="s">
        <v>470</v>
      </c>
      <c r="D164" t="s">
        <v>471</v>
      </c>
      <c r="E164" t="s">
        <v>472</v>
      </c>
      <c r="G164" t="s">
        <v>481</v>
      </c>
      <c r="H164">
        <v>2</v>
      </c>
      <c r="I164">
        <v>2</v>
      </c>
      <c r="J164" t="s">
        <v>404</v>
      </c>
      <c r="K164" t="s">
        <v>474</v>
      </c>
      <c r="L164" t="s">
        <v>179</v>
      </c>
      <c r="M164" t="s">
        <v>179</v>
      </c>
      <c r="N164" t="s">
        <v>35</v>
      </c>
      <c r="O164">
        <v>6</v>
      </c>
      <c r="P164">
        <v>5</v>
      </c>
      <c r="R164">
        <v>1</v>
      </c>
      <c r="S164">
        <v>1</v>
      </c>
      <c r="T164">
        <v>3</v>
      </c>
      <c r="U164">
        <v>1</v>
      </c>
      <c r="AC164" s="9">
        <f>(R164*((EXP(3.19*(LOG10(125))))-5.29))+(S164*((EXP(3.19*(LOG10(175))))-5.29))+(T164*((EXP(3.19*(LOG10(225))))-5.29))+(U164*((EXP(3.19*(LOG10(275))))-5.29))</f>
        <v>9891.4953230803767</v>
      </c>
    </row>
    <row r="165" spans="1:30" hidden="1">
      <c r="A165" s="6">
        <v>40045</v>
      </c>
      <c r="B165" t="s">
        <v>469</v>
      </c>
      <c r="C165" t="s">
        <v>818</v>
      </c>
      <c r="D165" t="s">
        <v>566</v>
      </c>
      <c r="E165" t="s">
        <v>472</v>
      </c>
      <c r="F165" s="7">
        <v>10</v>
      </c>
      <c r="G165">
        <v>7.5</v>
      </c>
      <c r="H165">
        <v>5</v>
      </c>
      <c r="I165">
        <v>5</v>
      </c>
      <c r="J165" t="s">
        <v>747</v>
      </c>
      <c r="K165" t="s">
        <v>474</v>
      </c>
      <c r="L165" t="s">
        <v>174</v>
      </c>
      <c r="M165" t="s">
        <v>174</v>
      </c>
      <c r="N165" t="s">
        <v>748</v>
      </c>
      <c r="O165">
        <v>1</v>
      </c>
      <c r="P165">
        <v>1</v>
      </c>
      <c r="Z165">
        <v>65</v>
      </c>
      <c r="AC165">
        <f>(1*(0.013*(65^3)))</f>
        <v>3570.125</v>
      </c>
    </row>
    <row r="166" spans="1:30" hidden="1">
      <c r="A166" s="6">
        <v>40045</v>
      </c>
      <c r="B166" t="s">
        <v>469</v>
      </c>
      <c r="C166" t="s">
        <v>818</v>
      </c>
      <c r="D166" t="s">
        <v>566</v>
      </c>
      <c r="E166" t="s">
        <v>472</v>
      </c>
      <c r="F166" s="7">
        <v>10</v>
      </c>
      <c r="G166">
        <v>7.5</v>
      </c>
      <c r="H166">
        <v>5</v>
      </c>
      <c r="I166">
        <v>5</v>
      </c>
      <c r="J166" t="s">
        <v>747</v>
      </c>
      <c r="K166" t="s">
        <v>474</v>
      </c>
      <c r="L166" t="s">
        <v>199</v>
      </c>
      <c r="M166" t="s">
        <v>175</v>
      </c>
      <c r="N166" s="9" t="s">
        <v>38</v>
      </c>
      <c r="O166">
        <v>4</v>
      </c>
      <c r="P166">
        <v>0</v>
      </c>
      <c r="Q166" t="s">
        <v>749</v>
      </c>
      <c r="AB166">
        <v>0</v>
      </c>
      <c r="AC166">
        <f>(4*(0.0175*(4^3))+R166*(0.0175*(12.5^3)))+(S166*(0.0175*(17.5^3)))+(T166*(0.0175*(22.5^3)))+(U166*(0.0175*(27.5^3)))+(V166*(0.0175*(32.5^3)))+(W166*(0.0175*(37.5^3)))+(X166*(0.0175*(42.5^3)))+(Y166*(0.0175*(27.5^3)))</f>
        <v>4.4800000000000004</v>
      </c>
      <c r="AD166">
        <f>((S166*(0.0175*(17.5^3)))+(T166*(0.0175*(22.5^3)))+(U166*(0.0175*(27.5^3)))+(V166*(0.0175*(32.5^3)))+(W166*(0.0175*(37.5^3)))+(X166*(0.0175*(42.5^3)))+(Y166*(0.0175*(27.5^3))))</f>
        <v>0</v>
      </c>
    </row>
    <row r="167" spans="1:30" hidden="1">
      <c r="A167" s="6">
        <v>40045</v>
      </c>
      <c r="B167" t="s">
        <v>469</v>
      </c>
      <c r="C167" t="s">
        <v>818</v>
      </c>
      <c r="D167" t="s">
        <v>566</v>
      </c>
      <c r="E167" t="s">
        <v>472</v>
      </c>
      <c r="F167" s="7">
        <v>10</v>
      </c>
      <c r="G167">
        <v>7.5</v>
      </c>
      <c r="H167">
        <v>5</v>
      </c>
      <c r="I167">
        <v>5</v>
      </c>
      <c r="J167" t="s">
        <v>747</v>
      </c>
      <c r="K167" t="s">
        <v>474</v>
      </c>
      <c r="L167" s="9" t="s">
        <v>57</v>
      </c>
      <c r="M167" s="9" t="s">
        <v>175</v>
      </c>
      <c r="N167" t="s">
        <v>750</v>
      </c>
      <c r="O167">
        <v>55</v>
      </c>
      <c r="P167">
        <v>0</v>
      </c>
      <c r="Q167" t="s">
        <v>751</v>
      </c>
      <c r="AB167">
        <v>0</v>
      </c>
      <c r="AC167">
        <f>(55*(0.000007*(60^3.144)))</f>
        <v>149.95752389323175</v>
      </c>
      <c r="AD167">
        <f>(S167*(0.000007*(175^3.144)))</f>
        <v>0</v>
      </c>
    </row>
    <row r="168" spans="1:30" hidden="1">
      <c r="A168" s="6">
        <v>40045</v>
      </c>
      <c r="B168" t="s">
        <v>469</v>
      </c>
      <c r="C168" t="s">
        <v>818</v>
      </c>
      <c r="D168" t="s">
        <v>566</v>
      </c>
      <c r="E168" t="s">
        <v>472</v>
      </c>
      <c r="F168" s="7">
        <v>10</v>
      </c>
      <c r="G168">
        <v>7.5</v>
      </c>
      <c r="H168">
        <v>5</v>
      </c>
      <c r="I168">
        <v>5</v>
      </c>
      <c r="J168" t="s">
        <v>747</v>
      </c>
      <c r="K168" t="s">
        <v>474</v>
      </c>
      <c r="L168" t="s">
        <v>170</v>
      </c>
      <c r="M168" t="s">
        <v>170</v>
      </c>
      <c r="N168" t="s">
        <v>477</v>
      </c>
      <c r="O168">
        <v>1</v>
      </c>
      <c r="P168">
        <v>0</v>
      </c>
      <c r="Q168" t="s">
        <v>569</v>
      </c>
      <c r="AC168">
        <f>(0*(0.0156*(7^3))+0*(0.0156*(8^3))+1*(0.0156*(9^3))+0*(0.0156*(10^3))+0*(0.0156*(12^3))+0*(0.0156*(12.5^3)))+(S168*(0.0156*(17.5^3)))+(T168*(0.0156*(22.5^3)))+(U168*(0.0156*(27.5^3)))+(V168*(0.0156*(32.5^3)))+(W168*(0.0156*(37.5^3)))+(X168*(0.0156*(42.5^3)))+(Y168*(0.0156*(27.5^3)))</f>
        <v>11.372399999999999</v>
      </c>
    </row>
    <row r="169" spans="1:30" hidden="1">
      <c r="A169" s="6">
        <v>40045</v>
      </c>
      <c r="B169" t="s">
        <v>469</v>
      </c>
      <c r="C169" t="s">
        <v>818</v>
      </c>
      <c r="D169" t="s">
        <v>566</v>
      </c>
      <c r="E169" t="s">
        <v>472</v>
      </c>
      <c r="F169" s="7">
        <v>10</v>
      </c>
      <c r="G169">
        <v>7.5</v>
      </c>
      <c r="H169">
        <v>6</v>
      </c>
      <c r="I169">
        <v>6</v>
      </c>
      <c r="J169" t="s">
        <v>747</v>
      </c>
      <c r="K169" t="s">
        <v>474</v>
      </c>
      <c r="L169" t="s">
        <v>170</v>
      </c>
      <c r="M169" t="s">
        <v>170</v>
      </c>
      <c r="N169" t="s">
        <v>476</v>
      </c>
      <c r="O169">
        <v>2</v>
      </c>
      <c r="P169">
        <v>2</v>
      </c>
      <c r="W169">
        <v>2</v>
      </c>
      <c r="AC169">
        <f>(0*(0.0156*(7^3))+0*(0.0156*(8^3))+0*(0.0156*(9^3))+0*(0.0156*(10^3))+0*(0.0156*(12^3))+0*(0.0156*(12.5^3)))+(S169*(0.0156*(17.5^3)))+(T169*(0.0156*(22.5^3)))+(U169*(0.0156*(27.5^3)))+(V169*(0.0156*(32.5^3)))+(W169*(0.0156*(37.5^3)))+(X169*(0.0156*(42.5^3)))+(Y169*(0.0156*(27.5^3)))</f>
        <v>1645.3125</v>
      </c>
    </row>
    <row r="170" spans="1:30" hidden="1">
      <c r="A170" s="6">
        <v>40045</v>
      </c>
      <c r="B170" t="s">
        <v>469</v>
      </c>
      <c r="C170" t="s">
        <v>818</v>
      </c>
      <c r="D170" t="s">
        <v>566</v>
      </c>
      <c r="E170" t="s">
        <v>472</v>
      </c>
      <c r="F170" s="7">
        <v>10</v>
      </c>
      <c r="G170">
        <v>7.5</v>
      </c>
      <c r="H170">
        <v>6</v>
      </c>
      <c r="I170">
        <v>6</v>
      </c>
      <c r="J170" t="s">
        <v>747</v>
      </c>
      <c r="K170" t="s">
        <v>474</v>
      </c>
      <c r="L170" t="s">
        <v>170</v>
      </c>
      <c r="M170" t="s">
        <v>170</v>
      </c>
      <c r="N170" t="s">
        <v>477</v>
      </c>
      <c r="O170">
        <v>1</v>
      </c>
      <c r="P170">
        <v>0</v>
      </c>
      <c r="R170" t="s">
        <v>570</v>
      </c>
      <c r="AC170">
        <f>(0*(0.0156*(7^3))+0*(0.0156*(8^3))+0*(0.0156*(9^3))+0*(0.0156*(10^3))+1*(0.0156*(11^3))+0*(0.0156*(12.5^3)))+(S170*(0.0156*(17.5^3)))+(T170*(0.0156*(22.5^3)))+(U170*(0.0156*(27.5^3)))+(V170*(0.0156*(32.5^3)))+(W170*(0.0156*(37.5^3)))+(X170*(0.0156*(42.5^3)))+(Y170*(0.0156*(27.5^3)))</f>
        <v>20.7636</v>
      </c>
    </row>
    <row r="171" spans="1:30">
      <c r="A171" s="6">
        <v>40045</v>
      </c>
      <c r="B171" t="s">
        <v>469</v>
      </c>
      <c r="C171" t="s">
        <v>818</v>
      </c>
      <c r="D171" t="s">
        <v>566</v>
      </c>
      <c r="E171" t="s">
        <v>472</v>
      </c>
      <c r="F171" s="7">
        <v>10</v>
      </c>
      <c r="G171">
        <v>7.5</v>
      </c>
      <c r="H171">
        <v>6</v>
      </c>
      <c r="I171">
        <v>6</v>
      </c>
      <c r="J171" t="s">
        <v>747</v>
      </c>
      <c r="K171" t="s">
        <v>474</v>
      </c>
      <c r="L171" t="s">
        <v>252</v>
      </c>
      <c r="M171" t="s">
        <v>263</v>
      </c>
      <c r="N171" t="s">
        <v>571</v>
      </c>
      <c r="O171">
        <v>10</v>
      </c>
      <c r="P171">
        <v>7</v>
      </c>
      <c r="R171" t="s">
        <v>572</v>
      </c>
      <c r="S171">
        <v>3</v>
      </c>
      <c r="T171">
        <v>2</v>
      </c>
      <c r="U171">
        <v>2</v>
      </c>
      <c r="AB171">
        <v>1697.5609374999999</v>
      </c>
      <c r="AC171">
        <f>(3*(0.0211*(12.5^3)))+(S171*(0.0211*(17.5^3)))+(T171*(0.0211*(22.5^3)))+(U171*(0.0211*(27.5^3)))+(V171*(0.0211*(32.5^3)))+(W171*(0.0211*(37.5^3)))+(X171*(0.0211*(42.5^3)))+(Y171*(0.0211*(27.5^3)))</f>
        <v>1821.1937499999999</v>
      </c>
      <c r="AD171">
        <f>(S171*(0.0211*(17.5^3)))+(T171*(0.0211*(22.5^3)))+(U171*(0.0211*(27.5^3)))+(V171*(0.0211*(32.5^3)))+(W171*(0.0211*(37.5^3)))+(X171*(0.0211*(42.5^3)))+(Y171*(0.0211*(27.5^3)))</f>
        <v>1697.5609374999999</v>
      </c>
    </row>
    <row r="172" spans="1:30" hidden="1">
      <c r="A172" s="6">
        <v>40045</v>
      </c>
      <c r="B172" t="s">
        <v>469</v>
      </c>
      <c r="C172" t="s">
        <v>818</v>
      </c>
      <c r="D172" t="s">
        <v>566</v>
      </c>
      <c r="E172" t="s">
        <v>472</v>
      </c>
      <c r="F172" s="7">
        <v>10</v>
      </c>
      <c r="G172">
        <v>7.5</v>
      </c>
      <c r="H172">
        <v>6</v>
      </c>
      <c r="I172">
        <v>6</v>
      </c>
      <c r="J172" t="s">
        <v>747</v>
      </c>
      <c r="K172" t="s">
        <v>474</v>
      </c>
      <c r="L172" t="s">
        <v>170</v>
      </c>
      <c r="M172" t="s">
        <v>170</v>
      </c>
      <c r="N172" t="s">
        <v>475</v>
      </c>
      <c r="O172">
        <v>1</v>
      </c>
      <c r="P172">
        <v>1</v>
      </c>
      <c r="V172">
        <v>1</v>
      </c>
      <c r="AC172">
        <f>(0*(0.0156*(7^3))+0*(0.0156*(8^3))+0*(0.0156*(9^3))+0*(0.0156*(10^3))+0*(0.0156*(12^3))+0*(0.0156*(12.5^3)))+(S172*(0.0156*(17.5^3)))+(T172*(0.0156*(22.5^3)))+(U172*(0.0156*(27.5^3)))+(V172*(0.0156*(32.5^3)))+(W172*(0.0156*(37.5^3)))+(X172*(0.0156*(42.5^3)))+(Y172*(0.0156*(27.5^3)))</f>
        <v>535.51874999999995</v>
      </c>
    </row>
    <row r="173" spans="1:30" hidden="1">
      <c r="A173" s="6">
        <v>40045</v>
      </c>
      <c r="B173" t="s">
        <v>469</v>
      </c>
      <c r="C173" t="s">
        <v>818</v>
      </c>
      <c r="D173" t="s">
        <v>566</v>
      </c>
      <c r="E173" t="s">
        <v>472</v>
      </c>
      <c r="F173" s="7">
        <v>10</v>
      </c>
      <c r="G173">
        <v>7.5</v>
      </c>
      <c r="H173">
        <v>6</v>
      </c>
      <c r="I173">
        <v>6</v>
      </c>
      <c r="J173" t="s">
        <v>747</v>
      </c>
      <c r="K173" t="s">
        <v>474</v>
      </c>
      <c r="L173" s="9" t="s">
        <v>107</v>
      </c>
      <c r="M173" s="9" t="s">
        <v>202</v>
      </c>
      <c r="N173" t="s">
        <v>573</v>
      </c>
      <c r="O173">
        <v>1</v>
      </c>
      <c r="P173">
        <v>0</v>
      </c>
      <c r="R173" t="s">
        <v>570</v>
      </c>
      <c r="AC173">
        <f>(1*(0.0043*(11^3.018)))</f>
        <v>5.9757384313780317</v>
      </c>
    </row>
    <row r="174" spans="1:30">
      <c r="A174" s="6">
        <v>40046</v>
      </c>
      <c r="B174" t="s">
        <v>465</v>
      </c>
      <c r="C174" t="s">
        <v>574</v>
      </c>
      <c r="D174" t="s">
        <v>575</v>
      </c>
      <c r="E174" t="s">
        <v>472</v>
      </c>
      <c r="G174" t="s">
        <v>576</v>
      </c>
      <c r="H174">
        <v>1</v>
      </c>
      <c r="I174">
        <v>1</v>
      </c>
      <c r="J174" t="s">
        <v>747</v>
      </c>
      <c r="K174" t="s">
        <v>474</v>
      </c>
      <c r="L174" t="s">
        <v>252</v>
      </c>
      <c r="M174" t="s">
        <v>263</v>
      </c>
      <c r="N174" t="s">
        <v>211</v>
      </c>
      <c r="O174">
        <v>108</v>
      </c>
      <c r="P174">
        <v>9</v>
      </c>
      <c r="R174" t="s">
        <v>577</v>
      </c>
      <c r="T174">
        <v>2</v>
      </c>
      <c r="U174">
        <v>2</v>
      </c>
      <c r="W174">
        <v>3</v>
      </c>
      <c r="X174">
        <v>2</v>
      </c>
      <c r="AB174">
        <v>7935.9078124999996</v>
      </c>
      <c r="AC174">
        <f>(99*(0.0211*(12.5^3)))+(S174*(0.0211*(17.5^3)))+(T174*(0.0211*(22.5^3)))+(U174*(0.0211*(27.5^3)))+(V174*(0.0211*(32.5^3)))+(W174*(0.0211*(37.5^3)))+(X174*(0.0211*(42.5^3)))+(Y174*(0.0211*(27.5^3)))</f>
        <v>12015.790625</v>
      </c>
      <c r="AD174">
        <f>(S174*(0.0211*(17.5^3)))+(T174*(0.0211*(22.5^3)))+(U174*(0.0211*(27.5^3)))+(V174*(0.0211*(32.5^3)))+(W174*(0.0211*(37.5^3)))+(X174*(0.0211*(42.5^3)))+(Y174*(0.0211*(27.5^3)))</f>
        <v>7935.9078124999996</v>
      </c>
    </row>
    <row r="175" spans="1:30" hidden="1">
      <c r="A175" s="6">
        <v>40046</v>
      </c>
      <c r="B175" t="s">
        <v>469</v>
      </c>
      <c r="C175" t="s">
        <v>578</v>
      </c>
      <c r="D175" t="s">
        <v>575</v>
      </c>
      <c r="E175" t="s">
        <v>472</v>
      </c>
      <c r="G175" t="s">
        <v>576</v>
      </c>
      <c r="H175">
        <v>1</v>
      </c>
      <c r="I175">
        <v>1</v>
      </c>
      <c r="J175" t="s">
        <v>747</v>
      </c>
      <c r="K175" t="s">
        <v>474</v>
      </c>
      <c r="L175" t="s">
        <v>170</v>
      </c>
      <c r="M175" t="s">
        <v>170</v>
      </c>
      <c r="N175" t="s">
        <v>476</v>
      </c>
      <c r="O175">
        <v>5</v>
      </c>
      <c r="P175">
        <v>5</v>
      </c>
      <c r="V175">
        <v>2</v>
      </c>
      <c r="W175">
        <v>3</v>
      </c>
      <c r="AC175">
        <f>(0*(0.0156*(7^3))+0*(0.0156*(8^3))+0*(0.0156*(9^3))+0*(0.0156*(10^3))+0*(0.0156*(12^3))+0*(0.0156*(12.5^3)))+(S175*(0.0156*(17.5^3)))+(T175*(0.0156*(22.5^3)))+(U175*(0.0156*(27.5^3)))+(V175*(0.0156*(32.5^3)))+(W175*(0.0156*(37.5^3)))+(X175*(0.0156*(42.5^3)))+(Y175*(0.0156*(27.5^3)))</f>
        <v>3539.0062499999999</v>
      </c>
    </row>
    <row r="176" spans="1:30" hidden="1">
      <c r="A176" s="6">
        <v>40046</v>
      </c>
      <c r="B176" t="s">
        <v>469</v>
      </c>
      <c r="C176" t="s">
        <v>578</v>
      </c>
      <c r="D176" t="s">
        <v>575</v>
      </c>
      <c r="E176" t="s">
        <v>472</v>
      </c>
      <c r="G176" t="s">
        <v>576</v>
      </c>
      <c r="H176">
        <v>1</v>
      </c>
      <c r="I176">
        <v>1</v>
      </c>
      <c r="J176" t="s">
        <v>747</v>
      </c>
      <c r="K176" t="s">
        <v>474</v>
      </c>
      <c r="L176" t="s">
        <v>170</v>
      </c>
      <c r="M176" t="s">
        <v>170</v>
      </c>
      <c r="N176" t="s">
        <v>475</v>
      </c>
      <c r="O176">
        <v>1</v>
      </c>
      <c r="P176">
        <v>1</v>
      </c>
      <c r="T176">
        <v>1</v>
      </c>
      <c r="AC176">
        <f>(0*(0.0156*(7^3))+0*(0.0156*(8^3))+0*(0.0156*(9^3))+0*(0.0156*(10^3))+0*(0.0156*(12^3))+0*(0.0156*(12.5^3)))+(S176*(0.0156*(17.5^3)))+(T176*(0.0156*(22.5^3)))+(U176*(0.0156*(27.5^3)))+(V176*(0.0156*(32.5^3)))+(W176*(0.0156*(37.5^3)))+(X176*(0.0156*(42.5^3)))+(Y176*(0.0156*(27.5^3)))</f>
        <v>177.69374999999999</v>
      </c>
    </row>
    <row r="177" spans="1:30" hidden="1">
      <c r="A177" s="6">
        <v>40046</v>
      </c>
      <c r="B177" t="s">
        <v>469</v>
      </c>
      <c r="C177" t="s">
        <v>578</v>
      </c>
      <c r="D177" t="s">
        <v>575</v>
      </c>
      <c r="E177" t="s">
        <v>472</v>
      </c>
      <c r="G177" t="s">
        <v>576</v>
      </c>
      <c r="H177">
        <v>1</v>
      </c>
      <c r="I177">
        <v>1</v>
      </c>
      <c r="J177" t="s">
        <v>747</v>
      </c>
      <c r="K177" t="s">
        <v>474</v>
      </c>
      <c r="L177" s="9" t="s">
        <v>57</v>
      </c>
      <c r="M177" s="9" t="s">
        <v>175</v>
      </c>
      <c r="N177" t="s">
        <v>458</v>
      </c>
      <c r="O177">
        <v>2</v>
      </c>
      <c r="P177">
        <v>0</v>
      </c>
      <c r="Q177" t="s">
        <v>579</v>
      </c>
      <c r="AB177">
        <v>0</v>
      </c>
      <c r="AC177">
        <f>(2*(0.000007*(70^3.144)))</f>
        <v>8.8535261319409582</v>
      </c>
      <c r="AD177">
        <f>(S177*(0.000007*(175^3.144)))</f>
        <v>0</v>
      </c>
    </row>
    <row r="178" spans="1:30" hidden="1">
      <c r="A178" s="6">
        <v>40046</v>
      </c>
      <c r="B178" t="s">
        <v>469</v>
      </c>
      <c r="C178" t="s">
        <v>578</v>
      </c>
      <c r="D178" t="s">
        <v>575</v>
      </c>
      <c r="E178" t="s">
        <v>472</v>
      </c>
      <c r="G178" t="s">
        <v>576</v>
      </c>
      <c r="H178">
        <v>1</v>
      </c>
      <c r="I178">
        <v>1</v>
      </c>
      <c r="J178" t="s">
        <v>747</v>
      </c>
      <c r="K178" t="s">
        <v>474</v>
      </c>
      <c r="L178" t="s">
        <v>174</v>
      </c>
      <c r="M178" t="s">
        <v>174</v>
      </c>
      <c r="N178" t="s">
        <v>748</v>
      </c>
      <c r="O178">
        <v>1</v>
      </c>
      <c r="P178">
        <v>1</v>
      </c>
      <c r="Z178" t="s">
        <v>580</v>
      </c>
      <c r="AC178">
        <f>(1*(0.013*(60^3)))</f>
        <v>2808</v>
      </c>
    </row>
    <row r="179" spans="1:30" hidden="1">
      <c r="A179" s="6">
        <v>40046</v>
      </c>
      <c r="B179" t="s">
        <v>469</v>
      </c>
      <c r="C179" t="s">
        <v>578</v>
      </c>
      <c r="D179" t="s">
        <v>575</v>
      </c>
      <c r="E179" t="s">
        <v>472</v>
      </c>
      <c r="G179" t="s">
        <v>576</v>
      </c>
      <c r="H179">
        <v>1</v>
      </c>
      <c r="I179">
        <v>1</v>
      </c>
      <c r="J179" t="s">
        <v>747</v>
      </c>
      <c r="K179" t="s">
        <v>474</v>
      </c>
      <c r="L179" t="s">
        <v>179</v>
      </c>
      <c r="M179" t="s">
        <v>179</v>
      </c>
      <c r="N179" t="s">
        <v>35</v>
      </c>
      <c r="O179">
        <v>1</v>
      </c>
      <c r="P179">
        <v>0</v>
      </c>
      <c r="R179">
        <v>1</v>
      </c>
      <c r="AC179" s="9">
        <f>(R179*((EXP(3.19*(LOG10(125))))-5.29))+(S179*((EXP(3.19*(LOG10(175))))-5.29))+(T179*((EXP(3.19*(LOG10(225))))-5.29))+(U179*((EXP(3.19*(LOG10(275))))-5.29))</f>
        <v>798.34319624037357</v>
      </c>
    </row>
    <row r="180" spans="1:30">
      <c r="A180" s="6">
        <v>40046</v>
      </c>
      <c r="B180" t="s">
        <v>469</v>
      </c>
      <c r="C180" t="s">
        <v>578</v>
      </c>
      <c r="D180" t="s">
        <v>575</v>
      </c>
      <c r="E180" t="s">
        <v>472</v>
      </c>
      <c r="G180" t="s">
        <v>581</v>
      </c>
      <c r="H180">
        <v>2</v>
      </c>
      <c r="I180">
        <v>2</v>
      </c>
      <c r="J180" t="s">
        <v>747</v>
      </c>
      <c r="K180" t="s">
        <v>474</v>
      </c>
      <c r="L180" t="s">
        <v>252</v>
      </c>
      <c r="M180" t="s">
        <v>263</v>
      </c>
      <c r="N180" t="s">
        <v>211</v>
      </c>
      <c r="O180">
        <v>200</v>
      </c>
      <c r="P180">
        <v>10</v>
      </c>
      <c r="R180" t="s">
        <v>582</v>
      </c>
      <c r="S180" t="s">
        <v>583</v>
      </c>
      <c r="T180">
        <v>4</v>
      </c>
      <c r="U180">
        <v>1</v>
      </c>
      <c r="W180">
        <v>1</v>
      </c>
      <c r="X180">
        <v>1</v>
      </c>
      <c r="AB180">
        <v>4430.0109375000002</v>
      </c>
      <c r="AC180">
        <f>(35*(0.0211*(12.5^3)))+(3*(0.0211*(17.5^3)))+(T180*(0.0211*(22.5^3)))+(U180*(0.0211*(27.5^3)))+(V180*(0.0211*(32.5^3)))+(W180*(0.0211*(37.5^3)))+(X180*(0.0211*(42.5^3)))+(Y180*(0.0211*(27.5^3)))</f>
        <v>5914.2640624999995</v>
      </c>
      <c r="AD180">
        <f>(1*(0.0211*(15^3)))+(2*(0.0211*(17.5^3)))+(T180*(0.0211*(22.5^3)))+(U180*(0.0211*(27.5^3)))+(V180*(0.0211*(32.5^3)))+(W180*(0.0211*(37.5^3)))+(X180*(0.0211*(42.5^3)))+(Y180*(0.0211*(27.5^3)))</f>
        <v>4430.0109375000002</v>
      </c>
    </row>
    <row r="181" spans="1:30" hidden="1">
      <c r="A181" s="6">
        <v>40046</v>
      </c>
      <c r="B181" t="s">
        <v>469</v>
      </c>
      <c r="C181" t="s">
        <v>578</v>
      </c>
      <c r="D181" t="s">
        <v>575</v>
      </c>
      <c r="E181" t="s">
        <v>472</v>
      </c>
      <c r="G181" t="s">
        <v>581</v>
      </c>
      <c r="H181">
        <v>2</v>
      </c>
      <c r="I181">
        <v>2</v>
      </c>
      <c r="J181" t="s">
        <v>747</v>
      </c>
      <c r="K181" t="s">
        <v>474</v>
      </c>
      <c r="L181" t="s">
        <v>170</v>
      </c>
      <c r="M181" t="s">
        <v>170</v>
      </c>
      <c r="N181" t="s">
        <v>477</v>
      </c>
      <c r="O181">
        <v>1</v>
      </c>
      <c r="P181">
        <v>0</v>
      </c>
      <c r="R181" t="s">
        <v>584</v>
      </c>
      <c r="AC181">
        <f>(0*(0.0156*(7^3))+0*(0.0156*(8^3))+0*(0.0156*(9^3))+0*(0.0156*(10^3))+1*(0.0156*(13^3))+0*(0.0156*(12.5^3)))+(S181*(0.0156*(17.5^3)))+(T181*(0.0156*(22.5^3)))+(U181*(0.0156*(27.5^3)))+(V181*(0.0156*(32.5^3)))+(W181*(0.0156*(37.5^3)))+(X181*(0.0156*(42.5^3)))+(Y181*(0.0156*(27.5^3)))</f>
        <v>34.273199999999996</v>
      </c>
    </row>
    <row r="182" spans="1:30" hidden="1">
      <c r="A182" s="6">
        <v>40046</v>
      </c>
      <c r="B182" t="s">
        <v>469</v>
      </c>
      <c r="C182" t="s">
        <v>578</v>
      </c>
      <c r="D182" t="s">
        <v>575</v>
      </c>
      <c r="E182" t="s">
        <v>472</v>
      </c>
      <c r="G182" t="s">
        <v>581</v>
      </c>
      <c r="H182">
        <v>2</v>
      </c>
      <c r="I182">
        <v>2</v>
      </c>
      <c r="J182" t="s">
        <v>747</v>
      </c>
      <c r="K182" t="s">
        <v>474</v>
      </c>
      <c r="L182" t="s">
        <v>170</v>
      </c>
      <c r="M182" t="s">
        <v>170</v>
      </c>
      <c r="N182" t="s">
        <v>476</v>
      </c>
      <c r="O182">
        <v>5</v>
      </c>
      <c r="P182">
        <v>5</v>
      </c>
      <c r="V182">
        <v>1</v>
      </c>
      <c r="W182">
        <v>3</v>
      </c>
      <c r="X182">
        <v>1</v>
      </c>
      <c r="AC182">
        <f>(0*(0.0156*(7^3))+0*(0.0156*(8^3))+0*(0.0156*(9^3))+0*(0.0156*(10^3))+0*(0.0156*(12^3))+0*(0.0156*(12.5^3)))+(S182*(0.0156*(17.5^3)))+(T182*(0.0156*(22.5^3)))+(U182*(0.0156*(27.5^3)))+(V182*(0.0156*(32.5^3)))+(W182*(0.0156*(37.5^3)))+(X182*(0.0156*(42.5^3)))+(Y182*(0.0156*(27.5^3)))</f>
        <v>4201.03125</v>
      </c>
    </row>
    <row r="183" spans="1:30" hidden="1">
      <c r="A183" s="6">
        <v>40046</v>
      </c>
      <c r="B183" t="s">
        <v>469</v>
      </c>
      <c r="C183" t="s">
        <v>578</v>
      </c>
      <c r="D183" t="s">
        <v>575</v>
      </c>
      <c r="E183" t="s">
        <v>472</v>
      </c>
      <c r="G183" t="s">
        <v>581</v>
      </c>
      <c r="H183">
        <v>2</v>
      </c>
      <c r="I183">
        <v>2</v>
      </c>
      <c r="J183" t="s">
        <v>747</v>
      </c>
      <c r="K183" t="s">
        <v>474</v>
      </c>
      <c r="L183" t="s">
        <v>199</v>
      </c>
      <c r="M183" t="s">
        <v>175</v>
      </c>
      <c r="N183" t="s">
        <v>38</v>
      </c>
      <c r="O183">
        <v>3</v>
      </c>
      <c r="P183">
        <v>1</v>
      </c>
      <c r="Q183" t="s">
        <v>585</v>
      </c>
      <c r="W183">
        <v>1</v>
      </c>
      <c r="AB183">
        <v>922.85156250000011</v>
      </c>
      <c r="AC183">
        <f>(2*(0.0175*(4^3))+R183*(0.0175*(12.5^3)))+(S183*(0.0175*(17.5^3)))+(T183*(0.0175*(22.5^3)))+(U183*(0.0175*(27.5^3)))+(V183*(0.0175*(32.5^3)))+(W183*(0.0175*(37.5^3)))+(X183*(0.0175*(42.5^3)))+(Y183*(0.0175*(27.5^3)))</f>
        <v>925.09156250000012</v>
      </c>
      <c r="AD183">
        <f>((S183*(0.0175*(17.5^3)))+(T183*(0.0175*(22.5^3)))+(U183*(0.0175*(27.5^3)))+(V183*(0.0175*(32.5^3)))+(W183*(0.0175*(37.5^3)))+(X183*(0.0175*(42.5^3)))+(Y183*(0.0175*(27.5^3))))</f>
        <v>922.85156250000011</v>
      </c>
    </row>
    <row r="184" spans="1:30" hidden="1">
      <c r="A184" s="6">
        <v>40046</v>
      </c>
      <c r="B184" t="s">
        <v>469</v>
      </c>
      <c r="C184" t="s">
        <v>578</v>
      </c>
      <c r="D184" t="s">
        <v>575</v>
      </c>
      <c r="E184" t="s">
        <v>472</v>
      </c>
      <c r="G184" t="s">
        <v>581</v>
      </c>
      <c r="H184">
        <v>2</v>
      </c>
      <c r="I184">
        <v>2</v>
      </c>
      <c r="J184" t="s">
        <v>747</v>
      </c>
      <c r="K184" t="s">
        <v>474</v>
      </c>
      <c r="L184" t="s">
        <v>61</v>
      </c>
      <c r="M184" t="s">
        <v>175</v>
      </c>
      <c r="N184" t="s">
        <v>586</v>
      </c>
      <c r="O184">
        <v>7</v>
      </c>
      <c r="P184">
        <v>7</v>
      </c>
      <c r="S184">
        <v>1</v>
      </c>
      <c r="U184">
        <v>3</v>
      </c>
      <c r="V184">
        <v>3</v>
      </c>
      <c r="AB184">
        <v>2717.4851014709748</v>
      </c>
      <c r="AC184">
        <f>(1*(0.00000779*(175^3.18)))+(U184*(0.00000779*(275^3.18)))+(V184*(0.00000779*(325^3.18)))</f>
        <v>3713.7706262644788</v>
      </c>
      <c r="AD184">
        <f>(S184*(0.000007*(175^3.144)))+(T184*(0.000007*(225^3.144)))+(U184*(0.000007*(275^3.144)))+(V184*(0.000007*(325^3.144)))+(W184*(0.000007*(375^3.144)))+(X184*(0.000007*(425^3.144)))</f>
        <v>2717.4851014709748</v>
      </c>
    </row>
    <row r="185" spans="1:30" hidden="1">
      <c r="A185" s="6">
        <v>40046</v>
      </c>
      <c r="B185" t="s">
        <v>469</v>
      </c>
      <c r="C185" t="s">
        <v>578</v>
      </c>
      <c r="D185" t="s">
        <v>575</v>
      </c>
      <c r="E185" t="s">
        <v>472</v>
      </c>
      <c r="G185" t="s">
        <v>581</v>
      </c>
      <c r="H185">
        <v>2</v>
      </c>
      <c r="I185">
        <v>2</v>
      </c>
      <c r="J185" t="s">
        <v>747</v>
      </c>
      <c r="K185" t="s">
        <v>474</v>
      </c>
      <c r="L185" s="9" t="s">
        <v>209</v>
      </c>
      <c r="M185" s="9" t="s">
        <v>62</v>
      </c>
      <c r="N185" t="s">
        <v>587</v>
      </c>
      <c r="O185">
        <v>1</v>
      </c>
      <c r="P185">
        <v>1</v>
      </c>
      <c r="S185">
        <v>1</v>
      </c>
      <c r="AC185">
        <f>(S185*((2.53*((17.5*10))-0.13)))</f>
        <v>442.61999999999995</v>
      </c>
    </row>
    <row r="186" spans="1:30" hidden="1">
      <c r="A186" s="6">
        <v>40046</v>
      </c>
      <c r="B186" t="s">
        <v>469</v>
      </c>
      <c r="C186" t="s">
        <v>578</v>
      </c>
      <c r="D186" t="s">
        <v>575</v>
      </c>
      <c r="E186" t="s">
        <v>472</v>
      </c>
      <c r="G186" t="s">
        <v>581</v>
      </c>
      <c r="H186">
        <v>2</v>
      </c>
      <c r="I186">
        <v>2</v>
      </c>
      <c r="J186" t="s">
        <v>747</v>
      </c>
      <c r="K186" t="s">
        <v>474</v>
      </c>
      <c r="L186" t="s">
        <v>57</v>
      </c>
      <c r="M186" t="s">
        <v>175</v>
      </c>
      <c r="N186" t="s">
        <v>390</v>
      </c>
      <c r="O186">
        <v>9</v>
      </c>
      <c r="P186">
        <v>0</v>
      </c>
      <c r="R186" t="s">
        <v>391</v>
      </c>
      <c r="AB186">
        <v>0</v>
      </c>
      <c r="AC186">
        <f>9*(0.00000977*(140^3.09))</f>
        <v>376.42001130275077</v>
      </c>
      <c r="AD186">
        <f>(S186*(0.000007*(175^3.144)))+(T186*(0.000007*(225^3.144)))+(U186*(0.000007*(275^3.144)))+(V186*(0.000007*(325^3.144)))+(W186*(0.000007*(375^3.144)))+(X186*(0.000007*(425^3.144)))</f>
        <v>0</v>
      </c>
    </row>
    <row r="187" spans="1:30" hidden="1">
      <c r="A187" s="6">
        <v>40046</v>
      </c>
      <c r="B187" t="s">
        <v>469</v>
      </c>
      <c r="C187" t="s">
        <v>578</v>
      </c>
      <c r="D187" t="s">
        <v>575</v>
      </c>
      <c r="E187" t="s">
        <v>472</v>
      </c>
      <c r="F187" s="7">
        <v>10</v>
      </c>
      <c r="G187" t="s">
        <v>392</v>
      </c>
      <c r="H187">
        <v>3</v>
      </c>
      <c r="I187">
        <v>3</v>
      </c>
      <c r="J187" t="s">
        <v>404</v>
      </c>
      <c r="K187" t="s">
        <v>474</v>
      </c>
      <c r="L187" t="s">
        <v>170</v>
      </c>
      <c r="M187" t="s">
        <v>170</v>
      </c>
      <c r="N187" t="s">
        <v>475</v>
      </c>
      <c r="O187">
        <v>1</v>
      </c>
      <c r="P187">
        <v>1</v>
      </c>
      <c r="V187">
        <v>1</v>
      </c>
      <c r="AC187">
        <f>(0*(0.0156*(7^3))+0*(0.0156*(8^3))+0*(0.0156*(9^3))+0*(0.0156*(10^3))+0*(0.0156*(12^3))+0*(0.0156*(12.5^3)))+(S187*(0.0156*(17.5^3)))+(T187*(0.0156*(22.5^3)))+(U187*(0.0156*(27.5^3)))+(V187*(0.0156*(32.5^3)))+(W187*(0.0156*(37.5^3)))+(X187*(0.0156*(42.5^3)))+(Y187*(0.0156*(27.5^3)))</f>
        <v>535.51874999999995</v>
      </c>
    </row>
    <row r="188" spans="1:30" hidden="1">
      <c r="A188" s="6">
        <v>40046</v>
      </c>
      <c r="B188" t="s">
        <v>469</v>
      </c>
      <c r="C188" t="s">
        <v>578</v>
      </c>
      <c r="D188" t="s">
        <v>575</v>
      </c>
      <c r="E188" t="s">
        <v>472</v>
      </c>
      <c r="F188" s="7">
        <v>10</v>
      </c>
      <c r="G188" t="s">
        <v>392</v>
      </c>
      <c r="H188">
        <v>3</v>
      </c>
      <c r="I188">
        <v>3</v>
      </c>
      <c r="J188" t="s">
        <v>404</v>
      </c>
      <c r="K188" t="s">
        <v>474</v>
      </c>
      <c r="L188" t="s">
        <v>170</v>
      </c>
      <c r="M188" t="s">
        <v>170</v>
      </c>
      <c r="N188" t="s">
        <v>477</v>
      </c>
      <c r="O188">
        <v>4</v>
      </c>
      <c r="P188">
        <v>0</v>
      </c>
      <c r="R188" t="s">
        <v>393</v>
      </c>
      <c r="AC188">
        <f>(0*(0.0156*(7^3))+0*(0.0156*(8^3))+0*(0.0156*(9^3))+2*(0.0156*(10^3))+1*(0.0156*(11^3))+1*(0.0156*(12^3))+0*(0.0156*(12.5^3)))+(S188*(0.0156*(17.5^3)))+(T188*(0.0156*(22.5^3)))+(U188*(0.0156*(27.5^3)))+(V188*(0.0156*(32.5^3)))+(W188*(0.0156*(37.5^3)))+(X188*(0.0156*(42.5^3)))+(Y188*(0.0156*(27.5^3)))</f>
        <v>78.920400000000001</v>
      </c>
    </row>
    <row r="189" spans="1:30" hidden="1">
      <c r="A189" s="6">
        <v>40046</v>
      </c>
      <c r="B189" t="s">
        <v>469</v>
      </c>
      <c r="C189" t="s">
        <v>578</v>
      </c>
      <c r="D189" t="s">
        <v>575</v>
      </c>
      <c r="E189" t="s">
        <v>472</v>
      </c>
      <c r="F189" s="7">
        <v>10</v>
      </c>
      <c r="G189" t="s">
        <v>593</v>
      </c>
      <c r="H189">
        <v>3</v>
      </c>
      <c r="I189">
        <v>3</v>
      </c>
      <c r="J189" t="s">
        <v>404</v>
      </c>
      <c r="K189" t="s">
        <v>474</v>
      </c>
      <c r="L189" t="s">
        <v>170</v>
      </c>
      <c r="M189" t="s">
        <v>170</v>
      </c>
      <c r="N189" t="s">
        <v>476</v>
      </c>
      <c r="O189">
        <v>4</v>
      </c>
      <c r="P189">
        <v>4</v>
      </c>
      <c r="S189">
        <v>1</v>
      </c>
      <c r="V189">
        <v>2</v>
      </c>
      <c r="W189">
        <v>1</v>
      </c>
      <c r="AC189">
        <f>(0*(0.0156*(7^3))+0*(0.0156*(8^3))+0*(0.0156*(9^3))+0*(0.0156*(10^3))+0*(0.0156*(12^3))+0*(0.0156*(12.5^3)))+(S189*(0.0156*(17.5^3)))+(T189*(0.0156*(22.5^3)))+(U189*(0.0156*(27.5^3)))+(V189*(0.0156*(32.5^3)))+(W189*(0.0156*(37.5^3)))+(X189*(0.0156*(42.5^3)))+(Y189*(0.0156*(27.5^3)))</f>
        <v>1977.3</v>
      </c>
    </row>
    <row r="190" spans="1:30" hidden="1">
      <c r="A190" s="6">
        <v>40046</v>
      </c>
      <c r="B190" t="s">
        <v>469</v>
      </c>
      <c r="C190" t="s">
        <v>578</v>
      </c>
      <c r="D190" t="s">
        <v>575</v>
      </c>
      <c r="E190" t="s">
        <v>472</v>
      </c>
      <c r="F190" s="7">
        <v>10</v>
      </c>
      <c r="G190" t="s">
        <v>593</v>
      </c>
      <c r="H190">
        <v>3</v>
      </c>
      <c r="I190">
        <v>3</v>
      </c>
      <c r="J190" t="s">
        <v>404</v>
      </c>
      <c r="K190" t="s">
        <v>474</v>
      </c>
      <c r="L190" t="s">
        <v>174</v>
      </c>
      <c r="M190" t="s">
        <v>174</v>
      </c>
      <c r="N190" t="s">
        <v>748</v>
      </c>
      <c r="O190">
        <v>1</v>
      </c>
      <c r="P190">
        <v>1</v>
      </c>
      <c r="Z190" t="s">
        <v>594</v>
      </c>
      <c r="AC190">
        <f>(1*(0.013*(65^3)))</f>
        <v>3570.125</v>
      </c>
    </row>
    <row r="191" spans="1:30">
      <c r="A191" s="6">
        <v>40046</v>
      </c>
      <c r="B191" t="s">
        <v>469</v>
      </c>
      <c r="C191" t="s">
        <v>578</v>
      </c>
      <c r="D191" t="s">
        <v>575</v>
      </c>
      <c r="E191" t="s">
        <v>472</v>
      </c>
      <c r="F191" s="7">
        <v>10</v>
      </c>
      <c r="G191" t="s">
        <v>593</v>
      </c>
      <c r="H191">
        <v>3</v>
      </c>
      <c r="I191">
        <v>3</v>
      </c>
      <c r="J191" t="s">
        <v>404</v>
      </c>
      <c r="K191" t="s">
        <v>474</v>
      </c>
      <c r="L191" t="s">
        <v>252</v>
      </c>
      <c r="M191" t="s">
        <v>263</v>
      </c>
      <c r="N191" t="s">
        <v>211</v>
      </c>
      <c r="O191">
        <v>4</v>
      </c>
      <c r="P191">
        <v>4</v>
      </c>
      <c r="S191">
        <v>1</v>
      </c>
      <c r="T191">
        <v>2</v>
      </c>
      <c r="U191">
        <v>1</v>
      </c>
      <c r="AB191">
        <v>1032.58125</v>
      </c>
      <c r="AC191">
        <f>(R191*(0.0211*(12.5^3)))+(S191*(0.0211*(17.5^3)))+(T191*(0.0211*(22.5^3)))+(U191*(0.0211*(27.5^3)))+(V191*(0.0211*(32.5^3)))+(W191*(0.0211*(37.5^3)))+(X191*(0.0211*(42.5^3)))+(Y191*(0.0211*(27.5^3)))</f>
        <v>1032.58125</v>
      </c>
      <c r="AD191">
        <f>(S191*(0.0211*(17.5^3)))+(T191*(0.0211*(22.5^3)))+(U191*(0.0211*(27.5^3)))+(V191*(0.0211*(32.5^3)))+(W191*(0.0211*(37.5^3)))+(X191*(0.0211*(42.5^3)))+(Y191*(0.0211*(27.5^3)))</f>
        <v>1032.58125</v>
      </c>
    </row>
    <row r="192" spans="1:30">
      <c r="A192" s="6">
        <v>40046</v>
      </c>
      <c r="B192" t="s">
        <v>465</v>
      </c>
      <c r="C192" t="s">
        <v>574</v>
      </c>
      <c r="D192" t="s">
        <v>595</v>
      </c>
      <c r="E192" t="s">
        <v>415</v>
      </c>
      <c r="F192" s="7">
        <v>10</v>
      </c>
      <c r="G192">
        <v>9</v>
      </c>
      <c r="H192">
        <v>4</v>
      </c>
      <c r="I192">
        <v>4</v>
      </c>
      <c r="J192" t="s">
        <v>404</v>
      </c>
      <c r="K192" t="s">
        <v>643</v>
      </c>
      <c r="L192" t="s">
        <v>252</v>
      </c>
      <c r="M192" t="s">
        <v>263</v>
      </c>
      <c r="N192" t="s">
        <v>211</v>
      </c>
      <c r="O192">
        <v>20</v>
      </c>
      <c r="P192">
        <v>20</v>
      </c>
      <c r="S192" t="s">
        <v>596</v>
      </c>
      <c r="T192">
        <v>10</v>
      </c>
      <c r="U192">
        <v>5</v>
      </c>
      <c r="V192">
        <v>3</v>
      </c>
      <c r="AB192">
        <v>6912.8875000000007</v>
      </c>
      <c r="AC192">
        <f>(R192*(0.0211*(12.5^3)))+(2*(0.0211*(17.5^3)))+(T192*(0.0211*(22.5^3)))+(U192*(0.0211*(27.5^3)))+(V192*(0.0211*(32.5^3)))+(W192*(0.0211*(37.5^3)))+(X192*(0.0211*(42.5^3)))+(Y192*(0.0211*(27.5^3)))</f>
        <v>6996.6281249999993</v>
      </c>
      <c r="AD192">
        <f>(2*(0.0211*(15^3)))+(T192*(0.0211*(22.5^3)))+(U192*(0.0211*(27.5^3)))+(V192*(0.0211*(32.5^3)))+(W192*(0.0211*(37.5^3)))+(X192*(0.0211*(42.5^3)))+(Y192*(0.0211*(27.5^3)))</f>
        <v>6912.8875000000007</v>
      </c>
    </row>
    <row r="193" spans="1:30" hidden="1">
      <c r="A193" s="6">
        <v>40046</v>
      </c>
      <c r="B193" t="s">
        <v>465</v>
      </c>
      <c r="C193" t="s">
        <v>574</v>
      </c>
      <c r="D193" t="s">
        <v>595</v>
      </c>
      <c r="E193" t="s">
        <v>415</v>
      </c>
      <c r="F193" s="7">
        <v>10</v>
      </c>
      <c r="G193">
        <v>9</v>
      </c>
      <c r="H193">
        <v>4</v>
      </c>
      <c r="I193">
        <v>4</v>
      </c>
      <c r="J193" t="s">
        <v>404</v>
      </c>
      <c r="K193" t="s">
        <v>643</v>
      </c>
      <c r="L193" t="s">
        <v>170</v>
      </c>
      <c r="M193" t="s">
        <v>170</v>
      </c>
      <c r="N193" t="s">
        <v>597</v>
      </c>
      <c r="O193">
        <v>3</v>
      </c>
      <c r="P193">
        <v>3</v>
      </c>
      <c r="V193">
        <v>2</v>
      </c>
      <c r="W193">
        <v>1</v>
      </c>
      <c r="AC193">
        <f>(0*(0.0156*(7^3))+0*(0.0156*(8^3))+0*(0.0156*(9^3))+0*(0.0156*(10^3))+0*(0.0156*(12^3))+0*(0.0156*(12.5^3)))+(S193*(0.0156*(17.5^3)))+(T193*(0.0156*(22.5^3)))+(U193*(0.0156*(27.5^3)))+(V193*(0.0156*(32.5^3)))+(W193*(0.0156*(37.5^3)))+(X193*(0.0156*(42.5^3)))+(Y193*(0.0156*(27.5^3)))</f>
        <v>1893.6937499999999</v>
      </c>
    </row>
    <row r="194" spans="1:30" hidden="1">
      <c r="A194" s="6">
        <v>40046</v>
      </c>
      <c r="B194" t="s">
        <v>465</v>
      </c>
      <c r="C194" t="s">
        <v>574</v>
      </c>
      <c r="D194" t="s">
        <v>595</v>
      </c>
      <c r="E194" t="s">
        <v>415</v>
      </c>
      <c r="F194" s="7">
        <v>10</v>
      </c>
      <c r="G194">
        <v>9</v>
      </c>
      <c r="H194">
        <v>4</v>
      </c>
      <c r="I194">
        <v>4</v>
      </c>
      <c r="J194" t="s">
        <v>404</v>
      </c>
      <c r="K194" t="s">
        <v>643</v>
      </c>
      <c r="L194" t="s">
        <v>199</v>
      </c>
      <c r="M194" t="s">
        <v>175</v>
      </c>
      <c r="N194" s="9" t="s">
        <v>38</v>
      </c>
      <c r="O194">
        <v>6</v>
      </c>
      <c r="P194">
        <v>3</v>
      </c>
      <c r="Q194" t="s">
        <v>598</v>
      </c>
      <c r="V194">
        <v>2</v>
      </c>
      <c r="W194">
        <v>1</v>
      </c>
      <c r="AB194">
        <v>2124.3359375000005</v>
      </c>
      <c r="AC194">
        <f>(2*(0.0175*(4^3))+1*(0.0175*(5^3))+R194*(0.0175*(12.5^3)))+(S194*(0.0175*(17.5^3)))+(T194*(0.0175*(22.5^3)))+(U194*(0.0175*(27.5^3)))+(V194*(0.0175*(32.5^3)))+(W194*(0.0175*(37.5^3)))+(X194*(0.0175*(42.5^3)))+(Y194*(0.0175*(27.5^3)))</f>
        <v>2128.7634375000002</v>
      </c>
      <c r="AD194">
        <f>((S194*(0.0175*(17.5^3)))+(T194*(0.0175*(22.5^3)))+(U194*(0.0175*(27.5^3)))+(V194*(0.0175*(32.5^3)))+(W194*(0.0175*(37.5^3)))+(X194*(0.0175*(42.5^3)))+(Y194*(0.0175*(27.5^3))))</f>
        <v>2124.3359375000005</v>
      </c>
    </row>
    <row r="195" spans="1:30" hidden="1">
      <c r="A195" s="6">
        <v>40046</v>
      </c>
      <c r="B195" t="s">
        <v>465</v>
      </c>
      <c r="C195" t="s">
        <v>574</v>
      </c>
      <c r="D195" t="s">
        <v>595</v>
      </c>
      <c r="E195" t="s">
        <v>415</v>
      </c>
      <c r="F195" s="7">
        <v>10</v>
      </c>
      <c r="G195">
        <v>9</v>
      </c>
      <c r="H195">
        <v>4</v>
      </c>
      <c r="I195">
        <v>4</v>
      </c>
      <c r="J195" t="s">
        <v>404</v>
      </c>
      <c r="K195" t="s">
        <v>643</v>
      </c>
      <c r="L195" t="s">
        <v>61</v>
      </c>
      <c r="M195" t="s">
        <v>175</v>
      </c>
      <c r="N195" t="s">
        <v>599</v>
      </c>
      <c r="O195">
        <v>0</v>
      </c>
      <c r="P195">
        <v>0</v>
      </c>
      <c r="Q195" t="s">
        <v>600</v>
      </c>
      <c r="AB195">
        <v>0</v>
      </c>
      <c r="AC195">
        <f>(0.0175*(6^3))+((R195*(0.0175*(12.5^3)))+(S195*(0.0175*(17.5^3)))+(T195*(0.0175*(22.5^3)))+(U195*(0.0175*(27.5^3)))+(V195*(0.0175*(32.5^3)))+(W195*(0.0175*(37.5^3)))+(X195*(0.0175*(42.5^3)))+(Y195*(0.0175*(27.5^3))))</f>
        <v>3.7800000000000002</v>
      </c>
      <c r="AD195">
        <f>(S195*(0.000007*(175^3.144)))+(T195*(0.000007*(225^3.144)))+(U195*(0.000007*(275^3.144)))+(V195*(0.000007*(325^3.144)))+(W195*(0.000007*(375^3.144)))+(X195*(0.000007*(425^3.144)))</f>
        <v>0</v>
      </c>
    </row>
    <row r="196" spans="1:30" hidden="1">
      <c r="A196" s="6">
        <v>40046</v>
      </c>
      <c r="B196" t="s">
        <v>465</v>
      </c>
      <c r="C196" t="s">
        <v>574</v>
      </c>
      <c r="D196" t="s">
        <v>595</v>
      </c>
      <c r="E196" t="s">
        <v>415</v>
      </c>
      <c r="F196" s="7">
        <v>10</v>
      </c>
      <c r="G196">
        <v>9</v>
      </c>
      <c r="H196">
        <v>4</v>
      </c>
      <c r="I196">
        <v>4</v>
      </c>
      <c r="J196" t="s">
        <v>404</v>
      </c>
      <c r="K196" t="s">
        <v>643</v>
      </c>
      <c r="L196" t="s">
        <v>179</v>
      </c>
      <c r="M196" t="s">
        <v>179</v>
      </c>
      <c r="N196" t="s">
        <v>35</v>
      </c>
      <c r="O196">
        <v>4</v>
      </c>
      <c r="P196">
        <v>4</v>
      </c>
      <c r="R196">
        <v>0</v>
      </c>
      <c r="S196">
        <v>2</v>
      </c>
      <c r="T196">
        <v>2</v>
      </c>
      <c r="U196">
        <v>0</v>
      </c>
      <c r="V196">
        <v>0</v>
      </c>
      <c r="AC196" s="9">
        <f>(R196*((EXP(3.19*(LOG10(125))))-5.29))+(S196*((EXP(3.19*(LOG10(175))))-5.29))+(T196*((EXP(3.19*(LOG10(225))))-5.29))+(U196*((EXP(3.19*(LOG10(275))))-5.29))</f>
        <v>6169.1974466499905</v>
      </c>
    </row>
    <row r="197" spans="1:30" hidden="1">
      <c r="A197" s="6">
        <v>40046</v>
      </c>
      <c r="B197" t="s">
        <v>465</v>
      </c>
      <c r="C197" t="s">
        <v>574</v>
      </c>
      <c r="D197" t="s">
        <v>595</v>
      </c>
      <c r="E197" t="s">
        <v>415</v>
      </c>
      <c r="F197" s="7">
        <v>10</v>
      </c>
      <c r="G197">
        <v>9</v>
      </c>
      <c r="H197">
        <v>4</v>
      </c>
      <c r="I197">
        <v>4</v>
      </c>
      <c r="J197" t="s">
        <v>404</v>
      </c>
      <c r="K197" t="s">
        <v>643</v>
      </c>
      <c r="L197" t="s">
        <v>170</v>
      </c>
      <c r="M197" t="s">
        <v>170</v>
      </c>
      <c r="N197" t="s">
        <v>410</v>
      </c>
      <c r="O197">
        <v>1</v>
      </c>
      <c r="P197">
        <v>1</v>
      </c>
      <c r="U197">
        <v>1</v>
      </c>
      <c r="AC197">
        <f>(0*(0.0156*(7^3))+0*(0.0156*(8^3))+0*(0.0156*(9^3))+0*(0.0156*(10^3))+0*(0.0156*(12^3))+0*(0.0156*(12.5^3)))+(S197*(0.0156*(17.5^3)))+(T197*(0.0156*(22.5^3)))+(U197*(0.0156*(27.5^3)))+(V197*(0.0156*(32.5^3)))+(W197*(0.0156*(37.5^3)))+(X197*(0.0156*(42.5^3)))+(Y197*(0.0156*(27.5^3)))</f>
        <v>324.43124999999998</v>
      </c>
    </row>
    <row r="198" spans="1:30" hidden="1">
      <c r="A198" s="6">
        <v>40046</v>
      </c>
      <c r="B198" t="s">
        <v>465</v>
      </c>
      <c r="C198" t="s">
        <v>574</v>
      </c>
      <c r="D198" t="s">
        <v>595</v>
      </c>
      <c r="E198" t="s">
        <v>415</v>
      </c>
      <c r="F198" s="7">
        <v>10</v>
      </c>
      <c r="G198">
        <v>9</v>
      </c>
      <c r="H198">
        <v>4</v>
      </c>
      <c r="I198">
        <v>4</v>
      </c>
      <c r="J198" t="s">
        <v>404</v>
      </c>
      <c r="K198" t="s">
        <v>643</v>
      </c>
      <c r="L198" t="s">
        <v>61</v>
      </c>
      <c r="M198" t="s">
        <v>175</v>
      </c>
      <c r="N198" t="s">
        <v>411</v>
      </c>
      <c r="O198">
        <v>3</v>
      </c>
      <c r="P198">
        <v>0</v>
      </c>
      <c r="R198" t="s">
        <v>412</v>
      </c>
      <c r="AB198">
        <v>0</v>
      </c>
      <c r="AC198">
        <f>3*((0.0000146*(110^3.041)))</f>
        <v>70.688581379745784</v>
      </c>
      <c r="AD198">
        <f>(S198*(0.000007*(175^3.144)))+(T198*(0.000007*(225^3.144)))+(U198*(0.000007*(275^3.144)))+(V198*(0.000007*(325^3.144)))+(W198*(0.000007*(375^3.144)))+(X198*(0.000007*(425^3.144)))</f>
        <v>0</v>
      </c>
    </row>
    <row r="199" spans="1:30">
      <c r="A199" s="6">
        <v>40047</v>
      </c>
      <c r="B199" t="s">
        <v>465</v>
      </c>
      <c r="C199" t="s">
        <v>413</v>
      </c>
      <c r="D199" t="s">
        <v>414</v>
      </c>
      <c r="E199" t="s">
        <v>415</v>
      </c>
      <c r="F199" s="7">
        <v>10</v>
      </c>
      <c r="G199">
        <v>6</v>
      </c>
      <c r="H199">
        <v>3</v>
      </c>
      <c r="I199">
        <v>3</v>
      </c>
      <c r="J199" t="s">
        <v>417</v>
      </c>
      <c r="K199" t="s">
        <v>643</v>
      </c>
      <c r="L199" t="s">
        <v>252</v>
      </c>
      <c r="M199" t="s">
        <v>263</v>
      </c>
      <c r="N199" t="s">
        <v>211</v>
      </c>
      <c r="O199">
        <v>111</v>
      </c>
      <c r="P199">
        <v>8</v>
      </c>
      <c r="R199" t="s">
        <v>838</v>
      </c>
      <c r="S199">
        <v>4</v>
      </c>
      <c r="T199">
        <v>2</v>
      </c>
      <c r="U199">
        <v>1</v>
      </c>
      <c r="V199">
        <v>1</v>
      </c>
      <c r="AB199">
        <v>2096.1531250000003</v>
      </c>
      <c r="AC199">
        <f>(103*(0.0211*(12.5^3)))+(S199*(0.0211*(17.5^3)))+(T199*(0.0211*(22.5^3)))+(U199*(0.0211*(27.5^3)))+(V199*(0.0211*(32.5^3)))+(W199*(0.0211*(37.5^3)))+(X199*(0.0211*(42.5^3)))+(Y199*(0.0211*(27.5^3)))</f>
        <v>6340.8796874999998</v>
      </c>
      <c r="AD199">
        <f>(S199*(0.0211*(17.5^3)))+(T199*(0.0211*(22.5^3)))+(U199*(0.0211*(27.5^3)))+(V199*(0.0211*(32.5^3)))+(W199*(0.0211*(37.5^3)))+(X199*(0.0211*(42.5^3)))+(Y199*(0.0211*(27.5^3)))</f>
        <v>2096.1531250000003</v>
      </c>
    </row>
    <row r="200" spans="1:30" hidden="1">
      <c r="A200" s="6">
        <v>40047</v>
      </c>
      <c r="B200" t="s">
        <v>465</v>
      </c>
      <c r="C200" t="s">
        <v>413</v>
      </c>
      <c r="D200" t="s">
        <v>414</v>
      </c>
      <c r="E200" t="s">
        <v>415</v>
      </c>
      <c r="F200" s="7">
        <v>10</v>
      </c>
      <c r="G200">
        <v>6</v>
      </c>
      <c r="H200">
        <v>3</v>
      </c>
      <c r="I200">
        <v>3</v>
      </c>
      <c r="J200" t="s">
        <v>417</v>
      </c>
      <c r="K200" t="s">
        <v>643</v>
      </c>
      <c r="L200" t="s">
        <v>179</v>
      </c>
      <c r="M200" t="s">
        <v>179</v>
      </c>
      <c r="N200" t="s">
        <v>35</v>
      </c>
      <c r="O200">
        <v>1</v>
      </c>
      <c r="P200">
        <v>1</v>
      </c>
      <c r="R200">
        <v>0</v>
      </c>
      <c r="S200">
        <v>1</v>
      </c>
      <c r="T200">
        <v>0</v>
      </c>
      <c r="U200">
        <v>0</v>
      </c>
      <c r="V200">
        <v>0</v>
      </c>
      <c r="AC200" s="9">
        <f>(R200*((EXP(3.19*(LOG10(125))))-5.29))+(S200*((EXP(3.19*(LOG10(175))))-5.29))+(T200*((EXP(3.19*(LOG10(225))))-5.29))+(U200*((EXP(3.19*(LOG10(275))))-5.29))</f>
        <v>1275.5755960928645</v>
      </c>
    </row>
    <row r="201" spans="1:30" hidden="1">
      <c r="A201" s="6">
        <v>40047</v>
      </c>
      <c r="B201" t="s">
        <v>465</v>
      </c>
      <c r="C201" t="s">
        <v>413</v>
      </c>
      <c r="D201" t="s">
        <v>414</v>
      </c>
      <c r="E201" t="s">
        <v>415</v>
      </c>
      <c r="F201" s="7">
        <v>10</v>
      </c>
      <c r="G201">
        <v>6</v>
      </c>
      <c r="H201">
        <v>3</v>
      </c>
      <c r="I201">
        <v>3</v>
      </c>
      <c r="J201" t="s">
        <v>417</v>
      </c>
      <c r="K201" t="s">
        <v>643</v>
      </c>
      <c r="L201" t="s">
        <v>170</v>
      </c>
      <c r="M201" t="s">
        <v>170</v>
      </c>
      <c r="N201" t="s">
        <v>597</v>
      </c>
      <c r="O201">
        <v>2</v>
      </c>
      <c r="P201">
        <v>2</v>
      </c>
      <c r="U201">
        <v>1</v>
      </c>
      <c r="W201">
        <v>1</v>
      </c>
      <c r="AC201">
        <f>(0*(0.0156*(7^3))+0*(0.0156*(8^3))+0*(0.0156*(9^3))+0*(0.0156*(10^3))+0*(0.0156*(12^3))+0*(0.0156*(12.5^3)))+(S201*(0.0156*(17.5^3)))+(T201*(0.0156*(22.5^3)))+(U201*(0.0156*(27.5^3)))+(V201*(0.0156*(32.5^3)))+(W201*(0.0156*(37.5^3)))+(X201*(0.0156*(42.5^3)))+(Y201*(0.0156*(27.5^3)))</f>
        <v>1147.0875000000001</v>
      </c>
    </row>
    <row r="202" spans="1:30" hidden="1">
      <c r="A202" s="6">
        <v>40047</v>
      </c>
      <c r="B202" t="s">
        <v>465</v>
      </c>
      <c r="C202" t="s">
        <v>413</v>
      </c>
      <c r="D202" t="s">
        <v>414</v>
      </c>
      <c r="E202" t="s">
        <v>415</v>
      </c>
      <c r="F202" s="7">
        <v>10</v>
      </c>
      <c r="G202">
        <v>6</v>
      </c>
      <c r="H202">
        <v>3</v>
      </c>
      <c r="I202">
        <v>3</v>
      </c>
      <c r="J202" t="s">
        <v>417</v>
      </c>
      <c r="K202" t="s">
        <v>643</v>
      </c>
      <c r="L202" t="s">
        <v>199</v>
      </c>
      <c r="M202" t="s">
        <v>175</v>
      </c>
      <c r="N202" s="9" t="s">
        <v>38</v>
      </c>
      <c r="O202">
        <v>3</v>
      </c>
      <c r="P202">
        <v>0</v>
      </c>
      <c r="Q202" t="s">
        <v>839</v>
      </c>
      <c r="AB202">
        <v>0</v>
      </c>
      <c r="AC202">
        <f>(3*(0.0175*(4^3))+R202*(0.0175*(12.5^3)))+(S202*(0.0175*(17.5^3)))+(T202*(0.0175*(22.5^3)))+(U202*(0.0175*(27.5^3)))+(V202*(0.0175*(32.5^3)))+(W202*(0.0175*(37.5^3)))+(X202*(0.0175*(42.5^3)))+(Y202*(0.0175*(27.5^3)))</f>
        <v>3.3600000000000003</v>
      </c>
      <c r="AD202">
        <f>((S202*(0.0175*(17.5^3)))+(T202*(0.0175*(22.5^3)))+(U202*(0.0175*(27.5^3)))+(V202*(0.0175*(32.5^3)))+(W202*(0.0175*(37.5^3)))+(X202*(0.0175*(42.5^3)))+(Y202*(0.0175*(27.5^3))))</f>
        <v>0</v>
      </c>
    </row>
    <row r="203" spans="1:30" hidden="1">
      <c r="A203" s="6">
        <v>40047</v>
      </c>
      <c r="B203" t="s">
        <v>465</v>
      </c>
      <c r="C203" t="s">
        <v>413</v>
      </c>
      <c r="D203" t="s">
        <v>414</v>
      </c>
      <c r="E203" t="s">
        <v>415</v>
      </c>
      <c r="F203" s="7">
        <v>10</v>
      </c>
      <c r="G203" t="s">
        <v>664</v>
      </c>
      <c r="H203">
        <v>4</v>
      </c>
      <c r="I203">
        <v>4</v>
      </c>
      <c r="J203" t="s">
        <v>417</v>
      </c>
      <c r="K203" t="s">
        <v>643</v>
      </c>
      <c r="L203" t="s">
        <v>170</v>
      </c>
      <c r="M203" t="s">
        <v>170</v>
      </c>
      <c r="N203" t="s">
        <v>597</v>
      </c>
      <c r="O203">
        <v>10</v>
      </c>
      <c r="P203">
        <v>10</v>
      </c>
      <c r="S203">
        <v>2</v>
      </c>
      <c r="T203">
        <v>3</v>
      </c>
      <c r="U203">
        <v>3</v>
      </c>
      <c r="V203">
        <v>1</v>
      </c>
      <c r="X203">
        <v>1</v>
      </c>
      <c r="AC203">
        <f>(0*(0.0156*(7^3))+0*(0.0156*(8^3))+0*(0.0156*(9^3))+0*(0.0156*(10^3))+0*(0.0156*(12^3))+0*(0.0156*(12.5^3)))+(S203*(0.0156*(17.5^3)))+(T203*(0.0156*(22.5^3)))+(U203*(0.0156*(27.5^3)))+(V203*(0.0156*(32.5^3)))+(W203*(0.0156*(37.5^3)))+(X203*(0.0156*(42.5^3)))+(Y203*(0.0156*(27.5^3)))</f>
        <v>3406.6499999999996</v>
      </c>
    </row>
    <row r="204" spans="1:30" hidden="1">
      <c r="A204" s="6">
        <v>40047</v>
      </c>
      <c r="B204" t="s">
        <v>465</v>
      </c>
      <c r="C204" t="s">
        <v>413</v>
      </c>
      <c r="D204" t="s">
        <v>414</v>
      </c>
      <c r="E204" t="s">
        <v>415</v>
      </c>
      <c r="F204" s="7">
        <v>10</v>
      </c>
      <c r="G204" t="s">
        <v>664</v>
      </c>
      <c r="H204">
        <v>4</v>
      </c>
      <c r="I204">
        <v>4</v>
      </c>
      <c r="J204" t="s">
        <v>417</v>
      </c>
      <c r="K204" t="s">
        <v>643</v>
      </c>
      <c r="L204" t="s">
        <v>199</v>
      </c>
      <c r="M204" t="s">
        <v>175</v>
      </c>
      <c r="N204" s="9" t="s">
        <v>38</v>
      </c>
      <c r="O204">
        <v>57</v>
      </c>
      <c r="P204">
        <v>1</v>
      </c>
      <c r="Q204" t="s">
        <v>665</v>
      </c>
      <c r="V204">
        <v>1</v>
      </c>
      <c r="AB204">
        <v>600.74218750000011</v>
      </c>
      <c r="AC204">
        <f>(55*(0.0175*(4^3))+1*(0.0175*(3^3))+R204*(0.0175*(12.5^3)))+(S204*(0.0175*(17.5^3)))+(T204*(0.0175*(22.5^3)))+(U204*(0.0175*(27.5^3)))+(V204*(0.0175*(32.5^3)))+(W204*(0.0175*(37.5^3)))+(X204*(0.0175*(42.5^3)))+(Y204*(0.0175*(27.5^3)))</f>
        <v>662.8146875000001</v>
      </c>
      <c r="AD204">
        <f>((S204*(0.0175*(17.5^3)))+(T204*(0.0175*(22.5^3)))+(U204*(0.0175*(27.5^3)))+(V204*(0.0175*(32.5^3)))+(W204*(0.0175*(37.5^3)))+(X204*(0.0175*(42.5^3)))+(Y204*(0.0175*(27.5^3))))</f>
        <v>600.74218750000011</v>
      </c>
    </row>
    <row r="205" spans="1:30" hidden="1">
      <c r="A205" s="6">
        <v>40047</v>
      </c>
      <c r="B205" t="s">
        <v>465</v>
      </c>
      <c r="C205" t="s">
        <v>413</v>
      </c>
      <c r="D205" t="s">
        <v>414</v>
      </c>
      <c r="E205" t="s">
        <v>415</v>
      </c>
      <c r="F205" s="7">
        <v>10</v>
      </c>
      <c r="G205" t="s">
        <v>664</v>
      </c>
      <c r="H205">
        <v>4</v>
      </c>
      <c r="I205">
        <v>4</v>
      </c>
      <c r="J205" t="s">
        <v>417</v>
      </c>
      <c r="K205" t="s">
        <v>643</v>
      </c>
      <c r="L205" t="s">
        <v>170</v>
      </c>
      <c r="M205" t="s">
        <v>170</v>
      </c>
      <c r="N205" t="s">
        <v>666</v>
      </c>
      <c r="O205">
        <v>1</v>
      </c>
      <c r="P205">
        <v>0</v>
      </c>
      <c r="R205" t="s">
        <v>667</v>
      </c>
      <c r="AC205">
        <f>(0*(0.0156*(7^3))+0*(0.0156*(8^3))+0*(0.0156*(9^3))+1*(0.0156*(13^3))+0*(0.0156*(12^3))+0*(0.0156*(12.5^3)))+(S205*(0.0156*(17.5^3)))+(T205*(0.0156*(22.5^3)))+(U205*(0.0156*(27.5^3)))+(V205*(0.0156*(32.5^3)))+(W205*(0.0156*(37.5^3)))+(X205*(0.0156*(42.5^3)))+(Y205*(0.0156*(27.5^3)))</f>
        <v>34.273199999999996</v>
      </c>
    </row>
    <row r="206" spans="1:30" hidden="1">
      <c r="A206" s="6">
        <v>40047</v>
      </c>
      <c r="B206" t="s">
        <v>465</v>
      </c>
      <c r="C206" t="s">
        <v>413</v>
      </c>
      <c r="D206" t="s">
        <v>414</v>
      </c>
      <c r="E206" t="s">
        <v>415</v>
      </c>
      <c r="F206" s="7">
        <v>10</v>
      </c>
      <c r="G206" t="s">
        <v>664</v>
      </c>
      <c r="H206">
        <v>4</v>
      </c>
      <c r="I206">
        <v>4</v>
      </c>
      <c r="J206" t="s">
        <v>417</v>
      </c>
      <c r="K206" t="s">
        <v>643</v>
      </c>
      <c r="L206" s="9" t="s">
        <v>77</v>
      </c>
      <c r="M206" t="s">
        <v>65</v>
      </c>
      <c r="N206" t="s">
        <v>668</v>
      </c>
      <c r="O206">
        <v>35</v>
      </c>
      <c r="P206">
        <v>0</v>
      </c>
      <c r="Q206" t="s">
        <v>669</v>
      </c>
      <c r="AC206">
        <f>35*(0.0004*(3.5^3.43))</f>
        <v>1.0286826803532687</v>
      </c>
    </row>
    <row r="207" spans="1:30" hidden="1">
      <c r="A207" s="6">
        <v>40047</v>
      </c>
      <c r="B207" t="s">
        <v>465</v>
      </c>
      <c r="C207" t="s">
        <v>413</v>
      </c>
      <c r="D207" t="s">
        <v>414</v>
      </c>
      <c r="E207" t="s">
        <v>415</v>
      </c>
      <c r="F207" s="7">
        <v>10</v>
      </c>
      <c r="G207" t="s">
        <v>664</v>
      </c>
      <c r="H207">
        <v>4</v>
      </c>
      <c r="I207">
        <v>4</v>
      </c>
      <c r="J207" t="s">
        <v>417</v>
      </c>
      <c r="K207" t="s">
        <v>643</v>
      </c>
      <c r="L207" t="s">
        <v>170</v>
      </c>
      <c r="M207" t="s">
        <v>170</v>
      </c>
      <c r="N207" t="s">
        <v>410</v>
      </c>
      <c r="O207">
        <v>1</v>
      </c>
      <c r="P207">
        <v>1</v>
      </c>
      <c r="W207">
        <v>1</v>
      </c>
      <c r="AC207">
        <f>(0*(0.0156*(7^3))+0*(0.0156*(8^3))+0*(0.0156*(9^3))+0*(0.0156*(10^3))+0*(0.0156*(12^3))+0*(0.0156*(12.5^3)))+(S207*(0.0156*(17.5^3)))+(T207*(0.0156*(22.5^3)))+(U207*(0.0156*(27.5^3)))+(V207*(0.0156*(32.5^3)))+(W207*(0.0156*(37.5^3)))+(X207*(0.0156*(42.5^3)))+(Y207*(0.0156*(27.5^3)))</f>
        <v>822.65625</v>
      </c>
    </row>
    <row r="208" spans="1:30" hidden="1">
      <c r="A208" s="6">
        <v>40047</v>
      </c>
      <c r="B208" t="s">
        <v>465</v>
      </c>
      <c r="C208" t="s">
        <v>413</v>
      </c>
      <c r="D208" t="s">
        <v>414</v>
      </c>
      <c r="E208" t="s">
        <v>415</v>
      </c>
      <c r="F208" s="7">
        <v>10</v>
      </c>
      <c r="G208" t="s">
        <v>664</v>
      </c>
      <c r="H208">
        <v>4</v>
      </c>
      <c r="I208">
        <v>4</v>
      </c>
      <c r="J208" t="s">
        <v>417</v>
      </c>
      <c r="K208" t="s">
        <v>643</v>
      </c>
      <c r="L208" t="s">
        <v>179</v>
      </c>
      <c r="M208" t="s">
        <v>179</v>
      </c>
      <c r="N208" t="s">
        <v>35</v>
      </c>
      <c r="O208">
        <v>3</v>
      </c>
      <c r="P208">
        <v>0</v>
      </c>
      <c r="R208">
        <v>3</v>
      </c>
      <c r="S208">
        <v>0</v>
      </c>
      <c r="T208">
        <v>0</v>
      </c>
      <c r="U208">
        <v>0</v>
      </c>
      <c r="V208">
        <v>0</v>
      </c>
      <c r="AC208" s="9">
        <f>(R208*((EXP(3.19*(LOG10(125))))-5.29))+(S208*((EXP(3.19*(LOG10(175))))-5.29))+(T208*((EXP(3.19*(LOG10(225))))-5.29))+(U208*((EXP(3.19*(LOG10(275))))-5.29))</f>
        <v>2395.0295887211205</v>
      </c>
    </row>
    <row r="209" spans="1:30">
      <c r="A209" s="6">
        <v>40047</v>
      </c>
      <c r="B209" t="s">
        <v>465</v>
      </c>
      <c r="C209" t="s">
        <v>413</v>
      </c>
      <c r="D209" t="s">
        <v>414</v>
      </c>
      <c r="E209" t="s">
        <v>415</v>
      </c>
      <c r="F209" s="7">
        <v>10</v>
      </c>
      <c r="G209" t="s">
        <v>664</v>
      </c>
      <c r="H209">
        <v>4</v>
      </c>
      <c r="I209">
        <v>4</v>
      </c>
      <c r="J209" t="s">
        <v>417</v>
      </c>
      <c r="K209" t="s">
        <v>643</v>
      </c>
      <c r="L209" t="s">
        <v>252</v>
      </c>
      <c r="M209" t="s">
        <v>263</v>
      </c>
      <c r="N209" t="s">
        <v>211</v>
      </c>
      <c r="O209">
        <v>3</v>
      </c>
      <c r="P209">
        <v>2</v>
      </c>
      <c r="R209">
        <v>1</v>
      </c>
      <c r="S209">
        <v>1</v>
      </c>
      <c r="T209">
        <v>1</v>
      </c>
      <c r="AB209">
        <v>353.42500000000001</v>
      </c>
      <c r="AC209">
        <f>(R209*(0.0211*(12.5^3)))+(S209*(0.0211*(17.5^3)))+(T209*(0.0211*(22.5^3)))+(U209*(0.0211*(27.5^3)))+(V209*(0.0211*(32.5^3)))+(W209*(0.0211*(37.5^3)))+(X209*(0.0211*(42.5^3)))+(Y209*(0.0211*(27.5^3)))</f>
        <v>394.63593749999995</v>
      </c>
      <c r="AD209">
        <f>(S209*(0.0211*(17.5^3)))+(T209*(0.0211*(22.5^3)))+(U209*(0.0211*(27.5^3)))+(V209*(0.0211*(32.5^3)))+(W209*(0.0211*(37.5^3)))+(X209*(0.0211*(42.5^3)))+(Y209*(0.0211*(27.5^3)))</f>
        <v>353.42500000000001</v>
      </c>
    </row>
    <row r="210" spans="1:30" hidden="1">
      <c r="A210" s="6">
        <v>40048</v>
      </c>
      <c r="B210" s="9" t="s">
        <v>670</v>
      </c>
      <c r="C210" s="9" t="s">
        <v>671</v>
      </c>
      <c r="D210" s="9" t="s">
        <v>269</v>
      </c>
      <c r="E210" s="9" t="s">
        <v>402</v>
      </c>
      <c r="F210" s="7">
        <v>12</v>
      </c>
      <c r="G210" s="9" t="s">
        <v>672</v>
      </c>
      <c r="H210">
        <v>5</v>
      </c>
      <c r="I210">
        <v>5</v>
      </c>
      <c r="J210" t="s">
        <v>404</v>
      </c>
      <c r="K210" t="s">
        <v>240</v>
      </c>
      <c r="L210" t="s">
        <v>170</v>
      </c>
      <c r="M210" t="s">
        <v>170</v>
      </c>
      <c r="N210" s="9" t="s">
        <v>238</v>
      </c>
      <c r="O210">
        <v>10</v>
      </c>
      <c r="P210">
        <v>0</v>
      </c>
      <c r="R210" s="9" t="s">
        <v>673</v>
      </c>
      <c r="AC210">
        <f>(0*(0.0156*(7^3))+0*(0.0156*(8^3))+0*(0.0156*(9^3))+1*(0.0156*(10^3))+1*(0.0156*(11^3))+3*(0.0156*(12^3))+3*(0.0156*(13^3)))+2*(0.0156*(14^3))+(S210*(0.0156*(17.5^3)))+(T210*(0.0156*(22.5^3)))+(U210*(0.0156*(27.5^3)))+(V210*(0.0156*(32.5^3)))+(W210*(0.0156*(37.5^3)))+(X210*(0.0156*(42.5^3)))+(Y210*(0.0156*(27.5^3)))</f>
        <v>305.66639999999995</v>
      </c>
    </row>
    <row r="211" spans="1:30" hidden="1">
      <c r="A211" s="6">
        <v>40048</v>
      </c>
      <c r="B211" s="9" t="s">
        <v>670</v>
      </c>
      <c r="C211" s="9" t="s">
        <v>671</v>
      </c>
      <c r="D211" s="9" t="s">
        <v>269</v>
      </c>
      <c r="E211" s="9" t="s">
        <v>402</v>
      </c>
      <c r="F211" s="7">
        <v>12</v>
      </c>
      <c r="G211" s="9" t="s">
        <v>672</v>
      </c>
      <c r="H211">
        <v>5</v>
      </c>
      <c r="I211">
        <v>5</v>
      </c>
      <c r="J211" t="s">
        <v>404</v>
      </c>
      <c r="K211" t="s">
        <v>240</v>
      </c>
      <c r="L211" t="s">
        <v>170</v>
      </c>
      <c r="M211" t="s">
        <v>170</v>
      </c>
      <c r="N211" s="9" t="s">
        <v>409</v>
      </c>
      <c r="O211">
        <v>2</v>
      </c>
      <c r="P211">
        <v>2</v>
      </c>
      <c r="S211">
        <v>2</v>
      </c>
      <c r="AC211">
        <f>(0*(0.0156*(7^3))+0*(0.0156*(8^3))+0*(0.0156*(9^3))+0*(0.0156*(10^3))+0*(0.0156*(12^3))+0*(0.0156*(12.5^3)))+(S211*(0.0156*(17.5^3)))+(T211*(0.0156*(22.5^3)))+(U211*(0.0156*(27.5^3)))+(V211*(0.0156*(32.5^3)))+(W211*(0.0156*(37.5^3)))+(X211*(0.0156*(42.5^3)))+(Y211*(0.0156*(27.5^3)))</f>
        <v>167.21250000000001</v>
      </c>
    </row>
    <row r="212" spans="1:30">
      <c r="A212" s="6">
        <v>40048</v>
      </c>
      <c r="B212" s="9" t="s">
        <v>670</v>
      </c>
      <c r="C212" s="9" t="s">
        <v>671</v>
      </c>
      <c r="D212" s="9" t="s">
        <v>269</v>
      </c>
      <c r="E212" s="9" t="s">
        <v>402</v>
      </c>
      <c r="F212" s="7">
        <v>12</v>
      </c>
      <c r="G212" s="9" t="s">
        <v>672</v>
      </c>
      <c r="H212">
        <v>5</v>
      </c>
      <c r="I212">
        <v>5</v>
      </c>
      <c r="J212" t="s">
        <v>404</v>
      </c>
      <c r="K212" t="s">
        <v>240</v>
      </c>
      <c r="L212" t="s">
        <v>252</v>
      </c>
      <c r="M212" t="s">
        <v>263</v>
      </c>
      <c r="N212" t="s">
        <v>211</v>
      </c>
      <c r="O212">
        <v>11</v>
      </c>
      <c r="P212">
        <v>0</v>
      </c>
      <c r="Q212" s="9" t="s">
        <v>674</v>
      </c>
      <c r="R212" s="9" t="s">
        <v>675</v>
      </c>
      <c r="AB212">
        <v>0</v>
      </c>
      <c r="AC212">
        <f>(9*(0.0211*(12.5^3)))+(S212*(0.0211*(17.5^3)))+(T212*(0.0211*(22.5^3)))+(U212*(0.0211*(27.5^3)))+(V212*(0.0211*(32.5^3)))+(W212*(0.0211*(37.5^3)))+(X212*(0.0211*(42.5^3)))+(Y212*(0.0211*(27.5^3)))</f>
        <v>370.8984375</v>
      </c>
      <c r="AD212">
        <f>(S212*(0.0211*(17.5^3)))+(T212*(0.0211*(22.5^3)))+(U212*(0.0211*(27.5^3)))+(V212*(0.0211*(32.5^3)))+(W212*(0.0211*(37.5^3)))+(X212*(0.0211*(42.5^3)))+(Y212*(0.0211*(27.5^3)))</f>
        <v>0</v>
      </c>
    </row>
    <row r="213" spans="1:30" hidden="1">
      <c r="A213" s="6">
        <v>40048</v>
      </c>
      <c r="B213" s="9" t="s">
        <v>670</v>
      </c>
      <c r="C213" s="9" t="s">
        <v>671</v>
      </c>
      <c r="D213" s="9" t="s">
        <v>269</v>
      </c>
      <c r="E213" s="9" t="s">
        <v>402</v>
      </c>
      <c r="F213" s="7">
        <v>12</v>
      </c>
      <c r="G213" s="9" t="s">
        <v>672</v>
      </c>
      <c r="H213">
        <v>5</v>
      </c>
      <c r="I213">
        <v>5</v>
      </c>
      <c r="J213" t="s">
        <v>404</v>
      </c>
      <c r="K213" t="s">
        <v>240</v>
      </c>
      <c r="L213" t="s">
        <v>170</v>
      </c>
      <c r="M213" t="s">
        <v>170</v>
      </c>
      <c r="N213" s="9" t="s">
        <v>406</v>
      </c>
      <c r="O213">
        <v>2</v>
      </c>
      <c r="P213">
        <v>2</v>
      </c>
      <c r="T213">
        <v>1</v>
      </c>
      <c r="U213">
        <v>1</v>
      </c>
      <c r="AC213">
        <f>(0*(0.0156*(7^3))+0*(0.0156*(8^3))+0*(0.0156*(9^3))+0*(0.0156*(10^3))+0*(0.0156*(12^3))+0*(0.0156*(12.5^3)))+(S213*(0.0156*(17.5^3)))+(T213*(0.0156*(22.5^3)))+(U213*(0.0156*(27.5^3)))+(V213*(0.0156*(32.5^3)))+(W213*(0.0156*(37.5^3)))+(X213*(0.0156*(42.5^3)))+(Y213*(0.0156*(27.5^3)))</f>
        <v>502.125</v>
      </c>
    </row>
    <row r="214" spans="1:30" hidden="1">
      <c r="A214" s="6">
        <v>40048</v>
      </c>
      <c r="B214" s="9" t="s">
        <v>670</v>
      </c>
      <c r="C214" s="9" t="s">
        <v>671</v>
      </c>
      <c r="D214" s="9" t="s">
        <v>269</v>
      </c>
      <c r="E214" s="9" t="s">
        <v>402</v>
      </c>
      <c r="F214" s="7">
        <v>12</v>
      </c>
      <c r="G214" s="9" t="s">
        <v>672</v>
      </c>
      <c r="H214">
        <v>5</v>
      </c>
      <c r="I214">
        <v>5</v>
      </c>
      <c r="J214" t="s">
        <v>404</v>
      </c>
      <c r="K214" t="s">
        <v>240</v>
      </c>
      <c r="L214" t="s">
        <v>199</v>
      </c>
      <c r="M214" t="s">
        <v>175</v>
      </c>
      <c r="N214" s="9" t="s">
        <v>38</v>
      </c>
      <c r="O214">
        <v>8</v>
      </c>
      <c r="P214">
        <v>0</v>
      </c>
      <c r="Q214" s="9" t="s">
        <v>676</v>
      </c>
      <c r="AB214">
        <v>0</v>
      </c>
      <c r="AC214">
        <f>(4*(0.0175*(4^3))+1*(0.0175*(3^3))+3*(0.0175*(5^3))+R214*(0.0175*(12.5^3)))+(S214*(0.0175*(17.5^3)))+(T214*(0.0175*(22.5^3)))+(U214*(0.0175*(27.5^3)))+(V214*(0.0175*(32.5^3)))+(W214*(0.0175*(37.5^3)))+(X214*(0.0175*(42.5^3)))+(Y214*(0.0175*(27.5^3)))</f>
        <v>11.515000000000001</v>
      </c>
      <c r="AD214">
        <f>((S214*(0.0175*(17.5^3)))+(T214*(0.0175*(22.5^3)))+(U214*(0.0175*(27.5^3)))+(V214*(0.0175*(32.5^3)))+(W214*(0.0175*(37.5^3)))+(X214*(0.0175*(42.5^3)))+(Y214*(0.0175*(27.5^3))))</f>
        <v>0</v>
      </c>
    </row>
    <row r="215" spans="1:30" hidden="1">
      <c r="A215" s="6">
        <v>40048</v>
      </c>
      <c r="B215" s="9" t="s">
        <v>670</v>
      </c>
      <c r="C215" s="9" t="s">
        <v>671</v>
      </c>
      <c r="D215" s="9" t="s">
        <v>269</v>
      </c>
      <c r="E215" s="9" t="s">
        <v>402</v>
      </c>
      <c r="F215" s="7">
        <v>12</v>
      </c>
      <c r="G215" s="9" t="s">
        <v>672</v>
      </c>
      <c r="H215">
        <v>5</v>
      </c>
      <c r="I215">
        <v>5</v>
      </c>
      <c r="J215" t="s">
        <v>404</v>
      </c>
      <c r="K215" t="s">
        <v>240</v>
      </c>
      <c r="L215" t="s">
        <v>170</v>
      </c>
      <c r="M215" t="s">
        <v>170</v>
      </c>
      <c r="N215" s="9" t="s">
        <v>406</v>
      </c>
      <c r="O215">
        <v>2</v>
      </c>
      <c r="P215">
        <v>2</v>
      </c>
      <c r="W215">
        <v>1</v>
      </c>
      <c r="X215">
        <v>1</v>
      </c>
      <c r="AC215">
        <f>(0*(0.0156*(7^3))+0*(0.0156*(8^3))+0*(0.0156*(9^3))+0*(0.0156*(10^3))+0*(0.0156*(12^3))+0*(0.0156*(12.5^3)))+(S215*(0.0156*(17.5^3)))+(T215*(0.0156*(22.5^3)))+(U215*(0.0156*(27.5^3)))+(V215*(0.0156*(32.5^3)))+(W215*(0.0156*(37.5^3)))+(X215*(0.0156*(42.5^3)))+(Y215*(0.0156*(27.5^3)))</f>
        <v>2020.2</v>
      </c>
    </row>
    <row r="216" spans="1:30" hidden="1">
      <c r="A216" s="6">
        <v>40048</v>
      </c>
      <c r="B216" s="9" t="s">
        <v>670</v>
      </c>
      <c r="C216" s="9" t="s">
        <v>671</v>
      </c>
      <c r="D216" s="9" t="s">
        <v>269</v>
      </c>
      <c r="E216" s="9" t="s">
        <v>402</v>
      </c>
      <c r="F216" s="7">
        <v>12</v>
      </c>
      <c r="G216" s="9" t="s">
        <v>672</v>
      </c>
      <c r="H216">
        <v>5</v>
      </c>
      <c r="I216">
        <v>5</v>
      </c>
      <c r="J216" t="s">
        <v>404</v>
      </c>
      <c r="K216" t="s">
        <v>240</v>
      </c>
      <c r="L216" t="s">
        <v>61</v>
      </c>
      <c r="M216" t="s">
        <v>175</v>
      </c>
      <c r="N216" s="9" t="s">
        <v>677</v>
      </c>
      <c r="O216">
        <v>3</v>
      </c>
      <c r="P216">
        <v>2</v>
      </c>
      <c r="R216" s="9" t="s">
        <v>447</v>
      </c>
      <c r="W216">
        <v>1</v>
      </c>
      <c r="X216">
        <v>1</v>
      </c>
      <c r="AB216">
        <v>2971.3886019282509</v>
      </c>
      <c r="AC216">
        <f>(1*(0.00000779*(100^3.18)))+(W216*(0.00000779*(375^3.18)))+(X216*(0.00000779*(425^3.18)))</f>
        <v>2989.2344609433121</v>
      </c>
      <c r="AD216">
        <f>(W216*(0.00000779*(375^3.18)))+(X216*(0.00000779*(425^3.18)))</f>
        <v>2971.3886019282509</v>
      </c>
    </row>
    <row r="217" spans="1:30" hidden="1">
      <c r="A217" s="6">
        <v>40048</v>
      </c>
      <c r="B217" s="9" t="s">
        <v>670</v>
      </c>
      <c r="C217" s="9" t="s">
        <v>671</v>
      </c>
      <c r="D217" s="9" t="s">
        <v>269</v>
      </c>
      <c r="E217" s="9" t="s">
        <v>402</v>
      </c>
      <c r="F217" s="7">
        <v>12</v>
      </c>
      <c r="G217" s="9" t="s">
        <v>678</v>
      </c>
      <c r="H217">
        <v>6</v>
      </c>
      <c r="I217">
        <v>6</v>
      </c>
      <c r="J217" t="s">
        <v>404</v>
      </c>
      <c r="K217" t="s">
        <v>240</v>
      </c>
      <c r="L217" t="s">
        <v>199</v>
      </c>
      <c r="M217" t="s">
        <v>175</v>
      </c>
      <c r="N217" s="9" t="s">
        <v>38</v>
      </c>
      <c r="O217">
        <v>43</v>
      </c>
      <c r="P217">
        <v>1</v>
      </c>
      <c r="Q217" s="9" t="s">
        <v>679</v>
      </c>
      <c r="V217">
        <v>1</v>
      </c>
      <c r="AB217">
        <v>600.74218750000011</v>
      </c>
      <c r="AC217">
        <f>(36*(0.0175*(4^3))+6*(0.0175*(5^3))+R217*(0.0175*(12.5^3)))+(S217*(0.0175*(17.5^3)))+(T217*(0.0175*(22.5^3)))+(U217*(0.0175*(27.5^3)))+(V217*(0.0175*(32.5^3)))+(W217*(0.0175*(37.5^3)))+(X217*(0.0175*(42.5^3)))+(Y217*(0.0175*(27.5^3)))</f>
        <v>654.18718750000016</v>
      </c>
      <c r="AD217">
        <f>((S217*(0.0175*(17.5^3)))+(T217*(0.0175*(22.5^3)))+(U217*(0.0175*(27.5^3)))+(V217*(0.0175*(32.5^3)))+(W217*(0.0175*(37.5^3)))+(X217*(0.0175*(42.5^3)))+(Y217*(0.0175*(27.5^3))))</f>
        <v>600.74218750000011</v>
      </c>
    </row>
    <row r="218" spans="1:30">
      <c r="A218" s="6">
        <v>40048</v>
      </c>
      <c r="B218" s="9" t="s">
        <v>670</v>
      </c>
      <c r="C218" s="9" t="s">
        <v>671</v>
      </c>
      <c r="D218" s="9" t="s">
        <v>269</v>
      </c>
      <c r="E218" s="9" t="s">
        <v>402</v>
      </c>
      <c r="F218" s="7">
        <v>12</v>
      </c>
      <c r="G218" s="9" t="s">
        <v>678</v>
      </c>
      <c r="H218">
        <v>6</v>
      </c>
      <c r="I218">
        <v>6</v>
      </c>
      <c r="J218" t="s">
        <v>404</v>
      </c>
      <c r="K218" t="s">
        <v>240</v>
      </c>
      <c r="L218" t="s">
        <v>252</v>
      </c>
      <c r="M218" t="s">
        <v>263</v>
      </c>
      <c r="N218" t="s">
        <v>211</v>
      </c>
      <c r="O218">
        <v>21</v>
      </c>
      <c r="P218">
        <v>0</v>
      </c>
      <c r="Q218" s="9"/>
      <c r="R218" s="9" t="s">
        <v>680</v>
      </c>
      <c r="AB218">
        <v>0</v>
      </c>
      <c r="AC218">
        <f>(21*(0.0211*(12.5^3)))+(S218*(0.0211*(17.5^3)))+(T218*(0.0211*(22.5^3)))+(U218*(0.0211*(27.5^3)))+(V218*(0.0211*(32.5^3)))+(W218*(0.0211*(37.5^3)))+(X218*(0.0211*(42.5^3)))+(Y218*(0.0211*(27.5^3)))</f>
        <v>865.4296875</v>
      </c>
      <c r="AD218">
        <f>(S218*(0.0211*(17.5^3)))+(T218*(0.0211*(22.5^3)))+(U218*(0.0211*(27.5^3)))+(V218*(0.0211*(32.5^3)))+(W218*(0.0211*(37.5^3)))+(X218*(0.0211*(42.5^3)))+(Y218*(0.0211*(27.5^3)))</f>
        <v>0</v>
      </c>
    </row>
    <row r="219" spans="1:30" hidden="1">
      <c r="A219" s="6">
        <v>40048</v>
      </c>
      <c r="B219" s="9" t="s">
        <v>670</v>
      </c>
      <c r="C219" s="9" t="s">
        <v>671</v>
      </c>
      <c r="D219" s="9" t="s">
        <v>269</v>
      </c>
      <c r="E219" s="9" t="s">
        <v>402</v>
      </c>
      <c r="F219" s="7">
        <v>12</v>
      </c>
      <c r="G219" s="9" t="s">
        <v>678</v>
      </c>
      <c r="H219">
        <v>6</v>
      </c>
      <c r="I219">
        <v>6</v>
      </c>
      <c r="J219" t="s">
        <v>404</v>
      </c>
      <c r="K219" t="s">
        <v>474</v>
      </c>
      <c r="L219" t="s">
        <v>170</v>
      </c>
      <c r="M219" t="s">
        <v>170</v>
      </c>
      <c r="N219" s="9" t="s">
        <v>409</v>
      </c>
      <c r="O219">
        <v>5</v>
      </c>
      <c r="P219">
        <v>5</v>
      </c>
      <c r="S219">
        <v>3</v>
      </c>
      <c r="T219">
        <v>1</v>
      </c>
      <c r="X219">
        <v>1</v>
      </c>
      <c r="AC219">
        <f>(0*(0.0156*(7^3))+0*(0.0156*(8^3))+0*(0.0156*(9^3))+0*(0.0156*(10^3))+0*(0.0156*(12^3))+0*(0.0156*(12.5^3)))+(S219*(0.0156*(17.5^3)))+(T219*(0.0156*(22.5^3)))+(U219*(0.0156*(27.5^3)))+(V219*(0.0156*(32.5^3)))+(W219*(0.0156*(37.5^3)))+(X219*(0.0156*(42.5^3)))+(Y219*(0.0156*(27.5^3)))</f>
        <v>1626.0562500000001</v>
      </c>
    </row>
    <row r="220" spans="1:30" hidden="1">
      <c r="A220" s="6">
        <v>40048</v>
      </c>
      <c r="B220" s="9" t="s">
        <v>670</v>
      </c>
      <c r="C220" s="9" t="s">
        <v>671</v>
      </c>
      <c r="D220" s="9" t="s">
        <v>269</v>
      </c>
      <c r="E220" s="9" t="s">
        <v>402</v>
      </c>
      <c r="F220" s="7">
        <v>12</v>
      </c>
      <c r="G220" s="9" t="s">
        <v>678</v>
      </c>
      <c r="H220">
        <v>6</v>
      </c>
      <c r="I220">
        <v>6</v>
      </c>
      <c r="J220" t="s">
        <v>404</v>
      </c>
      <c r="K220" t="s">
        <v>474</v>
      </c>
      <c r="L220" t="s">
        <v>170</v>
      </c>
      <c r="M220" t="s">
        <v>170</v>
      </c>
      <c r="N220" s="9" t="s">
        <v>406</v>
      </c>
      <c r="O220">
        <v>2</v>
      </c>
      <c r="P220">
        <v>2</v>
      </c>
      <c r="T220">
        <v>1</v>
      </c>
      <c r="W220">
        <v>1</v>
      </c>
      <c r="AC220">
        <f>(0*(0.0156*(7^3))+0*(0.0156*(8^3))+0*(0.0156*(9^3))+0*(0.0156*(10^3))+0*(0.0156*(12^3))+0*(0.0156*(12.5^3)))+(S220*(0.0156*(17.5^3)))+(T220*(0.0156*(22.5^3)))+(U220*(0.0156*(27.5^3)))+(V220*(0.0156*(32.5^3)))+(W220*(0.0156*(37.5^3)))+(X220*(0.0156*(42.5^3)))+(Y220*(0.0156*(27.5^3)))</f>
        <v>1000.35</v>
      </c>
    </row>
    <row r="221" spans="1:30" hidden="1">
      <c r="A221" s="6">
        <v>40048</v>
      </c>
      <c r="B221" s="9" t="s">
        <v>670</v>
      </c>
      <c r="C221" s="9" t="s">
        <v>671</v>
      </c>
      <c r="D221" s="9" t="s">
        <v>269</v>
      </c>
      <c r="E221" s="9" t="s">
        <v>402</v>
      </c>
      <c r="F221" s="7">
        <v>12</v>
      </c>
      <c r="G221" s="9" t="s">
        <v>678</v>
      </c>
      <c r="H221">
        <v>6</v>
      </c>
      <c r="I221">
        <v>6</v>
      </c>
      <c r="J221" t="s">
        <v>404</v>
      </c>
      <c r="K221" t="s">
        <v>474</v>
      </c>
      <c r="L221" t="s">
        <v>170</v>
      </c>
      <c r="M221" t="s">
        <v>170</v>
      </c>
      <c r="N221" s="9" t="s">
        <v>238</v>
      </c>
      <c r="O221">
        <v>4</v>
      </c>
      <c r="P221">
        <v>0</v>
      </c>
      <c r="R221" s="9" t="s">
        <v>681</v>
      </c>
      <c r="AC221">
        <f>(0*(0.0156*(7^3))+0*(0.0156*(8^3))+0*(0.0156*(9^3))+2*(0.0156*(10^3))+2*(0.0156*(12^3))+0*(0.0156*(12.5^3)))+(S221*(0.0156*(17.5^3)))+(T221*(0.0156*(22.5^3)))+(U221*(0.0156*(27.5^3)))+(V221*(0.0156*(32.5^3)))+(W221*(0.0156*(37.5^3)))+(X221*(0.0156*(42.5^3)))+(Y221*(0.0156*(27.5^3)))</f>
        <v>85.113599999999991</v>
      </c>
    </row>
    <row r="222" spans="1:30" hidden="1">
      <c r="A222" s="6">
        <v>40048</v>
      </c>
      <c r="B222" s="9" t="s">
        <v>670</v>
      </c>
      <c r="C222" s="9" t="s">
        <v>671</v>
      </c>
      <c r="D222" s="9" t="s">
        <v>269</v>
      </c>
      <c r="E222" s="9" t="s">
        <v>402</v>
      </c>
      <c r="F222" s="7">
        <v>12</v>
      </c>
      <c r="G222" s="9" t="s">
        <v>678</v>
      </c>
      <c r="H222">
        <v>6</v>
      </c>
      <c r="I222">
        <v>6</v>
      </c>
      <c r="J222" t="s">
        <v>404</v>
      </c>
      <c r="K222" t="s">
        <v>474</v>
      </c>
      <c r="L222" t="s">
        <v>179</v>
      </c>
      <c r="M222" t="s">
        <v>179</v>
      </c>
      <c r="N222" s="9" t="s">
        <v>35</v>
      </c>
      <c r="O222">
        <v>1</v>
      </c>
      <c r="P222">
        <v>0</v>
      </c>
      <c r="R222" s="9" t="s">
        <v>682</v>
      </c>
      <c r="AC222" s="9">
        <f>(1*((EXP(3.19*(LOG10(150))))-5.29))</f>
        <v>1029.269608781784</v>
      </c>
    </row>
    <row r="223" spans="1:30" hidden="1">
      <c r="A223" s="6">
        <v>40048</v>
      </c>
      <c r="B223" s="9" t="s">
        <v>670</v>
      </c>
      <c r="C223" s="9" t="s">
        <v>671</v>
      </c>
      <c r="D223" s="9" t="s">
        <v>269</v>
      </c>
      <c r="E223" s="9" t="s">
        <v>402</v>
      </c>
      <c r="F223" s="7">
        <v>12</v>
      </c>
      <c r="G223" s="9" t="s">
        <v>678</v>
      </c>
      <c r="H223">
        <v>6</v>
      </c>
      <c r="I223">
        <v>6</v>
      </c>
      <c r="J223" t="s">
        <v>404</v>
      </c>
      <c r="K223" t="s">
        <v>474</v>
      </c>
      <c r="L223" s="9" t="s">
        <v>77</v>
      </c>
      <c r="M223" t="s">
        <v>65</v>
      </c>
      <c r="N223" s="9" t="s">
        <v>407</v>
      </c>
      <c r="O223">
        <v>15</v>
      </c>
      <c r="P223">
        <v>0</v>
      </c>
      <c r="Q223" s="9" t="s">
        <v>683</v>
      </c>
      <c r="AC223">
        <f>15*(0.0004*(4^3.43))</f>
        <v>0.6969747112835798</v>
      </c>
    </row>
    <row r="224" spans="1:30" hidden="1">
      <c r="A224" s="6">
        <v>40048</v>
      </c>
      <c r="B224" s="9" t="s">
        <v>670</v>
      </c>
      <c r="C224" s="9" t="s">
        <v>671</v>
      </c>
      <c r="D224" s="9" t="s">
        <v>269</v>
      </c>
      <c r="E224" s="9" t="s">
        <v>402</v>
      </c>
      <c r="F224" s="7">
        <v>12</v>
      </c>
      <c r="G224" s="9" t="s">
        <v>684</v>
      </c>
      <c r="H224">
        <v>7</v>
      </c>
      <c r="I224">
        <v>7</v>
      </c>
      <c r="J224" t="s">
        <v>404</v>
      </c>
      <c r="K224" t="s">
        <v>474</v>
      </c>
      <c r="L224" t="s">
        <v>170</v>
      </c>
      <c r="M224" t="s">
        <v>170</v>
      </c>
      <c r="N224" s="9" t="s">
        <v>409</v>
      </c>
      <c r="O224">
        <v>3</v>
      </c>
      <c r="P224">
        <v>2</v>
      </c>
      <c r="R224" s="9" t="s">
        <v>141</v>
      </c>
      <c r="T224">
        <v>1</v>
      </c>
      <c r="U224">
        <v>1</v>
      </c>
      <c r="AC224">
        <f>(0*(0.0156*(7^3))+0*(0.0156*(8^3))+0*(0.0156*(9^3))+0*(0.0156*(10^3))+1*(0.0156*(13^3))+0*(0.0156*(12.5^3)))+(S224*(0.0156*(17.5^3)))+(T224*(0.0156*(22.5^3)))+(U224*(0.0156*(27.5^3)))+(V224*(0.0156*(32.5^3)))+(W224*(0.0156*(37.5^3)))+(X224*(0.0156*(42.5^3)))+(Y224*(0.0156*(27.5^3)))</f>
        <v>536.39819999999997</v>
      </c>
    </row>
    <row r="225" spans="1:30" hidden="1">
      <c r="A225" s="6">
        <v>40048</v>
      </c>
      <c r="B225" s="9" t="s">
        <v>670</v>
      </c>
      <c r="C225" s="9" t="s">
        <v>671</v>
      </c>
      <c r="D225" s="9" t="s">
        <v>269</v>
      </c>
      <c r="E225" s="9" t="s">
        <v>402</v>
      </c>
      <c r="F225" s="7">
        <v>12</v>
      </c>
      <c r="G225" s="9" t="s">
        <v>684</v>
      </c>
      <c r="H225">
        <v>7</v>
      </c>
      <c r="I225">
        <v>7</v>
      </c>
      <c r="J225" t="s">
        <v>404</v>
      </c>
      <c r="K225" t="s">
        <v>474</v>
      </c>
      <c r="L225" t="s">
        <v>170</v>
      </c>
      <c r="M225" t="s">
        <v>170</v>
      </c>
      <c r="N225" s="9" t="s">
        <v>238</v>
      </c>
      <c r="O225">
        <v>4</v>
      </c>
      <c r="P225">
        <v>0</v>
      </c>
      <c r="R225" s="9" t="s">
        <v>493</v>
      </c>
      <c r="AC225">
        <f>(0*(0.0156*(7^3))+0*(0.0156*(8^3))+0*(0.0156*(9^3))+0*(0.0156*(10^3))+1*(0.0156*(12^3))+3*(0.0156*(14^3)))+(S225*(0.0156*(17.5^3)))+(T225*(0.0156*(22.5^3)))+(U225*(0.0156*(27.5^3)))+(V225*(0.0156*(32.5^3)))+(W225*(0.0156*(37.5^3)))+(X225*(0.0156*(42.5^3)))+(Y225*(0.0156*(27.5^3)))</f>
        <v>155.37599999999998</v>
      </c>
    </row>
    <row r="226" spans="1:30" hidden="1">
      <c r="A226" s="6">
        <v>40048</v>
      </c>
      <c r="B226" s="9" t="s">
        <v>670</v>
      </c>
      <c r="C226" s="9" t="s">
        <v>671</v>
      </c>
      <c r="D226" s="9" t="s">
        <v>269</v>
      </c>
      <c r="E226" s="9" t="s">
        <v>402</v>
      </c>
      <c r="F226" s="7">
        <v>12</v>
      </c>
      <c r="G226" s="9" t="s">
        <v>684</v>
      </c>
      <c r="H226">
        <v>7</v>
      </c>
      <c r="I226">
        <v>7</v>
      </c>
      <c r="J226" t="s">
        <v>404</v>
      </c>
      <c r="K226" t="s">
        <v>474</v>
      </c>
      <c r="L226" s="9" t="s">
        <v>77</v>
      </c>
      <c r="M226" t="s">
        <v>65</v>
      </c>
      <c r="N226" s="9" t="s">
        <v>407</v>
      </c>
      <c r="O226">
        <v>13</v>
      </c>
      <c r="P226">
        <v>0</v>
      </c>
      <c r="Q226" s="9" t="s">
        <v>494</v>
      </c>
      <c r="AC226">
        <f>13*(0.0004*(3.5^3.43))</f>
        <v>0.38208213841692834</v>
      </c>
    </row>
    <row r="227" spans="1:30" hidden="1">
      <c r="A227" s="6">
        <v>40048</v>
      </c>
      <c r="B227" s="9" t="s">
        <v>670</v>
      </c>
      <c r="C227" s="9" t="s">
        <v>671</v>
      </c>
      <c r="D227" s="9" t="s">
        <v>269</v>
      </c>
      <c r="E227" s="9" t="s">
        <v>402</v>
      </c>
      <c r="F227" s="7">
        <v>12</v>
      </c>
      <c r="G227" s="9" t="s">
        <v>684</v>
      </c>
      <c r="H227">
        <v>7</v>
      </c>
      <c r="I227">
        <v>7</v>
      </c>
      <c r="J227" t="s">
        <v>404</v>
      </c>
      <c r="K227" t="s">
        <v>474</v>
      </c>
      <c r="L227" t="s">
        <v>199</v>
      </c>
      <c r="M227" t="s">
        <v>175</v>
      </c>
      <c r="N227" s="9" t="s">
        <v>38</v>
      </c>
      <c r="O227">
        <v>17</v>
      </c>
      <c r="P227">
        <v>0</v>
      </c>
      <c r="Q227" s="9" t="s">
        <v>495</v>
      </c>
      <c r="AB227">
        <v>0</v>
      </c>
      <c r="AC227">
        <f>(16*(0.0175*(4^3))+1*(0.0175*(5^3))+R227*(0.0175*(12.5^3)))+(S227*(0.0175*(17.5^3)))+(T227*(0.0175*(22.5^3)))+(U227*(0.0175*(27.5^3)))+(V227*(0.0175*(32.5^3)))+(W227*(0.0175*(37.5^3)))+(X227*(0.0175*(42.5^3)))+(Y227*(0.0175*(27.5^3)))</f>
        <v>20.107500000000002</v>
      </c>
      <c r="AD227">
        <f>((S227*(0.0175*(17.5^3)))+(T227*(0.0175*(22.5^3)))+(U227*(0.0175*(27.5^3)))+(V227*(0.0175*(32.5^3)))+(W227*(0.0175*(37.5^3)))+(X227*(0.0175*(42.5^3)))+(Y227*(0.0175*(27.5^3))))</f>
        <v>0</v>
      </c>
    </row>
    <row r="228" spans="1:30" hidden="1">
      <c r="A228" s="6">
        <v>40048</v>
      </c>
      <c r="B228" s="9" t="s">
        <v>670</v>
      </c>
      <c r="C228" s="9" t="s">
        <v>671</v>
      </c>
      <c r="D228" s="9" t="s">
        <v>269</v>
      </c>
      <c r="E228" s="9" t="s">
        <v>402</v>
      </c>
      <c r="F228" s="7">
        <v>12</v>
      </c>
      <c r="G228" s="9" t="s">
        <v>684</v>
      </c>
      <c r="H228">
        <v>7</v>
      </c>
      <c r="I228">
        <v>7</v>
      </c>
      <c r="J228" t="s">
        <v>404</v>
      </c>
      <c r="K228" t="s">
        <v>474</v>
      </c>
      <c r="L228" t="s">
        <v>174</v>
      </c>
      <c r="M228" t="s">
        <v>174</v>
      </c>
      <c r="N228" s="9" t="s">
        <v>210</v>
      </c>
      <c r="O228">
        <v>1</v>
      </c>
      <c r="P228">
        <v>1</v>
      </c>
      <c r="X228">
        <v>1</v>
      </c>
      <c r="AC228">
        <f>(X228*(0.013*(42.5^3)))</f>
        <v>997.953125</v>
      </c>
    </row>
    <row r="229" spans="1:30">
      <c r="A229" s="6">
        <v>40050</v>
      </c>
      <c r="B229" t="s">
        <v>469</v>
      </c>
      <c r="C229" t="s">
        <v>818</v>
      </c>
      <c r="D229" t="s">
        <v>496</v>
      </c>
      <c r="E229" t="s">
        <v>472</v>
      </c>
      <c r="F229" s="7">
        <v>7</v>
      </c>
      <c r="G229">
        <v>7</v>
      </c>
      <c r="H229">
        <v>1</v>
      </c>
      <c r="I229">
        <v>7</v>
      </c>
      <c r="J229" t="s">
        <v>747</v>
      </c>
      <c r="K229" t="s">
        <v>474</v>
      </c>
      <c r="L229" t="s">
        <v>252</v>
      </c>
      <c r="M229" t="s">
        <v>263</v>
      </c>
      <c r="N229" t="s">
        <v>211</v>
      </c>
      <c r="O229">
        <v>25</v>
      </c>
      <c r="P229">
        <v>1</v>
      </c>
      <c r="R229" t="s">
        <v>497</v>
      </c>
      <c r="T229">
        <v>1</v>
      </c>
      <c r="AB229">
        <v>240.34218749999999</v>
      </c>
      <c r="AC229">
        <f>(24*(0.0211*(12.5^3)))+(S229*(0.0211*(17.5^3)))+(T229*(0.0211*(22.5^3)))+(U229*(0.0211*(27.5^3)))+(V229*(0.0211*(32.5^3)))+(W229*(0.0211*(37.5^3)))+(X229*(0.0211*(42.5^3)))+(Y229*(0.0211*(27.5^3)))</f>
        <v>1229.4046874999999</v>
      </c>
      <c r="AD229">
        <f>(S229*(0.0211*(17.5^3)))+(T229*(0.0211*(22.5^3)))+(U229*(0.0211*(27.5^3)))+(V229*(0.0211*(32.5^3)))+(W229*(0.0211*(37.5^3)))+(X229*(0.0211*(42.5^3)))+(Y229*(0.0211*(27.5^3)))</f>
        <v>240.34218749999999</v>
      </c>
    </row>
    <row r="230" spans="1:30" hidden="1">
      <c r="A230" s="6">
        <v>40050</v>
      </c>
      <c r="B230" t="s">
        <v>469</v>
      </c>
      <c r="C230" t="s">
        <v>818</v>
      </c>
      <c r="D230" t="s">
        <v>496</v>
      </c>
      <c r="E230" t="s">
        <v>472</v>
      </c>
      <c r="F230" s="7">
        <v>7</v>
      </c>
      <c r="G230">
        <v>7</v>
      </c>
      <c r="H230">
        <v>1</v>
      </c>
      <c r="I230">
        <v>7</v>
      </c>
      <c r="J230" t="s">
        <v>747</v>
      </c>
      <c r="K230" t="s">
        <v>474</v>
      </c>
      <c r="L230" t="s">
        <v>170</v>
      </c>
      <c r="M230" t="s">
        <v>170</v>
      </c>
      <c r="N230" t="s">
        <v>477</v>
      </c>
      <c r="O230">
        <v>1</v>
      </c>
      <c r="P230">
        <v>0</v>
      </c>
      <c r="R230" t="s">
        <v>584</v>
      </c>
      <c r="AC230">
        <f>(0*(0.0156*(7^3))+0*(0.0156*(8^3))+0*(0.0156*(9^3))+0*(0.0156*(10^3))+1*(0.0156*(13^3))+0*(0.0156*(12.5^3)))+(S230*(0.0156*(17.5^3)))+(T230*(0.0156*(22.5^3)))+(U230*(0.0156*(27.5^3)))+(V230*(0.0156*(32.5^3)))+(W230*(0.0156*(37.5^3)))+(X230*(0.0156*(42.5^3)))+(Y230*(0.0156*(27.5^3)))</f>
        <v>34.273199999999996</v>
      </c>
    </row>
    <row r="231" spans="1:30" hidden="1">
      <c r="A231" s="6">
        <v>40050</v>
      </c>
      <c r="B231" t="s">
        <v>469</v>
      </c>
      <c r="C231" t="s">
        <v>818</v>
      </c>
      <c r="D231" t="s">
        <v>496</v>
      </c>
      <c r="E231" t="s">
        <v>472</v>
      </c>
      <c r="F231" s="7">
        <v>7</v>
      </c>
      <c r="G231">
        <v>7</v>
      </c>
      <c r="H231">
        <v>1</v>
      </c>
      <c r="I231">
        <v>7</v>
      </c>
      <c r="J231" t="s">
        <v>747</v>
      </c>
      <c r="K231" t="s">
        <v>474</v>
      </c>
      <c r="L231" t="s">
        <v>170</v>
      </c>
      <c r="M231" t="s">
        <v>170</v>
      </c>
      <c r="N231" t="s">
        <v>476</v>
      </c>
      <c r="O231">
        <v>1</v>
      </c>
      <c r="P231">
        <v>1</v>
      </c>
      <c r="X231">
        <v>1</v>
      </c>
      <c r="AC231">
        <f>(0*(0.0156*(7^3))+0*(0.0156*(8^3))+0*(0.0156*(9^3))+0*(0.0156*(10^3))+0*(0.0156*(12^3))+0*(0.0156*(12.5^3)))+(S231*(0.0156*(17.5^3)))+(T231*(0.0156*(22.5^3)))+(U231*(0.0156*(27.5^3)))+(V231*(0.0156*(32.5^3)))+(W231*(0.0156*(37.5^3)))+(X231*(0.0156*(42.5^3)))+(Y231*(0.0156*(27.5^3)))</f>
        <v>1197.54375</v>
      </c>
    </row>
    <row r="232" spans="1:30" hidden="1">
      <c r="A232" s="6">
        <v>40050</v>
      </c>
      <c r="B232" t="s">
        <v>469</v>
      </c>
      <c r="C232" t="s">
        <v>818</v>
      </c>
      <c r="D232" t="s">
        <v>496</v>
      </c>
      <c r="E232" t="s">
        <v>472</v>
      </c>
      <c r="F232" s="7">
        <v>7</v>
      </c>
      <c r="G232">
        <v>7</v>
      </c>
      <c r="H232">
        <v>1</v>
      </c>
      <c r="I232">
        <v>7</v>
      </c>
      <c r="J232" t="s">
        <v>747</v>
      </c>
      <c r="K232" t="s">
        <v>474</v>
      </c>
      <c r="L232" t="s">
        <v>177</v>
      </c>
      <c r="M232" t="s">
        <v>265</v>
      </c>
      <c r="N232" t="s">
        <v>284</v>
      </c>
      <c r="O232">
        <v>1</v>
      </c>
      <c r="P232">
        <v>0</v>
      </c>
      <c r="Q232" t="s">
        <v>498</v>
      </c>
      <c r="AC232">
        <f>(1*(0.009*(80^3.06)))/1000</f>
        <v>5.9937395818191179</v>
      </c>
    </row>
    <row r="233" spans="1:30" hidden="1">
      <c r="A233" s="6">
        <v>40050</v>
      </c>
      <c r="B233" t="s">
        <v>469</v>
      </c>
      <c r="C233" t="s">
        <v>818</v>
      </c>
      <c r="D233" t="s">
        <v>496</v>
      </c>
      <c r="E233" t="s">
        <v>472</v>
      </c>
      <c r="F233" s="7">
        <v>7</v>
      </c>
      <c r="G233">
        <v>7</v>
      </c>
      <c r="H233">
        <v>1</v>
      </c>
      <c r="I233">
        <v>7</v>
      </c>
      <c r="J233" t="s">
        <v>747</v>
      </c>
      <c r="K233" t="s">
        <v>474</v>
      </c>
      <c r="L233" t="s">
        <v>199</v>
      </c>
      <c r="M233" t="s">
        <v>175</v>
      </c>
      <c r="N233" s="9" t="s">
        <v>38</v>
      </c>
      <c r="O233">
        <v>9</v>
      </c>
      <c r="P233">
        <v>0</v>
      </c>
      <c r="Q233" t="s">
        <v>694</v>
      </c>
      <c r="AB233">
        <v>0</v>
      </c>
      <c r="AC233">
        <f>(9*(0.0175*(4^3))+0*(0.0175*(5^3))+R233*(0.0175*(12.5^3)))+(S233*(0.0175*(17.5^3)))+(T233*(0.0175*(22.5^3)))+(U233*(0.0175*(27.5^3)))+(V233*(0.0175*(32.5^3)))+(W233*(0.0175*(37.5^3)))+(X233*(0.0175*(42.5^3)))+(Y233*(0.0175*(27.5^3)))</f>
        <v>10.080000000000002</v>
      </c>
      <c r="AD233">
        <f>((S233*(0.0175*(17.5^3)))+(T233*(0.0175*(22.5^3)))+(U233*(0.0175*(27.5^3)))+(V233*(0.0175*(32.5^3)))+(W233*(0.0175*(37.5^3)))+(X233*(0.0175*(42.5^3)))+(Y233*(0.0175*(27.5^3))))</f>
        <v>0</v>
      </c>
    </row>
    <row r="234" spans="1:30" hidden="1">
      <c r="A234" s="6">
        <v>40050</v>
      </c>
      <c r="B234" t="s">
        <v>469</v>
      </c>
      <c r="C234" t="s">
        <v>818</v>
      </c>
      <c r="D234" t="s">
        <v>496</v>
      </c>
      <c r="E234" t="s">
        <v>472</v>
      </c>
      <c r="F234" s="7">
        <v>7</v>
      </c>
      <c r="G234">
        <v>7</v>
      </c>
      <c r="H234">
        <v>1</v>
      </c>
      <c r="I234">
        <v>7</v>
      </c>
      <c r="J234" t="s">
        <v>747</v>
      </c>
      <c r="K234" t="s">
        <v>474</v>
      </c>
      <c r="L234" t="s">
        <v>61</v>
      </c>
      <c r="M234" t="s">
        <v>175</v>
      </c>
      <c r="N234" t="s">
        <v>586</v>
      </c>
      <c r="O234">
        <v>2</v>
      </c>
      <c r="P234">
        <v>0</v>
      </c>
      <c r="Q234" t="s">
        <v>695</v>
      </c>
      <c r="AB234">
        <v>0</v>
      </c>
      <c r="AC234">
        <f>(1*(0.00000779*(80^3.18)))+(1*(0.00000779*(90^3.18)))</f>
        <v>21.542583849997314</v>
      </c>
      <c r="AD234">
        <f>(S234*(0.000007*(175^3.144)))+(T234*(0.000007*(225^3.144)))+(U234*(0.000007*(275^3.144)))+(V234*(0.000007*(325^3.144)))+(W234*(0.000007*(375^3.144)))+(X234*(0.000007*(425^3.144)))</f>
        <v>0</v>
      </c>
    </row>
    <row r="235" spans="1:30" hidden="1">
      <c r="A235" s="6">
        <v>40050</v>
      </c>
      <c r="B235" t="s">
        <v>469</v>
      </c>
      <c r="C235" t="s">
        <v>818</v>
      </c>
      <c r="D235" t="s">
        <v>696</v>
      </c>
      <c r="E235" t="s">
        <v>472</v>
      </c>
      <c r="F235" s="7">
        <v>8</v>
      </c>
      <c r="G235" t="s">
        <v>697</v>
      </c>
      <c r="H235">
        <v>2</v>
      </c>
      <c r="I235">
        <v>8</v>
      </c>
      <c r="J235" t="s">
        <v>404</v>
      </c>
      <c r="K235" t="s">
        <v>474</v>
      </c>
      <c r="L235" t="s">
        <v>199</v>
      </c>
      <c r="M235" t="s">
        <v>175</v>
      </c>
      <c r="N235" s="9" t="s">
        <v>38</v>
      </c>
      <c r="O235">
        <v>5</v>
      </c>
      <c r="P235">
        <v>0</v>
      </c>
      <c r="Q235" t="s">
        <v>698</v>
      </c>
      <c r="AB235">
        <v>0</v>
      </c>
      <c r="AC235">
        <f>(4*(0.0175*(4^3))+1*(0.0175*(3^3))+R235*(0.0175*(12.5^3)))+(S235*(0.0175*(17.5^3)))+(T235*(0.0175*(22.5^3)))+(U235*(0.0175*(27.5^3)))+(V235*(0.0175*(32.5^3)))+(W235*(0.0175*(37.5^3)))+(X235*(0.0175*(42.5^3)))+(Y235*(0.0175*(27.5^3)))</f>
        <v>4.9525000000000006</v>
      </c>
      <c r="AD235">
        <f>((S235*(0.0175*(17.5^3)))+(T235*(0.0175*(22.5^3)))+(U235*(0.0175*(27.5^3)))+(V235*(0.0175*(32.5^3)))+(W235*(0.0175*(37.5^3)))+(X235*(0.0175*(42.5^3)))+(Y235*(0.0175*(27.5^3))))</f>
        <v>0</v>
      </c>
    </row>
    <row r="236" spans="1:30" hidden="1">
      <c r="A236" s="6">
        <v>40050</v>
      </c>
      <c r="B236" t="s">
        <v>469</v>
      </c>
      <c r="C236" t="s">
        <v>818</v>
      </c>
      <c r="D236" t="s">
        <v>696</v>
      </c>
      <c r="E236" t="s">
        <v>472</v>
      </c>
      <c r="F236" s="7">
        <v>8</v>
      </c>
      <c r="G236" t="s">
        <v>697</v>
      </c>
      <c r="H236">
        <v>2</v>
      </c>
      <c r="I236">
        <v>8</v>
      </c>
      <c r="J236" t="s">
        <v>404</v>
      </c>
      <c r="K236" t="s">
        <v>474</v>
      </c>
      <c r="L236" t="s">
        <v>61</v>
      </c>
      <c r="M236" t="s">
        <v>175</v>
      </c>
      <c r="N236" t="s">
        <v>586</v>
      </c>
      <c r="O236">
        <v>1</v>
      </c>
      <c r="P236">
        <v>0</v>
      </c>
      <c r="R236" t="s">
        <v>699</v>
      </c>
      <c r="AB236">
        <v>0</v>
      </c>
      <c r="AC236">
        <f>(1*(0.00000779*(150^3.18)))</f>
        <v>64.789952488383747</v>
      </c>
      <c r="AD236">
        <f>(S236*(0.000007*(175^3.144)))+(T236*(0.000007*(225^3.144)))+(U236*(0.000007*(275^3.144)))+(V236*(0.000007*(325^3.144)))+(W236*(0.000007*(375^3.144)))+(X236*(0.000007*(425^3.144)))</f>
        <v>0</v>
      </c>
    </row>
    <row r="237" spans="1:30" hidden="1">
      <c r="A237" s="6">
        <v>40050</v>
      </c>
      <c r="B237" t="s">
        <v>469</v>
      </c>
      <c r="C237" t="s">
        <v>818</v>
      </c>
      <c r="D237" t="s">
        <v>696</v>
      </c>
      <c r="E237" t="s">
        <v>472</v>
      </c>
      <c r="F237" s="7">
        <v>8</v>
      </c>
      <c r="G237" t="s">
        <v>697</v>
      </c>
      <c r="H237">
        <v>2</v>
      </c>
      <c r="I237">
        <v>8</v>
      </c>
      <c r="J237" t="s">
        <v>404</v>
      </c>
      <c r="K237" t="s">
        <v>474</v>
      </c>
      <c r="L237" t="s">
        <v>170</v>
      </c>
      <c r="M237" t="s">
        <v>170</v>
      </c>
      <c r="N237" t="s">
        <v>509</v>
      </c>
      <c r="O237">
        <v>1</v>
      </c>
      <c r="P237">
        <v>1</v>
      </c>
      <c r="W237">
        <v>1</v>
      </c>
      <c r="AC237">
        <f>(0*(0.0156*(7^3))+0*(0.0156*(8^3))+0*(0.0156*(9^3))+0*(0.0156*(10^3))+0*(0.0156*(12^3))+0*(0.0156*(12.5^3)))+(S237*(0.0156*(17.5^3)))+(T237*(0.0156*(22.5^3)))+(U237*(0.0156*(27.5^3)))+(V237*(0.0156*(32.5^3)))+(W237*(0.0156*(37.5^3)))+(X237*(0.0156*(42.5^3)))+(Y237*(0.0156*(27.5^3)))</f>
        <v>822.65625</v>
      </c>
    </row>
    <row r="238" spans="1:30" hidden="1">
      <c r="A238" s="6">
        <v>40050</v>
      </c>
      <c r="B238" t="s">
        <v>469</v>
      </c>
      <c r="C238" t="s">
        <v>818</v>
      </c>
      <c r="D238" t="s">
        <v>696</v>
      </c>
      <c r="E238" t="s">
        <v>472</v>
      </c>
      <c r="F238" s="7">
        <v>8</v>
      </c>
      <c r="G238" t="s">
        <v>697</v>
      </c>
      <c r="H238">
        <v>2</v>
      </c>
      <c r="I238">
        <v>8</v>
      </c>
      <c r="J238" t="s">
        <v>404</v>
      </c>
      <c r="K238" t="s">
        <v>474</v>
      </c>
      <c r="L238" t="s">
        <v>170</v>
      </c>
      <c r="M238" t="s">
        <v>170</v>
      </c>
      <c r="N238" t="s">
        <v>477</v>
      </c>
      <c r="O238">
        <v>1</v>
      </c>
      <c r="P238">
        <v>0</v>
      </c>
      <c r="R238" t="s">
        <v>478</v>
      </c>
      <c r="AC238">
        <f>(0*(0.0156*(7^3))+0*(0.0156*(8^3))+0*(0.0156*(9^3))+0*(0.0156*(10^3))+1*(0.0156*(12^3))+0*(0.0156*(12.5^3)))+(S238*(0.0156*(17.5^3)))+(T238*(0.0156*(22.5^3)))+(U238*(0.0156*(27.5^3)))+(V238*(0.0156*(32.5^3)))+(W238*(0.0156*(37.5^3)))+(X238*(0.0156*(42.5^3)))+(Y238*(0.0156*(27.5^3)))</f>
        <v>26.956799999999998</v>
      </c>
    </row>
    <row r="239" spans="1:30" hidden="1">
      <c r="A239" s="6">
        <v>40050</v>
      </c>
      <c r="B239" t="s">
        <v>469</v>
      </c>
      <c r="C239" t="s">
        <v>818</v>
      </c>
      <c r="D239" t="s">
        <v>696</v>
      </c>
      <c r="E239" t="s">
        <v>472</v>
      </c>
      <c r="F239" s="7">
        <v>8</v>
      </c>
      <c r="G239" t="s">
        <v>697</v>
      </c>
      <c r="H239">
        <v>2</v>
      </c>
      <c r="I239">
        <v>8</v>
      </c>
      <c r="J239" t="s">
        <v>404</v>
      </c>
      <c r="K239" t="s">
        <v>474</v>
      </c>
      <c r="L239" t="s">
        <v>170</v>
      </c>
      <c r="M239" t="s">
        <v>170</v>
      </c>
      <c r="N239" t="s">
        <v>476</v>
      </c>
      <c r="O239">
        <v>1</v>
      </c>
      <c r="P239">
        <v>1</v>
      </c>
      <c r="V239">
        <v>1</v>
      </c>
      <c r="AC239">
        <f>(0*(0.0156*(7^3))+0*(0.0156*(8^3))+0*(0.0156*(9^3))+0*(0.0156*(10^3))+0*(0.0156*(12^3))+0*(0.0156*(12.5^3)))+(S239*(0.0156*(17.5^3)))+(T239*(0.0156*(22.5^3)))+(U239*(0.0156*(27.5^3)))+(V239*(0.0156*(32.5^3)))+(W239*(0.0156*(37.5^3)))+(X239*(0.0156*(42.5^3)))+(Y239*(0.0156*(27.5^3)))</f>
        <v>535.51874999999995</v>
      </c>
    </row>
    <row r="240" spans="1:30">
      <c r="A240" s="6">
        <v>40050</v>
      </c>
      <c r="B240" t="s">
        <v>469</v>
      </c>
      <c r="C240" t="s">
        <v>818</v>
      </c>
      <c r="D240" t="s">
        <v>696</v>
      </c>
      <c r="E240" t="s">
        <v>472</v>
      </c>
      <c r="F240" s="7">
        <v>8</v>
      </c>
      <c r="G240" t="s">
        <v>697</v>
      </c>
      <c r="H240">
        <v>2</v>
      </c>
      <c r="I240">
        <v>8</v>
      </c>
      <c r="J240" t="s">
        <v>404</v>
      </c>
      <c r="K240" t="s">
        <v>474</v>
      </c>
      <c r="L240" t="s">
        <v>252</v>
      </c>
      <c r="M240" t="s">
        <v>263</v>
      </c>
      <c r="N240" t="s">
        <v>211</v>
      </c>
      <c r="O240">
        <v>4</v>
      </c>
      <c r="P240">
        <v>1</v>
      </c>
      <c r="R240" t="s">
        <v>510</v>
      </c>
      <c r="S240" t="s">
        <v>699</v>
      </c>
      <c r="AB240">
        <v>71.212500000000006</v>
      </c>
      <c r="AC240">
        <f>(3*(0.0211*(12.5^3)))+(1*(0.0211*(17.5^3)))+(T240*(0.0211*(22.5^3)))+(U240*(0.0211*(27.5^3)))+(V240*(0.0211*(32.5^3)))+(W240*(0.0211*(37.5^3)))+(X240*(0.0211*(42.5^3)))+(Y240*(0.0211*(27.5^3)))</f>
        <v>236.71562499999999</v>
      </c>
      <c r="AD240">
        <f>(1*(0.0211*(15^3)))+(T240*(0.0211*(22.5^3)))+(U240*(0.0211*(27.5^3)))+(V240*(0.0211*(32.5^3)))+(W240*(0.0211*(37.5^3)))+(X240*(0.0211*(42.5^3)))+(Y240*(0.0211*(27.5^3)))</f>
        <v>71.212500000000006</v>
      </c>
    </row>
    <row r="241" spans="1:30" hidden="1">
      <c r="A241" s="6">
        <v>40051</v>
      </c>
      <c r="B241" s="9" t="s">
        <v>670</v>
      </c>
      <c r="C241" s="9" t="s">
        <v>400</v>
      </c>
      <c r="D241" s="9" t="s">
        <v>511</v>
      </c>
      <c r="E241" s="9" t="s">
        <v>402</v>
      </c>
      <c r="F241" s="10">
        <v>4</v>
      </c>
      <c r="G241" s="9" t="s">
        <v>512</v>
      </c>
      <c r="H241">
        <v>5</v>
      </c>
      <c r="I241">
        <v>5</v>
      </c>
      <c r="J241" t="s">
        <v>404</v>
      </c>
      <c r="K241" s="9" t="s">
        <v>405</v>
      </c>
      <c r="L241" t="s">
        <v>199</v>
      </c>
      <c r="M241" t="s">
        <v>175</v>
      </c>
      <c r="N241" s="9" t="s">
        <v>38</v>
      </c>
      <c r="O241">
        <v>44</v>
      </c>
      <c r="P241">
        <v>0</v>
      </c>
      <c r="Q241" s="9" t="s">
        <v>513</v>
      </c>
      <c r="AB241">
        <v>0</v>
      </c>
      <c r="AC241">
        <f>(29*(0.0175*(4^3))+8*(0.0175*(3^3))+7*(0.0175*(5^3))+R241*(0.0175*(12.5^3)))+(S241*(0.0175*(17.5^3)))+(T241*(0.0175*(22.5^3)))+(U241*(0.0175*(27.5^3)))+(V241*(0.0175*(32.5^3)))+(W241*(0.0175*(37.5^3)))+(X241*(0.0175*(42.5^3)))+(Y241*(0.0175*(27.5^3)))</f>
        <v>51.572500000000005</v>
      </c>
      <c r="AD241">
        <f>((S241*(0.0175*(17.5^3)))+(T241*(0.0175*(22.5^3)))+(U241*(0.0175*(27.5^3)))+(V241*(0.0175*(32.5^3)))+(W241*(0.0175*(37.5^3)))+(X241*(0.0175*(42.5^3)))+(Y241*(0.0175*(27.5^3))))</f>
        <v>0</v>
      </c>
    </row>
    <row r="242" spans="1:30" hidden="1">
      <c r="A242" s="6">
        <v>40051</v>
      </c>
      <c r="B242" s="9" t="s">
        <v>670</v>
      </c>
      <c r="C242" s="9" t="s">
        <v>400</v>
      </c>
      <c r="D242" s="9" t="s">
        <v>511</v>
      </c>
      <c r="E242" s="9" t="s">
        <v>402</v>
      </c>
      <c r="F242" s="10">
        <v>4</v>
      </c>
      <c r="G242" s="9" t="s">
        <v>512</v>
      </c>
      <c r="H242">
        <v>5</v>
      </c>
      <c r="I242">
        <v>5</v>
      </c>
      <c r="J242" t="s">
        <v>404</v>
      </c>
      <c r="K242" s="9" t="s">
        <v>405</v>
      </c>
      <c r="L242" t="s">
        <v>170</v>
      </c>
      <c r="M242" t="s">
        <v>170</v>
      </c>
      <c r="N242" s="9" t="s">
        <v>238</v>
      </c>
      <c r="O242">
        <v>4</v>
      </c>
      <c r="P242">
        <v>0</v>
      </c>
      <c r="R242" s="9" t="s">
        <v>514</v>
      </c>
      <c r="AC242">
        <f>(0*(0.0156*(7^3))+0*(0.0156*(8^3))+0*(0.0156*(9^3))+1*(0.0156*(10^3))+2*(0.0156*(12^3))+1*(0.0156*(15^3)))+(S242*(0.0156*(17.5^3)))+(T242*(0.0156*(22.5^3)))+(U242*(0.0156*(27.5^3)))+(V242*(0.0156*(32.5^3)))+(W242*(0.0156*(37.5^3)))+(X242*(0.0156*(42.5^3)))+(Y242*(0.0156*(27.5^3)))</f>
        <v>122.1636</v>
      </c>
    </row>
    <row r="243" spans="1:30">
      <c r="A243" s="6">
        <v>40051</v>
      </c>
      <c r="B243" s="9" t="s">
        <v>670</v>
      </c>
      <c r="C243" s="9" t="s">
        <v>400</v>
      </c>
      <c r="D243" s="9" t="s">
        <v>511</v>
      </c>
      <c r="E243" s="9" t="s">
        <v>402</v>
      </c>
      <c r="F243" s="10">
        <v>4</v>
      </c>
      <c r="G243" s="9" t="s">
        <v>512</v>
      </c>
      <c r="H243">
        <v>5</v>
      </c>
      <c r="I243">
        <v>5</v>
      </c>
      <c r="J243" t="s">
        <v>404</v>
      </c>
      <c r="K243" s="9" t="s">
        <v>405</v>
      </c>
      <c r="L243" t="s">
        <v>252</v>
      </c>
      <c r="M243" t="s">
        <v>263</v>
      </c>
      <c r="N243" t="s">
        <v>211</v>
      </c>
      <c r="O243">
        <v>9</v>
      </c>
      <c r="P243">
        <v>1</v>
      </c>
      <c r="Q243" s="9" t="s">
        <v>490</v>
      </c>
      <c r="R243" s="9" t="s">
        <v>515</v>
      </c>
      <c r="T243">
        <v>1</v>
      </c>
      <c r="AB243">
        <v>240.34218749999999</v>
      </c>
      <c r="AC243">
        <f>(7*(0.0211*(12.5^3)))+(S243*(0.0211*(17.5^3)))+(T243*(0.0211*(22.5^3)))+(U243*(0.0211*(27.5^3)))+(V243*(0.0211*(32.5^3)))+(W243*(0.0211*(37.5^3)))+(X243*(0.0211*(42.5^3)))+(Y243*(0.0211*(27.5^3)))</f>
        <v>528.81875000000002</v>
      </c>
      <c r="AD243">
        <f>(S243*(0.0211*(17.5^3)))+(T243*(0.0211*(22.5^3)))+(U243*(0.0211*(27.5^3)))+(V243*(0.0211*(32.5^3)))+(W243*(0.0211*(37.5^3)))+(X243*(0.0211*(42.5^3)))+(Y243*(0.0211*(27.5^3)))</f>
        <v>240.34218749999999</v>
      </c>
    </row>
    <row r="244" spans="1:30" hidden="1">
      <c r="A244" s="6">
        <v>40051</v>
      </c>
      <c r="B244" s="9" t="s">
        <v>670</v>
      </c>
      <c r="C244" s="9" t="s">
        <v>400</v>
      </c>
      <c r="D244" s="9" t="s">
        <v>511</v>
      </c>
      <c r="E244" s="9" t="s">
        <v>402</v>
      </c>
      <c r="F244" s="10">
        <v>4</v>
      </c>
      <c r="G244" s="9" t="s">
        <v>512</v>
      </c>
      <c r="H244">
        <v>5</v>
      </c>
      <c r="I244">
        <v>5</v>
      </c>
      <c r="J244" t="s">
        <v>404</v>
      </c>
      <c r="K244" s="9" t="s">
        <v>405</v>
      </c>
      <c r="L244" t="s">
        <v>170</v>
      </c>
      <c r="M244" t="s">
        <v>170</v>
      </c>
      <c r="N244" s="9" t="s">
        <v>409</v>
      </c>
      <c r="O244">
        <v>2</v>
      </c>
      <c r="P244">
        <v>2</v>
      </c>
      <c r="S244">
        <v>1</v>
      </c>
      <c r="W244">
        <v>1</v>
      </c>
      <c r="AC244">
        <f>(0*(0.0156*(7^3))+0*(0.0156*(8^3))+0*(0.0156*(9^3))+0*(0.0156*(10^3))+0*(0.0156*(12^3))+0*(0.0156*(12.5^3)))+(S244*(0.0156*(17.5^3)))+(T244*(0.0156*(22.5^3)))+(U244*(0.0156*(27.5^3)))+(V244*(0.0156*(32.5^3)))+(W244*(0.0156*(37.5^3)))+(X244*(0.0156*(42.5^3)))+(Y244*(0.0156*(27.5^3)))</f>
        <v>906.26250000000005</v>
      </c>
    </row>
    <row r="245" spans="1:30" hidden="1">
      <c r="A245" s="6">
        <v>40051</v>
      </c>
      <c r="B245" s="9" t="s">
        <v>670</v>
      </c>
      <c r="C245" s="9" t="s">
        <v>400</v>
      </c>
      <c r="D245" s="9" t="s">
        <v>511</v>
      </c>
      <c r="E245" s="9" t="s">
        <v>402</v>
      </c>
      <c r="F245" s="10">
        <v>4</v>
      </c>
      <c r="G245" s="9" t="s">
        <v>512</v>
      </c>
      <c r="H245">
        <v>5</v>
      </c>
      <c r="I245">
        <v>5</v>
      </c>
      <c r="J245" t="s">
        <v>404</v>
      </c>
      <c r="K245" s="9" t="s">
        <v>405</v>
      </c>
      <c r="L245" s="9" t="s">
        <v>77</v>
      </c>
      <c r="M245" t="s">
        <v>65</v>
      </c>
      <c r="N245" s="9" t="s">
        <v>407</v>
      </c>
      <c r="O245">
        <v>30</v>
      </c>
      <c r="P245">
        <v>0</v>
      </c>
      <c r="Q245" s="9" t="s">
        <v>516</v>
      </c>
      <c r="AC245">
        <f>30*(0.0004*(4^3.43))</f>
        <v>1.3939494225671596</v>
      </c>
    </row>
    <row r="246" spans="1:30" hidden="1">
      <c r="A246" s="6">
        <v>40051</v>
      </c>
      <c r="B246" s="9" t="s">
        <v>670</v>
      </c>
      <c r="C246" s="9" t="s">
        <v>400</v>
      </c>
      <c r="D246" s="9" t="s">
        <v>511</v>
      </c>
      <c r="E246" s="9" t="s">
        <v>402</v>
      </c>
      <c r="F246" s="10">
        <v>4</v>
      </c>
      <c r="G246" s="9" t="s">
        <v>512</v>
      </c>
      <c r="H246">
        <v>5</v>
      </c>
      <c r="I246">
        <v>5</v>
      </c>
      <c r="J246" t="s">
        <v>404</v>
      </c>
      <c r="K246" s="9" t="s">
        <v>405</v>
      </c>
      <c r="L246" s="9" t="s">
        <v>107</v>
      </c>
      <c r="M246" s="9" t="s">
        <v>202</v>
      </c>
      <c r="N246" s="9" t="s">
        <v>335</v>
      </c>
      <c r="O246">
        <v>1</v>
      </c>
      <c r="P246">
        <v>0</v>
      </c>
      <c r="R246" s="9" t="s">
        <v>447</v>
      </c>
      <c r="AC246">
        <f>(1*(0.0043*(10^3.018)))</f>
        <v>4.4819649463912077</v>
      </c>
    </row>
    <row r="247" spans="1:30" hidden="1">
      <c r="A247" s="6">
        <v>40051</v>
      </c>
      <c r="B247" s="9" t="s">
        <v>670</v>
      </c>
      <c r="C247" s="9" t="s">
        <v>400</v>
      </c>
      <c r="D247" s="9" t="s">
        <v>511</v>
      </c>
      <c r="E247" s="9" t="s">
        <v>402</v>
      </c>
      <c r="F247" s="10">
        <v>4</v>
      </c>
      <c r="G247" s="9" t="s">
        <v>512</v>
      </c>
      <c r="H247">
        <v>5</v>
      </c>
      <c r="I247">
        <v>5</v>
      </c>
      <c r="J247" t="s">
        <v>404</v>
      </c>
      <c r="K247" s="9" t="s">
        <v>405</v>
      </c>
      <c r="L247" t="s">
        <v>61</v>
      </c>
      <c r="M247" t="s">
        <v>175</v>
      </c>
      <c r="N247" s="9" t="s">
        <v>677</v>
      </c>
      <c r="O247">
        <v>4</v>
      </c>
      <c r="P247">
        <v>3</v>
      </c>
      <c r="Q247" s="9" t="s">
        <v>490</v>
      </c>
      <c r="S247">
        <v>1</v>
      </c>
      <c r="T247">
        <v>1</v>
      </c>
      <c r="V247">
        <v>1</v>
      </c>
      <c r="AB247">
        <v>1098.4028866902954</v>
      </c>
      <c r="AC247">
        <f>(1*(0.00000779*(80^3.18)))+(S247*(0.00000779*(175^3.18)))+(T247*(0.00000779*(225^3.18)))+(V247*(0.00000779*(325^3.18)))</f>
        <v>1107.1802407315226</v>
      </c>
      <c r="AD247">
        <f>(S247*(0.00000779*(175^3.18)))+(T247*(0.00000779*(225^3.18)))+(V247*(0.00000779*(325^3.18)))</f>
        <v>1098.4028866902954</v>
      </c>
    </row>
    <row r="248" spans="1:30" hidden="1">
      <c r="A248" s="6">
        <v>40051</v>
      </c>
      <c r="B248" s="9" t="s">
        <v>670</v>
      </c>
      <c r="C248" s="9" t="s">
        <v>400</v>
      </c>
      <c r="D248" s="9" t="s">
        <v>511</v>
      </c>
      <c r="E248" s="9" t="s">
        <v>402</v>
      </c>
      <c r="F248" s="10">
        <v>4</v>
      </c>
      <c r="G248">
        <v>24</v>
      </c>
      <c r="H248">
        <v>6</v>
      </c>
      <c r="I248">
        <v>6</v>
      </c>
      <c r="J248" s="9" t="s">
        <v>309</v>
      </c>
      <c r="K248" s="9" t="s">
        <v>405</v>
      </c>
      <c r="L248" t="s">
        <v>199</v>
      </c>
      <c r="M248" t="s">
        <v>175</v>
      </c>
      <c r="N248" s="9" t="s">
        <v>38</v>
      </c>
      <c r="O248">
        <v>25</v>
      </c>
      <c r="P248">
        <v>0</v>
      </c>
      <c r="Q248" s="9" t="s">
        <v>310</v>
      </c>
      <c r="AB248">
        <v>0</v>
      </c>
      <c r="AC248">
        <f>(24*(0.0175*(4^3))+1*(0.0175*(3^3))+0*(0.0175*(5^3))+R248*(0.0175*(12.5^3)))+(S248*(0.0175*(17.5^3)))+(T248*(0.0175*(22.5^3)))+(U248*(0.0175*(27.5^3)))+(V248*(0.0175*(32.5^3)))+(W248*(0.0175*(37.5^3)))+(X248*(0.0175*(42.5^3)))+(Y248*(0.0175*(27.5^3)))</f>
        <v>27.352500000000003</v>
      </c>
      <c r="AD248">
        <f>((S248*(0.0175*(17.5^3)))+(T248*(0.0175*(22.5^3)))+(U248*(0.0175*(27.5^3)))+(V248*(0.0175*(32.5^3)))+(W248*(0.0175*(37.5^3)))+(X248*(0.0175*(42.5^3)))+(Y248*(0.0175*(27.5^3))))</f>
        <v>0</v>
      </c>
    </row>
    <row r="249" spans="1:30" hidden="1">
      <c r="A249" s="6">
        <v>40051</v>
      </c>
      <c r="B249" s="9" t="s">
        <v>670</v>
      </c>
      <c r="C249" s="9" t="s">
        <v>400</v>
      </c>
      <c r="D249" s="9" t="s">
        <v>511</v>
      </c>
      <c r="E249" s="9" t="s">
        <v>402</v>
      </c>
      <c r="F249" s="10">
        <v>4</v>
      </c>
      <c r="G249">
        <v>24</v>
      </c>
      <c r="H249">
        <v>6</v>
      </c>
      <c r="I249">
        <v>6</v>
      </c>
      <c r="J249" s="9" t="s">
        <v>309</v>
      </c>
      <c r="K249" s="9" t="s">
        <v>405</v>
      </c>
      <c r="L249" t="s">
        <v>174</v>
      </c>
      <c r="M249" t="s">
        <v>174</v>
      </c>
      <c r="N249" s="9" t="s">
        <v>210</v>
      </c>
      <c r="O249">
        <v>1</v>
      </c>
      <c r="P249">
        <v>1</v>
      </c>
      <c r="X249">
        <v>1</v>
      </c>
      <c r="AC249">
        <f>(X249*(0.013*(42.5^3)))</f>
        <v>997.953125</v>
      </c>
    </row>
    <row r="250" spans="1:30" hidden="1">
      <c r="A250" s="6">
        <v>40051</v>
      </c>
      <c r="B250" s="9" t="s">
        <v>670</v>
      </c>
      <c r="C250" s="9" t="s">
        <v>400</v>
      </c>
      <c r="D250" s="9" t="s">
        <v>511</v>
      </c>
      <c r="E250" s="9" t="s">
        <v>402</v>
      </c>
      <c r="F250" s="10">
        <v>4</v>
      </c>
      <c r="G250">
        <v>24</v>
      </c>
      <c r="H250">
        <v>6</v>
      </c>
      <c r="I250">
        <v>6</v>
      </c>
      <c r="J250" s="9" t="s">
        <v>309</v>
      </c>
      <c r="K250" s="9" t="s">
        <v>405</v>
      </c>
      <c r="L250" t="s">
        <v>170</v>
      </c>
      <c r="M250" t="s">
        <v>170</v>
      </c>
      <c r="N250" s="9" t="s">
        <v>238</v>
      </c>
      <c r="O250">
        <v>2</v>
      </c>
      <c r="P250">
        <v>0</v>
      </c>
      <c r="R250" s="9" t="s">
        <v>311</v>
      </c>
      <c r="AC250">
        <f>(0*(0.0156*(7^3))+0*(0.0156*(8^3))+0*(0.0156*(9^3))+1*(0.0156*(10^3))+1*(0.0156*(11^3))+0*(0.0156*(12.5^3)))+(S250*(0.0156*(17.5^3)))+(T250*(0.0156*(22.5^3)))+(U250*(0.0156*(27.5^3)))+(V250*(0.0156*(32.5^3)))+(W250*(0.0156*(37.5^3)))+(X250*(0.0156*(42.5^3)))+(Y250*(0.0156*(27.5^3)))</f>
        <v>36.363599999999998</v>
      </c>
    </row>
    <row r="251" spans="1:30" hidden="1">
      <c r="A251" s="6">
        <v>40051</v>
      </c>
      <c r="B251" s="9" t="s">
        <v>670</v>
      </c>
      <c r="C251" s="9" t="s">
        <v>400</v>
      </c>
      <c r="D251" s="9" t="s">
        <v>511</v>
      </c>
      <c r="E251" s="9" t="s">
        <v>402</v>
      </c>
      <c r="F251" s="10">
        <v>4</v>
      </c>
      <c r="G251">
        <v>24</v>
      </c>
      <c r="H251">
        <v>6</v>
      </c>
      <c r="I251">
        <v>6</v>
      </c>
      <c r="J251" s="9" t="s">
        <v>309</v>
      </c>
      <c r="K251" s="9" t="s">
        <v>405</v>
      </c>
      <c r="L251" s="9" t="s">
        <v>209</v>
      </c>
      <c r="M251" s="9" t="s">
        <v>62</v>
      </c>
      <c r="N251" s="9" t="s">
        <v>243</v>
      </c>
      <c r="O251">
        <v>1</v>
      </c>
      <c r="P251">
        <v>1</v>
      </c>
      <c r="S251">
        <v>1</v>
      </c>
      <c r="AC251">
        <f>(S251*((2.53*((17.5*10))-0.13)))</f>
        <v>442.61999999999995</v>
      </c>
    </row>
    <row r="252" spans="1:30">
      <c r="A252" s="6">
        <v>40051</v>
      </c>
      <c r="B252" s="9" t="s">
        <v>670</v>
      </c>
      <c r="C252" s="9" t="s">
        <v>400</v>
      </c>
      <c r="D252" s="9" t="s">
        <v>511</v>
      </c>
      <c r="E252" s="9" t="s">
        <v>402</v>
      </c>
      <c r="F252" s="10">
        <v>4</v>
      </c>
      <c r="G252">
        <v>24</v>
      </c>
      <c r="H252">
        <v>6</v>
      </c>
      <c r="I252">
        <v>6</v>
      </c>
      <c r="J252" s="9" t="s">
        <v>309</v>
      </c>
      <c r="K252" s="9" t="s">
        <v>405</v>
      </c>
      <c r="L252" t="s">
        <v>252</v>
      </c>
      <c r="M252" t="s">
        <v>263</v>
      </c>
      <c r="N252" t="s">
        <v>211</v>
      </c>
      <c r="O252">
        <v>5</v>
      </c>
      <c r="P252">
        <v>1</v>
      </c>
      <c r="R252" s="9" t="s">
        <v>312</v>
      </c>
      <c r="T252">
        <v>1</v>
      </c>
      <c r="AB252">
        <v>240.34218749999999</v>
      </c>
      <c r="AC252">
        <f>(4*(0.0211*(12.5^3)))+(S252*(0.0211*(17.5^3)))+(T252*(0.0211*(22.5^3)))+(U252*(0.0211*(27.5^3)))+(V252*(0.0211*(32.5^3)))+(W252*(0.0211*(37.5^3)))+(X252*(0.0211*(42.5^3)))+(Y252*(0.0211*(27.5^3)))</f>
        <v>405.18593750000002</v>
      </c>
      <c r="AD252">
        <f>(S252*(0.0211*(17.5^3)))+(T252*(0.0211*(22.5^3)))+(U252*(0.0211*(27.5^3)))+(V252*(0.0211*(32.5^3)))+(W252*(0.0211*(37.5^3)))+(X252*(0.0211*(42.5^3)))+(Y252*(0.0211*(27.5^3)))</f>
        <v>240.34218749999999</v>
      </c>
    </row>
    <row r="253" spans="1:30" hidden="1">
      <c r="A253" s="6">
        <v>40051</v>
      </c>
      <c r="B253" s="9" t="s">
        <v>670</v>
      </c>
      <c r="C253" s="9" t="s">
        <v>400</v>
      </c>
      <c r="D253" s="9" t="s">
        <v>511</v>
      </c>
      <c r="E253" s="9" t="s">
        <v>402</v>
      </c>
      <c r="F253" s="10">
        <v>4</v>
      </c>
      <c r="G253">
        <v>24</v>
      </c>
      <c r="H253">
        <v>6</v>
      </c>
      <c r="I253">
        <v>6</v>
      </c>
      <c r="J253" s="9" t="s">
        <v>309</v>
      </c>
      <c r="K253" s="9" t="s">
        <v>405</v>
      </c>
      <c r="L253" s="9" t="s">
        <v>77</v>
      </c>
      <c r="M253" t="s">
        <v>65</v>
      </c>
      <c r="N253" s="9" t="s">
        <v>407</v>
      </c>
      <c r="O253">
        <v>1</v>
      </c>
      <c r="P253">
        <v>0</v>
      </c>
      <c r="Q253">
        <v>8</v>
      </c>
      <c r="AC253">
        <f>1*(0.0004*(8^3.43))</f>
        <v>0.50079345774267114</v>
      </c>
    </row>
    <row r="254" spans="1:30" hidden="1">
      <c r="M254" t="s">
        <v>66</v>
      </c>
    </row>
    <row r="260" spans="22:22">
      <c r="V260" s="35"/>
    </row>
  </sheetData>
  <autoFilter ref="A1:AD254">
    <filterColumn colId="11">
      <filters>
        <filter val="brf"/>
      </filters>
    </filterColumn>
  </autoFilter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35"/>
  <sheetViews>
    <sheetView workbookViewId="0">
      <selection activeCell="I43" sqref="I43"/>
    </sheetView>
  </sheetViews>
  <sheetFormatPr baseColWidth="10" defaultRowHeight="12"/>
  <sheetData>
    <row r="1" spans="1:26" s="38" customFormat="1" ht="20">
      <c r="A1" s="1" t="s">
        <v>379</v>
      </c>
      <c r="B1" s="1" t="s">
        <v>380</v>
      </c>
      <c r="C1" s="1" t="s">
        <v>381</v>
      </c>
      <c r="D1" s="2" t="s">
        <v>382</v>
      </c>
      <c r="E1" s="3" t="s">
        <v>383</v>
      </c>
      <c r="F1" s="4" t="s">
        <v>384</v>
      </c>
      <c r="G1" s="2" t="s">
        <v>385</v>
      </c>
      <c r="H1" s="2" t="s">
        <v>386</v>
      </c>
      <c r="I1" s="2" t="s">
        <v>757</v>
      </c>
      <c r="J1" s="5" t="s">
        <v>387</v>
      </c>
      <c r="K1" s="5" t="s">
        <v>388</v>
      </c>
      <c r="L1" s="5" t="s">
        <v>262</v>
      </c>
      <c r="M1" s="5" t="s">
        <v>253</v>
      </c>
      <c r="N1" s="3" t="s">
        <v>389</v>
      </c>
      <c r="O1" s="5" t="s">
        <v>86</v>
      </c>
      <c r="P1" s="39" t="s">
        <v>87</v>
      </c>
      <c r="Q1" s="39" t="s">
        <v>88</v>
      </c>
      <c r="R1" s="39" t="s">
        <v>89</v>
      </c>
      <c r="S1" s="39" t="s">
        <v>90</v>
      </c>
      <c r="T1" s="39" t="s">
        <v>91</v>
      </c>
      <c r="U1" s="40" t="s">
        <v>394</v>
      </c>
      <c r="V1" s="40" t="s">
        <v>395</v>
      </c>
      <c r="W1" s="40" t="s">
        <v>396</v>
      </c>
      <c r="X1" s="40" t="s">
        <v>397</v>
      </c>
      <c r="Y1" s="39" t="s">
        <v>398</v>
      </c>
      <c r="Z1" s="39" t="s">
        <v>819</v>
      </c>
    </row>
    <row r="2" spans="1:26">
      <c r="A2" s="6">
        <v>39960</v>
      </c>
      <c r="B2" t="s">
        <v>399</v>
      </c>
      <c r="C2" t="s">
        <v>400</v>
      </c>
      <c r="D2" t="s">
        <v>401</v>
      </c>
      <c r="E2" t="s">
        <v>402</v>
      </c>
      <c r="F2" s="7">
        <v>20</v>
      </c>
      <c r="G2" t="s">
        <v>403</v>
      </c>
      <c r="H2">
        <v>1</v>
      </c>
      <c r="I2">
        <v>1</v>
      </c>
      <c r="J2" t="s">
        <v>820</v>
      </c>
      <c r="K2" t="s">
        <v>405</v>
      </c>
      <c r="L2" t="s">
        <v>170</v>
      </c>
      <c r="M2" t="s">
        <v>170</v>
      </c>
      <c r="N2" t="s">
        <v>406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Z2">
        <f>2*(0.0156*(22.5^3))+(1*(0.0156*(37.5^3)))</f>
        <v>1178.04375</v>
      </c>
    </row>
    <row r="3" spans="1:26">
      <c r="A3" s="6">
        <v>39960</v>
      </c>
      <c r="B3" t="s">
        <v>399</v>
      </c>
      <c r="C3" t="s">
        <v>400</v>
      </c>
      <c r="D3" t="s">
        <v>401</v>
      </c>
      <c r="E3" t="s">
        <v>402</v>
      </c>
      <c r="F3" s="7">
        <v>20</v>
      </c>
      <c r="G3" t="s">
        <v>403</v>
      </c>
      <c r="H3">
        <v>1</v>
      </c>
      <c r="I3">
        <v>1</v>
      </c>
      <c r="J3" t="s">
        <v>404</v>
      </c>
      <c r="K3" t="s">
        <v>405</v>
      </c>
      <c r="L3" t="s">
        <v>172</v>
      </c>
      <c r="M3" t="s">
        <v>65</v>
      </c>
      <c r="N3" t="s">
        <v>407</v>
      </c>
      <c r="O3" t="s">
        <v>408</v>
      </c>
      <c r="Z3">
        <f>5*(0.0004*(2^3.43))</f>
        <v>2.155573722985105E-2</v>
      </c>
    </row>
    <row r="4" spans="1:26">
      <c r="A4" s="6">
        <v>39960</v>
      </c>
      <c r="B4" t="s">
        <v>399</v>
      </c>
      <c r="C4" t="s">
        <v>400</v>
      </c>
      <c r="D4" t="s">
        <v>401</v>
      </c>
      <c r="E4" t="s">
        <v>402</v>
      </c>
      <c r="F4" s="7">
        <v>20</v>
      </c>
      <c r="G4" t="s">
        <v>403</v>
      </c>
      <c r="H4">
        <v>1</v>
      </c>
      <c r="I4">
        <v>1</v>
      </c>
      <c r="J4" t="s">
        <v>404</v>
      </c>
      <c r="K4" t="s">
        <v>405</v>
      </c>
      <c r="L4" t="s">
        <v>170</v>
      </c>
      <c r="M4" t="s">
        <v>170</v>
      </c>
      <c r="N4" t="s">
        <v>409</v>
      </c>
      <c r="Q4">
        <v>1</v>
      </c>
      <c r="R4">
        <v>2</v>
      </c>
      <c r="T4">
        <v>1</v>
      </c>
      <c r="Z4">
        <f>(P4*(0.0156*(12.5^3)))+(Q4*(0.0156*(17.5^3)))+(R4*(0.0156*(22.5^3)))+(S4*(0.0156*(27.5^3)))+(T4*(0.0156*(32.5^3)))+(U4*(0.0156*(37.5^3)))+(V4*(0.0156*(42.5^3)))+(W4*(0.0156*(27.5^3)))</f>
        <v>974.51249999999993</v>
      </c>
    </row>
    <row r="5" spans="1:26">
      <c r="A5" s="6">
        <v>39960</v>
      </c>
      <c r="B5" t="s">
        <v>399</v>
      </c>
      <c r="C5" t="s">
        <v>400</v>
      </c>
      <c r="D5" t="s">
        <v>401</v>
      </c>
      <c r="E5" t="s">
        <v>402</v>
      </c>
      <c r="F5" s="7">
        <v>20</v>
      </c>
      <c r="G5" t="s">
        <v>403</v>
      </c>
      <c r="H5">
        <v>1</v>
      </c>
      <c r="I5">
        <v>1</v>
      </c>
      <c r="J5" t="s">
        <v>404</v>
      </c>
      <c r="K5" t="s">
        <v>405</v>
      </c>
      <c r="L5" t="s">
        <v>174</v>
      </c>
      <c r="M5" t="s">
        <v>174</v>
      </c>
      <c r="N5" t="s">
        <v>210</v>
      </c>
      <c r="S5">
        <v>1</v>
      </c>
      <c r="Z5">
        <f>(S5*(0.013*(27.5^3)))</f>
        <v>270.359375</v>
      </c>
    </row>
    <row r="6" spans="1:26">
      <c r="A6" s="6">
        <v>39960</v>
      </c>
      <c r="B6" t="s">
        <v>399</v>
      </c>
      <c r="C6" t="s">
        <v>400</v>
      </c>
      <c r="D6" t="s">
        <v>401</v>
      </c>
      <c r="E6" t="s">
        <v>402</v>
      </c>
      <c r="F6" s="7">
        <v>20</v>
      </c>
      <c r="G6" t="s">
        <v>403</v>
      </c>
      <c r="H6">
        <v>1</v>
      </c>
      <c r="I6">
        <v>1</v>
      </c>
      <c r="J6" t="s">
        <v>404</v>
      </c>
      <c r="K6" t="s">
        <v>405</v>
      </c>
      <c r="L6" t="s">
        <v>252</v>
      </c>
      <c r="M6" t="s">
        <v>263</v>
      </c>
      <c r="N6" t="s">
        <v>211</v>
      </c>
      <c r="P6">
        <v>1</v>
      </c>
      <c r="Z6">
        <f>(P6*(0.0211*(12.5^3)))+(Q6*(0.0211*(17.5^3)))+(R6*(0.0211*(22.5^3)))+(S6*(0.0211*(27.5^3)))+(T6*(0.0211*(32.5^3)))+(U6*(0.0211*(37.5^3)))+(V6*(0.0211*(42.5^3)))+(W6*(0.0211*(27.5^3)))</f>
        <v>41.2109375</v>
      </c>
    </row>
    <row r="7" spans="1:26">
      <c r="A7" s="6">
        <v>39960</v>
      </c>
      <c r="B7" t="s">
        <v>399</v>
      </c>
      <c r="C7" t="s">
        <v>400</v>
      </c>
      <c r="D7" t="s">
        <v>401</v>
      </c>
      <c r="E7" t="s">
        <v>402</v>
      </c>
      <c r="F7" s="7">
        <v>20</v>
      </c>
      <c r="G7">
        <v>6.5</v>
      </c>
      <c r="H7">
        <v>2</v>
      </c>
      <c r="I7">
        <v>2</v>
      </c>
      <c r="J7" t="s">
        <v>404</v>
      </c>
      <c r="K7" t="s">
        <v>405</v>
      </c>
      <c r="L7" t="s">
        <v>170</v>
      </c>
      <c r="M7" t="s">
        <v>170</v>
      </c>
      <c r="N7" t="s">
        <v>406</v>
      </c>
      <c r="Q7">
        <v>1</v>
      </c>
      <c r="U7">
        <v>1</v>
      </c>
      <c r="Z7">
        <f>(P7*(0.0156*(12.5^3)))+(Q7*(0.0156*(17.5^3)))+(R7*(0.0156*(22.5^3)))+(S7*(0.0156*(27.5^3)))+(T7*(0.0156*(32.5^3)))+(U7*(0.0156*(37.5^3)))+(V7*(0.0156*(42.5^3)))+(W7*(0.0156*(27.5^3)))</f>
        <v>906.26250000000005</v>
      </c>
    </row>
    <row r="8" spans="1:26">
      <c r="A8" s="6">
        <v>39960</v>
      </c>
      <c r="B8" t="s">
        <v>399</v>
      </c>
      <c r="C8" t="s">
        <v>400</v>
      </c>
      <c r="D8" t="s">
        <v>401</v>
      </c>
      <c r="E8" t="s">
        <v>402</v>
      </c>
      <c r="F8" s="7">
        <v>20</v>
      </c>
      <c r="G8">
        <v>6.5</v>
      </c>
      <c r="H8">
        <v>2</v>
      </c>
      <c r="I8">
        <v>2</v>
      </c>
      <c r="J8" t="s">
        <v>404</v>
      </c>
      <c r="K8" t="s">
        <v>405</v>
      </c>
      <c r="L8" t="s">
        <v>177</v>
      </c>
      <c r="M8" t="s">
        <v>265</v>
      </c>
      <c r="N8" t="s">
        <v>212</v>
      </c>
      <c r="O8" t="s">
        <v>33</v>
      </c>
      <c r="Z8">
        <f>(1*(0.009*(60^3.06)))/1000</f>
        <v>2.4853372876419679</v>
      </c>
    </row>
    <row r="9" spans="1:26">
      <c r="A9" s="6">
        <v>39960</v>
      </c>
      <c r="B9" t="s">
        <v>399</v>
      </c>
      <c r="C9" t="s">
        <v>400</v>
      </c>
      <c r="D9" t="s">
        <v>401</v>
      </c>
      <c r="E9" t="s">
        <v>402</v>
      </c>
      <c r="F9" s="7">
        <v>20</v>
      </c>
      <c r="G9">
        <v>6.5</v>
      </c>
      <c r="H9">
        <v>2</v>
      </c>
      <c r="I9">
        <v>2</v>
      </c>
      <c r="J9" t="s">
        <v>404</v>
      </c>
      <c r="K9" t="s">
        <v>405</v>
      </c>
      <c r="L9" t="s">
        <v>170</v>
      </c>
      <c r="M9" t="s">
        <v>170</v>
      </c>
      <c r="N9" t="s">
        <v>409</v>
      </c>
      <c r="O9">
        <v>0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Z9">
        <f>(P9*(0.0156*(12.5^3)))+(Q9*(0.0156*(17.5^3)))+(R9*(0.0156*(22.5^3)))+(S9*(0.0156*(27.5^3)))+(T9*(0.0156*(32.5^3)))+(U9*(0.0156*(37.5^3)))+(V9*(0.0156*(42.5^3)))+(W9*(0.0156*(27.5^3)))</f>
        <v>2118.9187499999998</v>
      </c>
    </row>
    <row r="10" spans="1:26">
      <c r="A10" s="6">
        <v>39960</v>
      </c>
      <c r="B10" t="s">
        <v>399</v>
      </c>
      <c r="C10" t="s">
        <v>400</v>
      </c>
      <c r="D10" t="s">
        <v>401</v>
      </c>
      <c r="E10" t="s">
        <v>402</v>
      </c>
      <c r="F10" s="7">
        <v>20</v>
      </c>
      <c r="G10">
        <v>6.5</v>
      </c>
      <c r="H10">
        <v>2</v>
      </c>
      <c r="I10">
        <v>2</v>
      </c>
      <c r="J10" t="s">
        <v>404</v>
      </c>
      <c r="K10" t="s">
        <v>405</v>
      </c>
      <c r="L10" t="s">
        <v>172</v>
      </c>
      <c r="M10" t="s">
        <v>65</v>
      </c>
      <c r="N10" t="s">
        <v>407</v>
      </c>
      <c r="O10" t="s">
        <v>34</v>
      </c>
      <c r="Z10">
        <f>50*(0.0004*(2^3.43))</f>
        <v>0.21555737229851049</v>
      </c>
    </row>
    <row r="11" spans="1:26">
      <c r="A11" s="6">
        <v>39960</v>
      </c>
      <c r="B11" t="s">
        <v>399</v>
      </c>
      <c r="C11" t="s">
        <v>400</v>
      </c>
      <c r="D11" t="s">
        <v>401</v>
      </c>
      <c r="E11" t="s">
        <v>402</v>
      </c>
      <c r="F11" s="7">
        <v>20</v>
      </c>
      <c r="G11">
        <v>6.5</v>
      </c>
      <c r="H11">
        <v>2</v>
      </c>
      <c r="I11">
        <v>2</v>
      </c>
      <c r="J11" t="s">
        <v>404</v>
      </c>
      <c r="K11" t="s">
        <v>405</v>
      </c>
      <c r="L11" t="s">
        <v>179</v>
      </c>
      <c r="M11" t="s">
        <v>179</v>
      </c>
      <c r="N11" t="s">
        <v>35</v>
      </c>
      <c r="Q11">
        <v>1</v>
      </c>
      <c r="Z11" s="9">
        <f>EXP(3.19*(LOG10(175)))-5.29</f>
        <v>1275.5755960928645</v>
      </c>
    </row>
    <row r="12" spans="1:26">
      <c r="A12" s="6">
        <v>39960</v>
      </c>
      <c r="B12" t="s">
        <v>399</v>
      </c>
      <c r="C12" t="s">
        <v>400</v>
      </c>
      <c r="D12" t="s">
        <v>401</v>
      </c>
      <c r="E12" t="s">
        <v>402</v>
      </c>
      <c r="F12" s="7">
        <v>20</v>
      </c>
      <c r="G12" t="s">
        <v>36</v>
      </c>
      <c r="H12">
        <v>3</v>
      </c>
      <c r="I12">
        <v>3</v>
      </c>
      <c r="J12" t="s">
        <v>404</v>
      </c>
      <c r="K12" t="s">
        <v>405</v>
      </c>
      <c r="L12" t="s">
        <v>170</v>
      </c>
      <c r="M12" t="s">
        <v>170</v>
      </c>
      <c r="N12" t="s">
        <v>409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37</v>
      </c>
      <c r="Z12">
        <f>(P12*(0.0156*(12.5^3)))+(Q12*(0.0156*(17.5^3)))+(R12*(0.0156*(22.5^3)))+(S12*(0.0156*(27.5^3)))+(T12*(0.0156*(32.5^3)))+(U12*(0.0156*(37.5^3)))+(V12*(0.0156*(42.5^3)))+(W12*(0.0156*(27.5^3)))</f>
        <v>177.69374999999999</v>
      </c>
    </row>
    <row r="13" spans="1:26">
      <c r="A13" s="6">
        <v>39960</v>
      </c>
      <c r="B13" t="s">
        <v>399</v>
      </c>
      <c r="C13" t="s">
        <v>400</v>
      </c>
      <c r="D13" t="s">
        <v>401</v>
      </c>
      <c r="E13" t="s">
        <v>402</v>
      </c>
      <c r="F13" s="7">
        <v>20</v>
      </c>
      <c r="G13" t="s">
        <v>36</v>
      </c>
      <c r="H13">
        <v>3</v>
      </c>
      <c r="I13">
        <v>3</v>
      </c>
      <c r="J13" t="s">
        <v>404</v>
      </c>
      <c r="K13" t="s">
        <v>405</v>
      </c>
      <c r="L13" t="s">
        <v>199</v>
      </c>
      <c r="M13" t="s">
        <v>175</v>
      </c>
      <c r="N13" t="s">
        <v>38</v>
      </c>
      <c r="T13">
        <v>1</v>
      </c>
      <c r="Z13">
        <f>(P13*(0.0175*(12.5^3)))+(Q13*(0.0175*(17.5^3)))+(R13*(0.0175*(22.5^3)))+(S13*(0.0175*(27.5^3)))+(T13*(0.0175*(32.5^3)))+(U13*(0.0175*(37.5^3)))+(V13*(0.0175*(42.5^3)))+(W13*(0.0175*(27.5^3)))</f>
        <v>600.74218750000011</v>
      </c>
    </row>
    <row r="14" spans="1:26">
      <c r="A14" s="6">
        <v>39960</v>
      </c>
      <c r="B14" t="s">
        <v>399</v>
      </c>
      <c r="C14" t="s">
        <v>400</v>
      </c>
      <c r="D14" t="s">
        <v>401</v>
      </c>
      <c r="E14" t="s">
        <v>402</v>
      </c>
      <c r="F14" s="7">
        <v>20</v>
      </c>
      <c r="G14" t="s">
        <v>36</v>
      </c>
      <c r="H14">
        <v>3</v>
      </c>
      <c r="I14">
        <v>3</v>
      </c>
      <c r="J14" t="s">
        <v>404</v>
      </c>
      <c r="K14" t="s">
        <v>405</v>
      </c>
      <c r="L14" t="s">
        <v>172</v>
      </c>
      <c r="M14" t="s">
        <v>65</v>
      </c>
      <c r="N14" t="s">
        <v>407</v>
      </c>
      <c r="O14" t="s">
        <v>34</v>
      </c>
      <c r="P14">
        <v>1</v>
      </c>
      <c r="Z14">
        <f>50*(0.0004*(2^3.43))+(P14*(0.0004*(12.5^3.43)))</f>
        <v>2.5300794935431115</v>
      </c>
    </row>
    <row r="15" spans="1:26">
      <c r="A15" s="6">
        <v>39960</v>
      </c>
      <c r="B15" t="s">
        <v>399</v>
      </c>
      <c r="C15" t="s">
        <v>400</v>
      </c>
      <c r="D15" t="s">
        <v>401</v>
      </c>
      <c r="E15" t="s">
        <v>402</v>
      </c>
      <c r="F15" s="7">
        <v>20</v>
      </c>
      <c r="G15" t="s">
        <v>36</v>
      </c>
      <c r="H15">
        <v>3</v>
      </c>
      <c r="I15">
        <v>3</v>
      </c>
      <c r="J15" t="s">
        <v>404</v>
      </c>
      <c r="K15" t="s">
        <v>405</v>
      </c>
      <c r="L15" t="s">
        <v>201</v>
      </c>
      <c r="M15" t="s">
        <v>200</v>
      </c>
      <c r="N15" t="s">
        <v>39</v>
      </c>
      <c r="X15" t="s">
        <v>40</v>
      </c>
    </row>
    <row r="16" spans="1:26">
      <c r="A16" s="6">
        <v>39961</v>
      </c>
      <c r="B16" t="s">
        <v>399</v>
      </c>
      <c r="C16" t="s">
        <v>41</v>
      </c>
      <c r="D16" t="s">
        <v>42</v>
      </c>
      <c r="E16" t="s">
        <v>402</v>
      </c>
      <c r="F16" s="7">
        <v>15</v>
      </c>
      <c r="G16" t="s">
        <v>43</v>
      </c>
      <c r="H16">
        <v>1</v>
      </c>
      <c r="I16">
        <v>1</v>
      </c>
      <c r="J16" t="s">
        <v>404</v>
      </c>
      <c r="K16" t="s">
        <v>405</v>
      </c>
      <c r="L16" t="s">
        <v>170</v>
      </c>
      <c r="M16" t="s">
        <v>170</v>
      </c>
      <c r="N16" t="s">
        <v>409</v>
      </c>
      <c r="Q16">
        <v>1</v>
      </c>
      <c r="R16">
        <v>1</v>
      </c>
      <c r="Z16">
        <f>(P16*(0.0156*(12.5^3)))+(Q16*(0.0156*(17.5^3)))+(R16*(0.0156*(22.5^3)))+(S16*(0.0156*(27.5^3)))+(T16*(0.0156*(32.5^3)))+(U16*(0.0156*(37.5^3)))+(V16*(0.0156*(42.5^3)))+(W16*(0.0156*(27.5^3)))</f>
        <v>261.3</v>
      </c>
    </row>
    <row r="17" spans="1:26">
      <c r="A17" s="6">
        <v>39961</v>
      </c>
      <c r="B17" t="s">
        <v>399</v>
      </c>
      <c r="C17" t="s">
        <v>41</v>
      </c>
      <c r="D17" t="s">
        <v>42</v>
      </c>
      <c r="E17" t="s">
        <v>402</v>
      </c>
      <c r="F17" s="7">
        <v>15</v>
      </c>
      <c r="G17" t="s">
        <v>43</v>
      </c>
      <c r="H17">
        <v>1</v>
      </c>
      <c r="I17">
        <v>1</v>
      </c>
      <c r="J17" t="s">
        <v>404</v>
      </c>
      <c r="K17" t="s">
        <v>405</v>
      </c>
      <c r="L17" t="s">
        <v>252</v>
      </c>
      <c r="M17" t="s">
        <v>175</v>
      </c>
      <c r="N17" t="s">
        <v>211</v>
      </c>
      <c r="P17">
        <v>11</v>
      </c>
      <c r="Q17">
        <v>2</v>
      </c>
      <c r="Z17">
        <f>(P17*(0.0211*(12.5^3)))+(Q17*(0.0211*(17.5^3)))+(R17*(0.0211*(22.5^3)))+(S17*(0.0211*(27.5^3)))+(T17*(0.0211*(32.5^3)))+(U17*(0.0211*(37.5^3)))+(V17*(0.0211*(42.5^3)))+(W17*(0.0211*(27.5^3)))</f>
        <v>679.48593749999998</v>
      </c>
    </row>
    <row r="18" spans="1:26">
      <c r="A18" s="6">
        <v>39961</v>
      </c>
      <c r="B18" t="s">
        <v>399</v>
      </c>
      <c r="C18" t="s">
        <v>41</v>
      </c>
      <c r="D18" t="s">
        <v>42</v>
      </c>
      <c r="E18" t="s">
        <v>402</v>
      </c>
      <c r="F18" s="7">
        <v>15</v>
      </c>
      <c r="G18" t="s">
        <v>43</v>
      </c>
      <c r="H18">
        <v>1</v>
      </c>
      <c r="I18">
        <v>1</v>
      </c>
      <c r="J18" t="s">
        <v>404</v>
      </c>
      <c r="K18" t="s">
        <v>405</v>
      </c>
      <c r="L18" t="s">
        <v>172</v>
      </c>
      <c r="M18" t="s">
        <v>65</v>
      </c>
      <c r="N18" t="s">
        <v>407</v>
      </c>
      <c r="P18">
        <v>1</v>
      </c>
      <c r="Z18">
        <f>(P18*(0.0004*(12.5^3.43)))</f>
        <v>2.3145221212446008</v>
      </c>
    </row>
    <row r="19" spans="1:26">
      <c r="A19" s="6">
        <v>39961</v>
      </c>
      <c r="B19" t="s">
        <v>399</v>
      </c>
      <c r="C19" t="s">
        <v>41</v>
      </c>
      <c r="D19" t="s">
        <v>42</v>
      </c>
      <c r="E19" t="s">
        <v>402</v>
      </c>
      <c r="F19" s="7">
        <v>15</v>
      </c>
      <c r="G19" t="s">
        <v>44</v>
      </c>
      <c r="H19">
        <v>2</v>
      </c>
      <c r="I19">
        <v>2</v>
      </c>
      <c r="J19" t="s">
        <v>404</v>
      </c>
      <c r="K19" t="s">
        <v>405</v>
      </c>
      <c r="L19" t="s">
        <v>170</v>
      </c>
      <c r="M19" t="s">
        <v>170</v>
      </c>
      <c r="N19" t="s">
        <v>406</v>
      </c>
      <c r="S19">
        <v>1</v>
      </c>
      <c r="T19">
        <v>3</v>
      </c>
      <c r="U19">
        <v>2</v>
      </c>
      <c r="Z19">
        <f>(P19*(0.0156*(12.5^3)))+(Q19*(0.0156*(17.5^3)))+(R19*(0.0156*(22.5^3)))+(S19*(0.0156*(27.5^3)))+(T19*(0.0156*(32.5^3)))+(U19*(0.0156*(37.5^3)))+(V19*(0.0156*(42.5^3)))+(W19*(0.0156*(27.5^3)))</f>
        <v>3576.2999999999997</v>
      </c>
    </row>
    <row r="20" spans="1:26">
      <c r="A20" s="6">
        <v>39961</v>
      </c>
      <c r="B20" t="s">
        <v>399</v>
      </c>
      <c r="C20" t="s">
        <v>41</v>
      </c>
      <c r="D20" t="s">
        <v>42</v>
      </c>
      <c r="E20" t="s">
        <v>402</v>
      </c>
      <c r="F20" s="7">
        <v>15</v>
      </c>
      <c r="G20" t="s">
        <v>44</v>
      </c>
      <c r="H20">
        <v>2</v>
      </c>
      <c r="I20">
        <v>2</v>
      </c>
      <c r="J20" t="s">
        <v>404</v>
      </c>
      <c r="K20" t="s">
        <v>405</v>
      </c>
      <c r="L20" t="s">
        <v>170</v>
      </c>
      <c r="M20" t="s">
        <v>170</v>
      </c>
      <c r="N20" t="s">
        <v>409</v>
      </c>
      <c r="P20">
        <v>1</v>
      </c>
      <c r="Q20">
        <v>3</v>
      </c>
      <c r="R20">
        <v>2</v>
      </c>
      <c r="Z20">
        <f>(P20*(0.0156*(12.5^3)))+(Q20*(0.0156*(17.5^3)))+(R20*(0.0156*(22.5^3)))+(S20*(0.0156*(27.5^3)))+(T20*(0.0156*(32.5^3)))+(U20*(0.0156*(37.5^3)))+(V20*(0.0156*(42.5^3)))+(W20*(0.0156*(27.5^3)))</f>
        <v>636.67499999999995</v>
      </c>
    </row>
    <row r="21" spans="1:26">
      <c r="A21" s="6">
        <v>39961</v>
      </c>
      <c r="B21" t="s">
        <v>399</v>
      </c>
      <c r="C21" t="s">
        <v>41</v>
      </c>
      <c r="D21" t="s">
        <v>42</v>
      </c>
      <c r="E21" t="s">
        <v>402</v>
      </c>
      <c r="F21" s="7">
        <v>15</v>
      </c>
      <c r="G21" t="s">
        <v>44</v>
      </c>
      <c r="H21">
        <v>2</v>
      </c>
      <c r="I21">
        <v>2</v>
      </c>
      <c r="J21" t="s">
        <v>404</v>
      </c>
      <c r="K21" t="s">
        <v>405</v>
      </c>
      <c r="L21" t="s">
        <v>177</v>
      </c>
      <c r="M21" t="s">
        <v>202</v>
      </c>
      <c r="N21" t="s">
        <v>45</v>
      </c>
      <c r="O21" t="s">
        <v>33</v>
      </c>
      <c r="Z21">
        <f>(1*(0.009*(60^3.06)))/1000</f>
        <v>2.4853372876419679</v>
      </c>
    </row>
    <row r="22" spans="1:26">
      <c r="A22" s="6">
        <v>39961</v>
      </c>
      <c r="B22" t="s">
        <v>399</v>
      </c>
      <c r="C22" t="s">
        <v>41</v>
      </c>
      <c r="D22" t="s">
        <v>42</v>
      </c>
      <c r="E22" t="s">
        <v>402</v>
      </c>
      <c r="F22" s="7">
        <v>15</v>
      </c>
      <c r="G22" t="s">
        <v>44</v>
      </c>
      <c r="H22">
        <v>2</v>
      </c>
      <c r="I22">
        <v>2</v>
      </c>
      <c r="J22" t="s">
        <v>404</v>
      </c>
      <c r="K22" t="s">
        <v>405</v>
      </c>
      <c r="L22" t="s">
        <v>172</v>
      </c>
      <c r="M22" t="s">
        <v>65</v>
      </c>
      <c r="N22" t="s">
        <v>407</v>
      </c>
      <c r="P22">
        <v>30</v>
      </c>
      <c r="Z22">
        <f>(P22*(0.0004*(12.5^3.43)))</f>
        <v>69.435663637338024</v>
      </c>
    </row>
    <row r="23" spans="1:26">
      <c r="A23" s="6">
        <v>39961</v>
      </c>
      <c r="B23" t="s">
        <v>399</v>
      </c>
      <c r="C23" t="s">
        <v>41</v>
      </c>
      <c r="D23" t="s">
        <v>42</v>
      </c>
      <c r="E23" t="s">
        <v>402</v>
      </c>
      <c r="F23" s="7">
        <v>15</v>
      </c>
      <c r="G23" t="s">
        <v>44</v>
      </c>
      <c r="H23">
        <v>3</v>
      </c>
      <c r="I23">
        <v>3</v>
      </c>
      <c r="J23" t="s">
        <v>404</v>
      </c>
      <c r="K23" t="s">
        <v>405</v>
      </c>
      <c r="L23" t="s">
        <v>170</v>
      </c>
      <c r="M23" t="s">
        <v>170</v>
      </c>
      <c r="N23" t="s">
        <v>406</v>
      </c>
      <c r="Q23">
        <v>1</v>
      </c>
      <c r="T23">
        <v>1</v>
      </c>
      <c r="Z23">
        <f>(P23*(0.0156*(12.5^3)))+(Q23*(0.0156*(17.5^3)))+(R23*(0.0156*(22.5^3)))+(S23*(0.0156*(27.5^3)))+(T23*(0.0156*(32.5^3)))+(U23*(0.0156*(37.5^3)))+(V23*(0.0156*(42.5^3)))+(W23*(0.0156*(27.5^3)))</f>
        <v>619.125</v>
      </c>
    </row>
    <row r="24" spans="1:26">
      <c r="A24" s="6">
        <v>39961</v>
      </c>
      <c r="B24" t="s">
        <v>399</v>
      </c>
      <c r="C24" t="s">
        <v>41</v>
      </c>
      <c r="D24" t="s">
        <v>42</v>
      </c>
      <c r="E24" t="s">
        <v>402</v>
      </c>
      <c r="F24" s="7">
        <v>15</v>
      </c>
      <c r="G24" t="s">
        <v>44</v>
      </c>
      <c r="H24">
        <v>3</v>
      </c>
      <c r="I24">
        <v>3</v>
      </c>
      <c r="J24" t="s">
        <v>404</v>
      </c>
      <c r="K24" t="s">
        <v>405</v>
      </c>
      <c r="L24" t="s">
        <v>170</v>
      </c>
      <c r="M24" t="s">
        <v>170</v>
      </c>
      <c r="N24" t="s">
        <v>409</v>
      </c>
      <c r="P24">
        <v>1</v>
      </c>
      <c r="Q24">
        <v>4</v>
      </c>
      <c r="R24">
        <v>1</v>
      </c>
      <c r="Z24">
        <f>(P24*(0.0156*(12.5^3)))+(Q24*(0.0156*(17.5^3)))+(R24*(0.0156*(22.5^3)))+(S24*(0.0156*(27.5^3)))+(T24*(0.0156*(32.5^3)))+(U24*(0.0156*(37.5^3)))+(V24*(0.0156*(42.5^3)))+(W24*(0.0156*(27.5^3)))</f>
        <v>542.58749999999998</v>
      </c>
    </row>
    <row r="25" spans="1:26">
      <c r="A25" s="6">
        <v>39961</v>
      </c>
      <c r="B25" t="s">
        <v>399</v>
      </c>
      <c r="C25" t="s">
        <v>41</v>
      </c>
      <c r="D25" t="s">
        <v>42</v>
      </c>
      <c r="E25" t="s">
        <v>402</v>
      </c>
      <c r="F25" s="7">
        <v>15</v>
      </c>
      <c r="G25" t="s">
        <v>44</v>
      </c>
      <c r="H25">
        <v>3</v>
      </c>
      <c r="I25">
        <v>3</v>
      </c>
      <c r="J25" t="s">
        <v>404</v>
      </c>
      <c r="K25" t="s">
        <v>405</v>
      </c>
      <c r="L25" t="s">
        <v>252</v>
      </c>
      <c r="M25" t="s">
        <v>175</v>
      </c>
      <c r="N25" t="s">
        <v>211</v>
      </c>
      <c r="P25">
        <v>17</v>
      </c>
      <c r="Z25">
        <f>(P25*(0.0211*(12.5^3)))+(Q25*(0.0211*(17.5^3)))+(R25*(0.0211*(22.5^3)))+(S25*(0.0211*(27.5^3)))+(T25*(0.0211*(32.5^3)))+(U25*(0.0211*(37.5^3)))+(V25*(0.0211*(42.5^3)))+(W25*(0.0211*(27.5^3)))</f>
        <v>700.5859375</v>
      </c>
    </row>
    <row r="26" spans="1:26">
      <c r="A26" s="6">
        <v>39961</v>
      </c>
      <c r="B26" t="s">
        <v>399</v>
      </c>
      <c r="C26" t="s">
        <v>41</v>
      </c>
      <c r="D26" t="s">
        <v>42</v>
      </c>
      <c r="E26" t="s">
        <v>402</v>
      </c>
      <c r="F26" s="7">
        <v>15</v>
      </c>
      <c r="G26" t="s">
        <v>44</v>
      </c>
      <c r="H26">
        <v>3</v>
      </c>
      <c r="I26">
        <v>3</v>
      </c>
      <c r="J26" t="s">
        <v>404</v>
      </c>
      <c r="K26" t="s">
        <v>405</v>
      </c>
      <c r="L26" t="s">
        <v>174</v>
      </c>
      <c r="M26" t="s">
        <v>174</v>
      </c>
      <c r="N26" t="s">
        <v>210</v>
      </c>
      <c r="T26">
        <v>1</v>
      </c>
      <c r="Z26">
        <f>(T26*(0.013*(32.5^3)))</f>
        <v>446.265625</v>
      </c>
    </row>
    <row r="27" spans="1:26">
      <c r="A27" s="6">
        <v>39961</v>
      </c>
      <c r="B27" t="s">
        <v>399</v>
      </c>
      <c r="C27" t="s">
        <v>41</v>
      </c>
      <c r="D27" t="s">
        <v>42</v>
      </c>
      <c r="E27" t="s">
        <v>402</v>
      </c>
      <c r="F27" s="7">
        <v>15</v>
      </c>
      <c r="G27" t="s">
        <v>44</v>
      </c>
      <c r="H27">
        <v>3</v>
      </c>
      <c r="I27">
        <v>3</v>
      </c>
      <c r="J27" t="s">
        <v>404</v>
      </c>
      <c r="K27" t="s">
        <v>405</v>
      </c>
      <c r="L27" t="s">
        <v>179</v>
      </c>
      <c r="M27" t="s">
        <v>179</v>
      </c>
      <c r="N27" t="s">
        <v>267</v>
      </c>
      <c r="P27">
        <v>1</v>
      </c>
      <c r="Z27" s="9">
        <f>EXP(3.19*(LOG10(125)))-5.29</f>
        <v>798.34319624037357</v>
      </c>
    </row>
    <row r="28" spans="1:26">
      <c r="A28" s="6">
        <v>39962</v>
      </c>
      <c r="B28" t="s">
        <v>399</v>
      </c>
      <c r="C28" t="s">
        <v>269</v>
      </c>
      <c r="D28" t="s">
        <v>269</v>
      </c>
      <c r="E28" t="s">
        <v>402</v>
      </c>
      <c r="F28" s="7">
        <v>7</v>
      </c>
      <c r="G28" s="8" t="s">
        <v>270</v>
      </c>
      <c r="H28">
        <v>1</v>
      </c>
      <c r="I28">
        <v>1</v>
      </c>
      <c r="J28" t="s">
        <v>404</v>
      </c>
      <c r="K28" t="s">
        <v>405</v>
      </c>
      <c r="L28" t="s">
        <v>252</v>
      </c>
      <c r="M28" t="s">
        <v>263</v>
      </c>
      <c r="N28" t="s">
        <v>211</v>
      </c>
      <c r="P28">
        <v>1</v>
      </c>
      <c r="Q28">
        <v>4</v>
      </c>
      <c r="R28">
        <v>6</v>
      </c>
      <c r="S28">
        <v>7</v>
      </c>
      <c r="T28">
        <v>1</v>
      </c>
      <c r="Z28">
        <f>(P28*(0.0211*(12.5^3)))+(Q28*(0.0211*(17.5^3)))+(R28*(0.0211*(22.5^3)))+(S28*(0.0211*(27.5^3)))+(T28*(0.0211*(32.5^3)))+(U28*(0.0211*(37.5^3)))+(V28*(0.0211*(42.5^3)))+(W28*(0.0211*(27.5^3)))</f>
        <v>5731.6171875</v>
      </c>
    </row>
    <row r="29" spans="1:26">
      <c r="A29" s="6">
        <v>39962</v>
      </c>
      <c r="B29" t="s">
        <v>399</v>
      </c>
      <c r="C29" t="s">
        <v>269</v>
      </c>
      <c r="D29" t="s">
        <v>269</v>
      </c>
      <c r="E29" t="s">
        <v>402</v>
      </c>
      <c r="F29" s="7">
        <v>7</v>
      </c>
      <c r="G29" s="8" t="s">
        <v>270</v>
      </c>
      <c r="H29">
        <v>1</v>
      </c>
      <c r="I29">
        <v>1</v>
      </c>
      <c r="J29" t="s">
        <v>404</v>
      </c>
      <c r="K29" t="s">
        <v>405</v>
      </c>
      <c r="L29" t="s">
        <v>203</v>
      </c>
      <c r="M29" t="s">
        <v>263</v>
      </c>
      <c r="N29" t="s">
        <v>271</v>
      </c>
      <c r="O29" t="s">
        <v>33</v>
      </c>
      <c r="Y29" t="s">
        <v>272</v>
      </c>
      <c r="Z29">
        <f>(0.0175*(6^3))+((P29*(0.0175*(12.5^3)))+(Q29*(0.0175*(17.5^3)))+(R29*(0.0175*(22.5^3)))+(S29*(0.0175*(27.5^3)))+(T29*(0.0175*(32.5^3)))+(U29*(0.0175*(37.5^3)))+(V29*(0.0175*(42.5^3)))+(W29*(0.0175*(27.5^3))))</f>
        <v>3.7800000000000002</v>
      </c>
    </row>
    <row r="30" spans="1:26">
      <c r="A30" s="6">
        <v>39962</v>
      </c>
      <c r="B30" t="s">
        <v>399</v>
      </c>
      <c r="C30" t="s">
        <v>269</v>
      </c>
      <c r="D30" t="s">
        <v>269</v>
      </c>
      <c r="E30" t="s">
        <v>402</v>
      </c>
      <c r="F30" s="7">
        <v>7</v>
      </c>
      <c r="G30" t="s">
        <v>273</v>
      </c>
      <c r="H30">
        <v>2</v>
      </c>
      <c r="I30">
        <v>2</v>
      </c>
      <c r="J30" t="s">
        <v>404</v>
      </c>
      <c r="K30" t="s">
        <v>405</v>
      </c>
      <c r="L30" t="s">
        <v>252</v>
      </c>
      <c r="M30" t="s">
        <v>263</v>
      </c>
      <c r="N30" t="s">
        <v>211</v>
      </c>
      <c r="O30" t="s">
        <v>274</v>
      </c>
      <c r="P30">
        <v>5</v>
      </c>
      <c r="S30">
        <v>2</v>
      </c>
      <c r="T30">
        <v>1</v>
      </c>
      <c r="U30">
        <v>1</v>
      </c>
      <c r="Z30">
        <f>(P30*(0.0211*(12.5^3)))+(Q30*(0.0211*(17.5^3)))+(R30*(0.0211*(22.5^3)))+(S30*(0.0211*(27.5^3)))+(T30*(0.0211*(32.5^3)))+(U30*(0.0211*(37.5^3)))+(V30*(0.0211*(42.5^3)))+(W30*(0.0211*(27.5^3)))+(0.0211*(9^3))</f>
        <v>2936.0834625000002</v>
      </c>
    </row>
    <row r="31" spans="1:26">
      <c r="A31" s="6">
        <v>39962</v>
      </c>
      <c r="B31" t="s">
        <v>399</v>
      </c>
      <c r="C31" t="s">
        <v>269</v>
      </c>
      <c r="D31" t="s">
        <v>269</v>
      </c>
      <c r="E31" t="s">
        <v>402</v>
      </c>
      <c r="F31" s="7">
        <v>7</v>
      </c>
      <c r="G31" t="s">
        <v>273</v>
      </c>
      <c r="H31">
        <v>2</v>
      </c>
      <c r="I31">
        <v>2</v>
      </c>
      <c r="J31" t="s">
        <v>404</v>
      </c>
      <c r="K31" t="s">
        <v>405</v>
      </c>
      <c r="L31" t="s">
        <v>204</v>
      </c>
      <c r="M31" t="s">
        <v>263</v>
      </c>
      <c r="N31" t="s">
        <v>271</v>
      </c>
      <c r="O31" t="s">
        <v>33</v>
      </c>
      <c r="Y31" t="s">
        <v>272</v>
      </c>
      <c r="Z31">
        <f>(0.0175*(6^3))+((P31*(0.0175*(12.5^3)))+(Q31*(0.0175*(17.5^3)))+(R31*(0.0175*(22.5^3)))+(S31*(0.0175*(27.5^3)))+(T31*(0.0175*(32.5^3)))+(U31*(0.0175*(37.5^3)))+(V31*(0.0175*(42.5^3)))+(W31*(0.0175*(27.5^3))))</f>
        <v>3.7800000000000002</v>
      </c>
    </row>
    <row r="32" spans="1:26">
      <c r="A32" s="6">
        <v>39962</v>
      </c>
      <c r="B32" t="s">
        <v>399</v>
      </c>
      <c r="C32" t="s">
        <v>269</v>
      </c>
      <c r="D32" t="s">
        <v>269</v>
      </c>
      <c r="E32" t="s">
        <v>402</v>
      </c>
      <c r="F32" s="7">
        <v>7</v>
      </c>
      <c r="G32" t="s">
        <v>273</v>
      </c>
      <c r="H32">
        <v>2</v>
      </c>
      <c r="I32">
        <v>2</v>
      </c>
      <c r="J32" t="s">
        <v>404</v>
      </c>
      <c r="K32" t="s">
        <v>405</v>
      </c>
      <c r="L32" t="s">
        <v>199</v>
      </c>
      <c r="M32" t="s">
        <v>175</v>
      </c>
      <c r="N32" t="s">
        <v>38</v>
      </c>
      <c r="R32">
        <v>1</v>
      </c>
      <c r="Z32">
        <f>(P32*(0.0175*(12.5^3)))+(Q32*(0.0175*(17.5^3)))+(R32*(0.0175*(22.5^3)))+(S32*(0.0175*(27.5^3)))+(T32*(0.0175*(32.5^3)))+(U32*(0.0175*(37.5^3)))+(V32*(0.0175*(42.5^3)))+(W32*(0.0175*(27.5^3)))</f>
        <v>199.33593750000003</v>
      </c>
    </row>
    <row r="33" spans="1:26">
      <c r="A33" s="6">
        <v>39962</v>
      </c>
      <c r="B33" t="s">
        <v>399</v>
      </c>
      <c r="C33" t="s">
        <v>269</v>
      </c>
      <c r="D33" t="s">
        <v>269</v>
      </c>
      <c r="E33" t="s">
        <v>402</v>
      </c>
      <c r="F33" s="7">
        <v>7</v>
      </c>
      <c r="G33" t="s">
        <v>273</v>
      </c>
      <c r="H33">
        <v>2</v>
      </c>
      <c r="I33">
        <v>2</v>
      </c>
      <c r="J33" t="s">
        <v>404</v>
      </c>
      <c r="K33" t="s">
        <v>405</v>
      </c>
      <c r="L33" t="s">
        <v>174</v>
      </c>
      <c r="M33" t="s">
        <v>174</v>
      </c>
      <c r="N33" t="s">
        <v>210</v>
      </c>
      <c r="X33" t="s">
        <v>275</v>
      </c>
      <c r="Z33">
        <f>(1*(0.013*(55^3)))</f>
        <v>2162.875</v>
      </c>
    </row>
    <row r="34" spans="1:26">
      <c r="A34" s="6">
        <v>39962</v>
      </c>
      <c r="B34" t="s">
        <v>399</v>
      </c>
      <c r="C34" t="s">
        <v>269</v>
      </c>
      <c r="D34" t="s">
        <v>269</v>
      </c>
      <c r="E34" t="s">
        <v>402</v>
      </c>
      <c r="F34" s="7">
        <v>7</v>
      </c>
      <c r="G34" t="s">
        <v>273</v>
      </c>
      <c r="H34">
        <v>2</v>
      </c>
      <c r="I34">
        <v>2</v>
      </c>
      <c r="J34" t="s">
        <v>404</v>
      </c>
      <c r="K34" t="s">
        <v>405</v>
      </c>
      <c r="L34" t="s">
        <v>170</v>
      </c>
      <c r="M34" t="s">
        <v>170</v>
      </c>
      <c r="N34" t="s">
        <v>406</v>
      </c>
      <c r="T34">
        <v>2</v>
      </c>
      <c r="Z34">
        <f>(P34*(0.0156*(12.5^3)))+(Q34*(0.0156*(17.5^3)))+(R34*(0.0156*(22.5^3)))+(S34*(0.0156*(27.5^3)))+(T34*(0.0156*(32.5^3)))+(U34*(0.0156*(37.5^3)))+(V34*(0.0156*(42.5^3)))+(W34*(0.0156*(27.5^3)))</f>
        <v>1071.0374999999999</v>
      </c>
    </row>
    <row r="35" spans="1:26">
      <c r="A35" s="6">
        <v>39962</v>
      </c>
      <c r="B35" t="s">
        <v>399</v>
      </c>
      <c r="C35" t="s">
        <v>269</v>
      </c>
      <c r="D35" t="s">
        <v>269</v>
      </c>
      <c r="E35" t="s">
        <v>402</v>
      </c>
      <c r="F35" s="7">
        <v>7</v>
      </c>
      <c r="G35" t="s">
        <v>273</v>
      </c>
      <c r="H35">
        <v>2</v>
      </c>
      <c r="I35">
        <v>2</v>
      </c>
      <c r="J35" t="s">
        <v>404</v>
      </c>
      <c r="K35" t="s">
        <v>405</v>
      </c>
      <c r="L35" t="s">
        <v>170</v>
      </c>
      <c r="M35" t="s">
        <v>170</v>
      </c>
      <c r="N35" t="s">
        <v>409</v>
      </c>
      <c r="S35">
        <v>1</v>
      </c>
      <c r="T35">
        <v>1</v>
      </c>
      <c r="Z35">
        <f>(P35*(0.0156*(12.5^3)))+(Q35*(0.0156*(17.5^3)))+(R35*(0.0156*(22.5^3)))+(S35*(0.0156*(27.5^3)))+(T35*(0.0156*(32.5^3)))+(U35*(0.0156*(37.5^3)))+(V35*(0.0156*(42.5^3)))+(W35*(0.0156*(27.5^3)))</f>
        <v>859.94999999999993</v>
      </c>
    </row>
  </sheetData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tons per km conversion</vt:lpstr>
      <vt:lpstr>old pivot table and graphs</vt:lpstr>
      <vt:lpstr>fish transect densities</vt:lpstr>
      <vt:lpstr>fish transect biomass</vt:lpstr>
      <vt:lpstr>pivot table</vt:lpstr>
      <vt:lpstr>Sheet1</vt:lpstr>
      <vt:lpstr>size structure</vt:lpstr>
      <vt:lpstr>fish data</vt:lpstr>
      <vt:lpstr>may data</vt:lpstr>
      <vt:lpstr>fish counts</vt:lpstr>
      <vt:lpstr>fish data from quadrats</vt:lpstr>
      <vt:lpstr>Fish Names&amp;ab constants</vt:lpstr>
      <vt:lpstr>Sheet3</vt:lpstr>
    </vt:vector>
  </TitlesOfParts>
  <Company>_x001e_University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Martone</dc:creator>
  <cp:lastModifiedBy>Rebecca Martone</cp:lastModifiedBy>
  <dcterms:created xsi:type="dcterms:W3CDTF">2009-11-18T20:31:41Z</dcterms:created>
  <dcterms:modified xsi:type="dcterms:W3CDTF">2014-04-10T18:40:24Z</dcterms:modified>
</cp:coreProperties>
</file>