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una\Documents\MAESTRÍA\TESIS\"/>
    </mc:Choice>
  </mc:AlternateContent>
  <xr:revisionPtr revIDLastSave="0" documentId="8_{1A6D3650-0176-41E6-9DF2-A67BB23D71A1}" xr6:coauthVersionLast="47" xr6:coauthVersionMax="47" xr10:uidLastSave="{00000000-0000-0000-0000-000000000000}"/>
  <bookViews>
    <workbookView xWindow="-120" yWindow="-120" windowWidth="20730" windowHeight="11040" activeTab="1" xr2:uid="{20E2AE0D-A1AF-4D0C-951D-0314546E1C55}"/>
  </bookViews>
  <sheets>
    <sheet name="Data_Octubre2021" sheetId="1" r:id="rId1"/>
    <sheet name="Data_Marzo20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8" i="2" l="1"/>
  <c r="C108" i="2" s="1"/>
  <c r="E108" i="2"/>
  <c r="G107" i="2"/>
  <c r="G109" i="2" s="1"/>
  <c r="E107" i="2"/>
  <c r="C107" i="2" s="1"/>
  <c r="H106" i="2"/>
  <c r="H109" i="2" s="1"/>
  <c r="F106" i="2"/>
  <c r="F109" i="2" s="1"/>
  <c r="E106" i="2"/>
  <c r="E109" i="2" s="1"/>
  <c r="D106" i="2"/>
  <c r="D109" i="2" s="1"/>
  <c r="H105" i="2"/>
  <c r="G105" i="2"/>
  <c r="F104" i="2"/>
  <c r="C104" i="2" s="1"/>
  <c r="E104" i="2"/>
  <c r="G103" i="2"/>
  <c r="E103" i="2"/>
  <c r="C103" i="2" s="1"/>
  <c r="F102" i="2"/>
  <c r="F105" i="2" s="1"/>
  <c r="E102" i="2"/>
  <c r="E105" i="2" s="1"/>
  <c r="D102" i="2"/>
  <c r="D105" i="2" s="1"/>
  <c r="H101" i="2"/>
  <c r="F100" i="2"/>
  <c r="E100" i="2"/>
  <c r="C100" i="2" s="1"/>
  <c r="G99" i="2"/>
  <c r="G101" i="2" s="1"/>
  <c r="E99" i="2"/>
  <c r="H98" i="2"/>
  <c r="F98" i="2"/>
  <c r="F101" i="2" s="1"/>
  <c r="E98" i="2"/>
  <c r="E101" i="2" s="1"/>
  <c r="D98" i="2"/>
  <c r="D101" i="2" s="1"/>
  <c r="H97" i="2"/>
  <c r="F96" i="2"/>
  <c r="E96" i="2"/>
  <c r="C96" i="2" s="1"/>
  <c r="G95" i="2"/>
  <c r="G97" i="2" s="1"/>
  <c r="E95" i="2"/>
  <c r="H94" i="2"/>
  <c r="F94" i="2"/>
  <c r="F97" i="2" s="1"/>
  <c r="E94" i="2"/>
  <c r="E97" i="2" s="1"/>
  <c r="D94" i="2"/>
  <c r="D97" i="2" s="1"/>
  <c r="H93" i="2"/>
  <c r="G93" i="2"/>
  <c r="F92" i="2"/>
  <c r="E92" i="2"/>
  <c r="C92" i="2" s="1"/>
  <c r="C91" i="2"/>
  <c r="H90" i="2"/>
  <c r="F90" i="2"/>
  <c r="F93" i="2" s="1"/>
  <c r="E90" i="2"/>
  <c r="E93" i="2" s="1"/>
  <c r="D90" i="2"/>
  <c r="D93" i="2" s="1"/>
  <c r="C90" i="2"/>
  <c r="H89" i="2"/>
  <c r="F89" i="2"/>
  <c r="F88" i="2"/>
  <c r="E88" i="2"/>
  <c r="C88" i="2"/>
  <c r="G87" i="2"/>
  <c r="G89" i="2" s="1"/>
  <c r="E87" i="2"/>
  <c r="H86" i="2"/>
  <c r="F86" i="2"/>
  <c r="E86" i="2"/>
  <c r="E89" i="2" s="1"/>
  <c r="D86" i="2"/>
  <c r="D89" i="2" s="1"/>
  <c r="C86" i="2"/>
  <c r="H85" i="2"/>
  <c r="F85" i="2"/>
  <c r="F84" i="2"/>
  <c r="E84" i="2"/>
  <c r="C84" i="2"/>
  <c r="G83" i="2"/>
  <c r="G85" i="2" s="1"/>
  <c r="E83" i="2"/>
  <c r="H82" i="2"/>
  <c r="G82" i="2"/>
  <c r="F82" i="2"/>
  <c r="E82" i="2"/>
  <c r="E85" i="2" s="1"/>
  <c r="D82" i="2"/>
  <c r="D85" i="2" s="1"/>
  <c r="C82" i="2"/>
  <c r="H81" i="2"/>
  <c r="G81" i="2"/>
  <c r="F80" i="2"/>
  <c r="E80" i="2"/>
  <c r="C80" i="2"/>
  <c r="G79" i="2"/>
  <c r="E79" i="2"/>
  <c r="C79" i="2" s="1"/>
  <c r="H78" i="2"/>
  <c r="G78" i="2"/>
  <c r="F78" i="2"/>
  <c r="F81" i="2" s="1"/>
  <c r="E78" i="2"/>
  <c r="E81" i="2" s="1"/>
  <c r="D78" i="2"/>
  <c r="D81" i="2" s="1"/>
  <c r="H77" i="2"/>
  <c r="F76" i="2"/>
  <c r="E76" i="2"/>
  <c r="C76" i="2" s="1"/>
  <c r="E75" i="2"/>
  <c r="C75" i="2" s="1"/>
  <c r="H74" i="2"/>
  <c r="G74" i="2"/>
  <c r="G77" i="2" s="1"/>
  <c r="F74" i="2"/>
  <c r="F77" i="2" s="1"/>
  <c r="E74" i="2"/>
  <c r="E77" i="2" s="1"/>
  <c r="D74" i="2"/>
  <c r="D77" i="2" s="1"/>
  <c r="H73" i="2"/>
  <c r="F72" i="2"/>
  <c r="E72" i="2"/>
  <c r="C72" i="2" s="1"/>
  <c r="G71" i="2"/>
  <c r="C71" i="2" s="1"/>
  <c r="E71" i="2"/>
  <c r="H70" i="2"/>
  <c r="G70" i="2"/>
  <c r="G73" i="2" s="1"/>
  <c r="F70" i="2"/>
  <c r="F73" i="2" s="1"/>
  <c r="E70" i="2"/>
  <c r="E73" i="2" s="1"/>
  <c r="D70" i="2"/>
  <c r="D73" i="2" s="1"/>
  <c r="G69" i="2"/>
  <c r="F68" i="2"/>
  <c r="C68" i="2" s="1"/>
  <c r="E68" i="2"/>
  <c r="C67" i="2"/>
  <c r="H66" i="2"/>
  <c r="H69" i="2" s="1"/>
  <c r="F66" i="2"/>
  <c r="F69" i="2" s="1"/>
  <c r="E66" i="2"/>
  <c r="E69" i="2" s="1"/>
  <c r="D66" i="2"/>
  <c r="D69" i="2" s="1"/>
  <c r="C66" i="2"/>
  <c r="H65" i="2"/>
  <c r="G65" i="2"/>
  <c r="F64" i="2"/>
  <c r="E64" i="2"/>
  <c r="C64" i="2"/>
  <c r="G63" i="2"/>
  <c r="E63" i="2"/>
  <c r="C63" i="2" s="1"/>
  <c r="H62" i="2"/>
  <c r="F62" i="2"/>
  <c r="F65" i="2" s="1"/>
  <c r="E62" i="2"/>
  <c r="E65" i="2" s="1"/>
  <c r="D62" i="2"/>
  <c r="D65" i="2" s="1"/>
  <c r="C62" i="2"/>
  <c r="H61" i="2"/>
  <c r="F60" i="2"/>
  <c r="E60" i="2"/>
  <c r="C60" i="2"/>
  <c r="G59" i="2"/>
  <c r="G61" i="2" s="1"/>
  <c r="E59" i="2"/>
  <c r="C59" i="2" s="1"/>
  <c r="H58" i="2"/>
  <c r="G58" i="2"/>
  <c r="F58" i="2"/>
  <c r="F61" i="2" s="1"/>
  <c r="E58" i="2"/>
  <c r="E61" i="2" s="1"/>
  <c r="D58" i="2"/>
  <c r="D61" i="2" s="1"/>
  <c r="H57" i="2"/>
  <c r="F56" i="2"/>
  <c r="E56" i="2"/>
  <c r="C56" i="2" s="1"/>
  <c r="G55" i="2"/>
  <c r="C55" i="2" s="1"/>
  <c r="E55" i="2"/>
  <c r="H54" i="2"/>
  <c r="G54" i="2"/>
  <c r="G57" i="2" s="1"/>
  <c r="F54" i="2"/>
  <c r="F57" i="2" s="1"/>
  <c r="E54" i="2"/>
  <c r="E57" i="2" s="1"/>
  <c r="D54" i="2"/>
  <c r="D57" i="2" s="1"/>
  <c r="D53" i="2"/>
  <c r="F52" i="2"/>
  <c r="C52" i="2" s="1"/>
  <c r="E52" i="2"/>
  <c r="G51" i="2"/>
  <c r="E51" i="2"/>
  <c r="C51" i="2" s="1"/>
  <c r="H50" i="2"/>
  <c r="H53" i="2" s="1"/>
  <c r="G50" i="2"/>
  <c r="G53" i="2" s="1"/>
  <c r="F50" i="2"/>
  <c r="F53" i="2" s="1"/>
  <c r="E50" i="2"/>
  <c r="E53" i="2" s="1"/>
  <c r="D50" i="2"/>
  <c r="C50" i="2" s="1"/>
  <c r="E49" i="2"/>
  <c r="D49" i="2"/>
  <c r="F48" i="2"/>
  <c r="E48" i="2"/>
  <c r="C48" i="2" s="1"/>
  <c r="G47" i="2"/>
  <c r="E47" i="2"/>
  <c r="C47" i="2"/>
  <c r="H46" i="2"/>
  <c r="H49" i="2" s="1"/>
  <c r="G46" i="2"/>
  <c r="G49" i="2" s="1"/>
  <c r="F46" i="2"/>
  <c r="F49" i="2" s="1"/>
  <c r="E46" i="2"/>
  <c r="C46" i="2" s="1"/>
  <c r="D46" i="2"/>
  <c r="G45" i="2"/>
  <c r="F45" i="2"/>
  <c r="E45" i="2"/>
  <c r="F44" i="2"/>
  <c r="C44" i="2" s="1"/>
  <c r="C43" i="2"/>
  <c r="H42" i="2"/>
  <c r="H45" i="2" s="1"/>
  <c r="F42" i="2"/>
  <c r="D42" i="2"/>
  <c r="D45" i="2" s="1"/>
  <c r="C42" i="2"/>
  <c r="H41" i="2"/>
  <c r="F40" i="2"/>
  <c r="E40" i="2"/>
  <c r="C40" i="2"/>
  <c r="G39" i="2"/>
  <c r="G41" i="2" s="1"/>
  <c r="E39" i="2"/>
  <c r="C39" i="2" s="1"/>
  <c r="H38" i="2"/>
  <c r="F38" i="2"/>
  <c r="F41" i="2" s="1"/>
  <c r="E38" i="2"/>
  <c r="E41" i="2" s="1"/>
  <c r="D38" i="2"/>
  <c r="D41" i="2" s="1"/>
  <c r="C38" i="2"/>
  <c r="F36" i="2"/>
  <c r="E36" i="2"/>
  <c r="C36" i="2"/>
  <c r="G35" i="2"/>
  <c r="G37" i="2" s="1"/>
  <c r="E35" i="2"/>
  <c r="C35" i="2" s="1"/>
  <c r="H34" i="2"/>
  <c r="H37" i="2" s="1"/>
  <c r="G34" i="2"/>
  <c r="F34" i="2"/>
  <c r="F37" i="2" s="1"/>
  <c r="E34" i="2"/>
  <c r="E37" i="2" s="1"/>
  <c r="D34" i="2"/>
  <c r="D37" i="2" s="1"/>
  <c r="H33" i="2"/>
  <c r="D33" i="2"/>
  <c r="F32" i="2"/>
  <c r="E32" i="2"/>
  <c r="C32" i="2" s="1"/>
  <c r="G31" i="2"/>
  <c r="C31" i="2" s="1"/>
  <c r="E31" i="2"/>
  <c r="H30" i="2"/>
  <c r="G30" i="2"/>
  <c r="G33" i="2" s="1"/>
  <c r="F30" i="2"/>
  <c r="F33" i="2" s="1"/>
  <c r="E30" i="2"/>
  <c r="E33" i="2" s="1"/>
  <c r="D30" i="2"/>
  <c r="C30" i="2" s="1"/>
  <c r="E29" i="2"/>
  <c r="D29" i="2"/>
  <c r="F28" i="2"/>
  <c r="C28" i="2" s="1"/>
  <c r="E28" i="2"/>
  <c r="G27" i="2"/>
  <c r="E27" i="2"/>
  <c r="C27" i="2" s="1"/>
  <c r="H26" i="2"/>
  <c r="H29" i="2" s="1"/>
  <c r="G26" i="2"/>
  <c r="G29" i="2" s="1"/>
  <c r="F26" i="2"/>
  <c r="F29" i="2" s="1"/>
  <c r="E26" i="2"/>
  <c r="D26" i="2"/>
  <c r="C26" i="2" s="1"/>
  <c r="E25" i="2"/>
  <c r="D25" i="2"/>
  <c r="F24" i="2"/>
  <c r="E24" i="2"/>
  <c r="C24" i="2" s="1"/>
  <c r="G23" i="2"/>
  <c r="E23" i="2"/>
  <c r="C23" i="2"/>
  <c r="H22" i="2"/>
  <c r="H25" i="2" s="1"/>
  <c r="G22" i="2"/>
  <c r="G25" i="2" s="1"/>
  <c r="F22" i="2"/>
  <c r="F25" i="2" s="1"/>
  <c r="E22" i="2"/>
  <c r="C22" i="2" s="1"/>
  <c r="D22" i="2"/>
  <c r="G21" i="2"/>
  <c r="E21" i="2"/>
  <c r="F20" i="2"/>
  <c r="C20" i="2" s="1"/>
  <c r="E20" i="2"/>
  <c r="E19" i="2"/>
  <c r="C19" i="2"/>
  <c r="H18" i="2"/>
  <c r="H21" i="2" s="1"/>
  <c r="F18" i="2"/>
  <c r="F21" i="2" s="1"/>
  <c r="E18" i="2"/>
  <c r="D18" i="2"/>
  <c r="C18" i="2" s="1"/>
  <c r="E17" i="2"/>
  <c r="D17" i="2"/>
  <c r="F16" i="2"/>
  <c r="E16" i="2"/>
  <c r="C16" i="2" s="1"/>
  <c r="G15" i="2"/>
  <c r="G17" i="2" s="1"/>
  <c r="E15" i="2"/>
  <c r="C15" i="2"/>
  <c r="H14" i="2"/>
  <c r="H17" i="2" s="1"/>
  <c r="F14" i="2"/>
  <c r="F17" i="2" s="1"/>
  <c r="E14" i="2"/>
  <c r="D14" i="2"/>
  <c r="C14" i="2" s="1"/>
  <c r="E13" i="2"/>
  <c r="D13" i="2"/>
  <c r="F12" i="2"/>
  <c r="E12" i="2"/>
  <c r="C12" i="2" s="1"/>
  <c r="G11" i="2"/>
  <c r="E11" i="2"/>
  <c r="C11" i="2"/>
  <c r="H10" i="2"/>
  <c r="H13" i="2" s="1"/>
  <c r="G10" i="2"/>
  <c r="G13" i="2" s="1"/>
  <c r="F10" i="2"/>
  <c r="C10" i="2" s="1"/>
  <c r="E10" i="2"/>
  <c r="D10" i="2"/>
  <c r="G9" i="2"/>
  <c r="F9" i="2"/>
  <c r="E9" i="2"/>
  <c r="D9" i="2"/>
  <c r="F8" i="2"/>
  <c r="E8" i="2"/>
  <c r="C8" i="2"/>
  <c r="G7" i="2"/>
  <c r="E7" i="2"/>
  <c r="C7" i="2"/>
  <c r="H6" i="2"/>
  <c r="H9" i="2" s="1"/>
  <c r="F6" i="2"/>
  <c r="C6" i="2" s="1"/>
  <c r="E6" i="2"/>
  <c r="D6" i="2"/>
  <c r="G5" i="2"/>
  <c r="F5" i="2"/>
  <c r="E5" i="2"/>
  <c r="F4" i="2"/>
  <c r="E4" i="2"/>
  <c r="C4" i="2"/>
  <c r="G3" i="2"/>
  <c r="E3" i="2"/>
  <c r="C3" i="2"/>
  <c r="H2" i="2"/>
  <c r="H5" i="2" s="1"/>
  <c r="G2" i="2"/>
  <c r="F2" i="2"/>
  <c r="E2" i="2"/>
  <c r="D2" i="2"/>
  <c r="C2" i="2" s="1"/>
  <c r="G105" i="1"/>
  <c r="D105" i="1"/>
  <c r="F104" i="1"/>
  <c r="E104" i="1"/>
  <c r="C104" i="1" s="1"/>
  <c r="C103" i="1"/>
  <c r="H102" i="1"/>
  <c r="H105" i="1" s="1"/>
  <c r="F102" i="1"/>
  <c r="F105" i="1" s="1"/>
  <c r="E102" i="1"/>
  <c r="F100" i="1"/>
  <c r="E100" i="1"/>
  <c r="G99" i="1"/>
  <c r="G101" i="1" s="1"/>
  <c r="E99" i="1"/>
  <c r="C99" i="1" s="1"/>
  <c r="H98" i="1"/>
  <c r="H101" i="1" s="1"/>
  <c r="F98" i="1"/>
  <c r="E98" i="1"/>
  <c r="D98" i="1"/>
  <c r="D101" i="1" s="1"/>
  <c r="F96" i="1"/>
  <c r="C96" i="1" s="1"/>
  <c r="E96" i="1"/>
  <c r="G95" i="1"/>
  <c r="G97" i="1" s="1"/>
  <c r="E95" i="1"/>
  <c r="C95" i="1" s="1"/>
  <c r="H94" i="1"/>
  <c r="H97" i="1" s="1"/>
  <c r="F94" i="1"/>
  <c r="F97" i="1" s="1"/>
  <c r="E94" i="1"/>
  <c r="D94" i="1"/>
  <c r="D97" i="1" s="1"/>
  <c r="F92" i="1"/>
  <c r="E92" i="1"/>
  <c r="G91" i="1"/>
  <c r="G93" i="1" s="1"/>
  <c r="E91" i="1"/>
  <c r="H90" i="1"/>
  <c r="H93" i="1" s="1"/>
  <c r="F90" i="1"/>
  <c r="F93" i="1" s="1"/>
  <c r="E90" i="1"/>
  <c r="D90" i="1"/>
  <c r="D93" i="1" s="1"/>
  <c r="F88" i="1"/>
  <c r="C88" i="1" s="1"/>
  <c r="E88" i="1"/>
  <c r="G87" i="1"/>
  <c r="G89" i="1" s="1"/>
  <c r="E87" i="1"/>
  <c r="H86" i="1"/>
  <c r="H89" i="1" s="1"/>
  <c r="F86" i="1"/>
  <c r="F89" i="1" s="1"/>
  <c r="E86" i="1"/>
  <c r="D86" i="1"/>
  <c r="D89" i="1" s="1"/>
  <c r="F84" i="1"/>
  <c r="E84" i="1"/>
  <c r="G83" i="1"/>
  <c r="G85" i="1" s="1"/>
  <c r="E83" i="1"/>
  <c r="C83" i="1" s="1"/>
  <c r="H82" i="1"/>
  <c r="H85" i="1" s="1"/>
  <c r="F82" i="1"/>
  <c r="F85" i="1" s="1"/>
  <c r="E82" i="1"/>
  <c r="E85" i="1" s="1"/>
  <c r="D82" i="1"/>
  <c r="D85" i="1" s="1"/>
  <c r="H81" i="1"/>
  <c r="G81" i="1"/>
  <c r="D81" i="1"/>
  <c r="F80" i="1"/>
  <c r="F81" i="1" s="1"/>
  <c r="E80" i="1"/>
  <c r="E81" i="1" s="1"/>
  <c r="C79" i="1"/>
  <c r="C78" i="1"/>
  <c r="F76" i="1"/>
  <c r="E76" i="1"/>
  <c r="C76" i="1" s="1"/>
  <c r="G75" i="1"/>
  <c r="G77" i="1" s="1"/>
  <c r="E75" i="1"/>
  <c r="C75" i="1" s="1"/>
  <c r="H74" i="1"/>
  <c r="H77" i="1" s="1"/>
  <c r="F74" i="1"/>
  <c r="E74" i="1"/>
  <c r="D74" i="1"/>
  <c r="D77" i="1" s="1"/>
  <c r="F72" i="1"/>
  <c r="E72" i="1"/>
  <c r="C72" i="1" s="1"/>
  <c r="G71" i="1"/>
  <c r="G73" i="1" s="1"/>
  <c r="E71" i="1"/>
  <c r="H70" i="1"/>
  <c r="H73" i="1" s="1"/>
  <c r="F70" i="1"/>
  <c r="E70" i="1"/>
  <c r="D70" i="1"/>
  <c r="D73" i="1" s="1"/>
  <c r="F68" i="1"/>
  <c r="E68" i="1"/>
  <c r="E69" i="1" s="1"/>
  <c r="G67" i="1"/>
  <c r="G69" i="1" s="1"/>
  <c r="E67" i="1"/>
  <c r="H66" i="1"/>
  <c r="H69" i="1" s="1"/>
  <c r="F66" i="1"/>
  <c r="F69" i="1" s="1"/>
  <c r="E66" i="1"/>
  <c r="D66" i="1"/>
  <c r="D69" i="1" s="1"/>
  <c r="G65" i="1"/>
  <c r="F64" i="1"/>
  <c r="E64" i="1"/>
  <c r="C64" i="1" s="1"/>
  <c r="E63" i="1"/>
  <c r="C63" i="1" s="1"/>
  <c r="H62" i="1"/>
  <c r="H65" i="1" s="1"/>
  <c r="F62" i="1"/>
  <c r="E62" i="1"/>
  <c r="D62" i="1"/>
  <c r="D65" i="1" s="1"/>
  <c r="F60" i="1"/>
  <c r="E60" i="1"/>
  <c r="G59" i="1"/>
  <c r="G61" i="1" s="1"/>
  <c r="E59" i="1"/>
  <c r="H58" i="1"/>
  <c r="H61" i="1" s="1"/>
  <c r="F58" i="1"/>
  <c r="E58" i="1"/>
  <c r="D58" i="1"/>
  <c r="G57" i="1"/>
  <c r="F56" i="1"/>
  <c r="E56" i="1"/>
  <c r="C56" i="1" s="1"/>
  <c r="C55" i="1"/>
  <c r="H54" i="1"/>
  <c r="H57" i="1" s="1"/>
  <c r="F54" i="1"/>
  <c r="E54" i="1"/>
  <c r="D54" i="1"/>
  <c r="D57" i="1" s="1"/>
  <c r="F52" i="1"/>
  <c r="E52" i="1"/>
  <c r="G51" i="1"/>
  <c r="G53" i="1" s="1"/>
  <c r="E51" i="1"/>
  <c r="H50" i="1"/>
  <c r="H53" i="1" s="1"/>
  <c r="F50" i="1"/>
  <c r="E50" i="1"/>
  <c r="D50" i="1"/>
  <c r="D53" i="1" s="1"/>
  <c r="F48" i="1"/>
  <c r="E48" i="1"/>
  <c r="C48" i="1" s="1"/>
  <c r="G47" i="1"/>
  <c r="G49" i="1" s="1"/>
  <c r="E47" i="1"/>
  <c r="H46" i="1"/>
  <c r="H49" i="1" s="1"/>
  <c r="F46" i="1"/>
  <c r="F49" i="1" s="1"/>
  <c r="E46" i="1"/>
  <c r="D46" i="1"/>
  <c r="D49" i="1" s="1"/>
  <c r="G45" i="1"/>
  <c r="F44" i="1"/>
  <c r="E44" i="1"/>
  <c r="C44" i="1" s="1"/>
  <c r="E43" i="1"/>
  <c r="C43" i="1" s="1"/>
  <c r="H42" i="1"/>
  <c r="H45" i="1" s="1"/>
  <c r="F42" i="1"/>
  <c r="E42" i="1"/>
  <c r="D42" i="1"/>
  <c r="D45" i="1" s="1"/>
  <c r="G41" i="1"/>
  <c r="F40" i="1"/>
  <c r="E40" i="1"/>
  <c r="E39" i="1"/>
  <c r="C39" i="1" s="1"/>
  <c r="H38" i="1"/>
  <c r="H41" i="1" s="1"/>
  <c r="F38" i="1"/>
  <c r="E38" i="1"/>
  <c r="D38" i="1"/>
  <c r="G37" i="1"/>
  <c r="F36" i="1"/>
  <c r="E36" i="1"/>
  <c r="E35" i="1"/>
  <c r="C35" i="1" s="1"/>
  <c r="H34" i="1"/>
  <c r="H37" i="1" s="1"/>
  <c r="F34" i="1"/>
  <c r="E34" i="1"/>
  <c r="D34" i="1"/>
  <c r="H33" i="1"/>
  <c r="G33" i="1"/>
  <c r="F32" i="1"/>
  <c r="C32" i="1"/>
  <c r="C31" i="1"/>
  <c r="F30" i="1"/>
  <c r="E30" i="1"/>
  <c r="E33" i="1" s="1"/>
  <c r="D30" i="1"/>
  <c r="D33" i="1" s="1"/>
  <c r="F28" i="1"/>
  <c r="E28" i="1"/>
  <c r="E29" i="1" s="1"/>
  <c r="G27" i="1"/>
  <c r="G29" i="1" s="1"/>
  <c r="H26" i="1"/>
  <c r="H29" i="1" s="1"/>
  <c r="F26" i="1"/>
  <c r="E26" i="1"/>
  <c r="D26" i="1"/>
  <c r="D29" i="1" s="1"/>
  <c r="F24" i="1"/>
  <c r="E24" i="1"/>
  <c r="C24" i="1" s="1"/>
  <c r="G23" i="1"/>
  <c r="G25" i="1" s="1"/>
  <c r="E23" i="1"/>
  <c r="H22" i="1"/>
  <c r="H25" i="1" s="1"/>
  <c r="F22" i="1"/>
  <c r="F25" i="1" s="1"/>
  <c r="E22" i="1"/>
  <c r="D22" i="1"/>
  <c r="D25" i="1" s="1"/>
  <c r="G21" i="1"/>
  <c r="F20" i="1"/>
  <c r="E20" i="1"/>
  <c r="E19" i="1"/>
  <c r="C19" i="1" s="1"/>
  <c r="H18" i="1"/>
  <c r="H21" i="1" s="1"/>
  <c r="F18" i="1"/>
  <c r="E18" i="1"/>
  <c r="D18" i="1"/>
  <c r="D21" i="1" s="1"/>
  <c r="H17" i="1"/>
  <c r="F16" i="1"/>
  <c r="E16" i="1"/>
  <c r="G15" i="1"/>
  <c r="G17" i="1" s="1"/>
  <c r="E15" i="1"/>
  <c r="F14" i="1"/>
  <c r="E14" i="1"/>
  <c r="E17" i="1" s="1"/>
  <c r="D14" i="1"/>
  <c r="D17" i="1" s="1"/>
  <c r="F12" i="1"/>
  <c r="E12" i="1"/>
  <c r="C12" i="1" s="1"/>
  <c r="G11" i="1"/>
  <c r="G13" i="1" s="1"/>
  <c r="H10" i="1"/>
  <c r="H13" i="1" s="1"/>
  <c r="F10" i="1"/>
  <c r="E10" i="1"/>
  <c r="D10" i="1"/>
  <c r="H9" i="1"/>
  <c r="G9" i="1"/>
  <c r="F9" i="1"/>
  <c r="E9" i="1"/>
  <c r="C8" i="1"/>
  <c r="C7" i="1"/>
  <c r="D6" i="1"/>
  <c r="C6" i="1" s="1"/>
  <c r="F4" i="1"/>
  <c r="E4" i="1"/>
  <c r="G3" i="1"/>
  <c r="G5" i="1" s="1"/>
  <c r="E3" i="1"/>
  <c r="H2" i="1"/>
  <c r="H5" i="1" s="1"/>
  <c r="F2" i="1"/>
  <c r="F5" i="1" s="1"/>
  <c r="E2" i="1"/>
  <c r="D2" i="1"/>
  <c r="E21" i="1" l="1"/>
  <c r="C40" i="1"/>
  <c r="F101" i="1"/>
  <c r="C4" i="1"/>
  <c r="C34" i="1"/>
  <c r="C87" i="1"/>
  <c r="C91" i="1"/>
  <c r="E13" i="1"/>
  <c r="F21" i="1"/>
  <c r="C42" i="1"/>
  <c r="E53" i="1"/>
  <c r="C84" i="1"/>
  <c r="E5" i="1"/>
  <c r="C15" i="1"/>
  <c r="F29" i="1"/>
  <c r="F45" i="1"/>
  <c r="F57" i="1"/>
  <c r="F65" i="1"/>
  <c r="C100" i="1"/>
  <c r="C20" i="1"/>
  <c r="C67" i="1"/>
  <c r="E97" i="1"/>
  <c r="F13" i="1"/>
  <c r="F17" i="1"/>
  <c r="C18" i="1"/>
  <c r="C28" i="1"/>
  <c r="C36" i="1"/>
  <c r="C52" i="1"/>
  <c r="C59" i="1"/>
  <c r="F73" i="1"/>
  <c r="C80" i="1"/>
  <c r="C3" i="1"/>
  <c r="C60" i="1"/>
  <c r="F77" i="1"/>
  <c r="E89" i="1"/>
  <c r="E77" i="1"/>
  <c r="E101" i="1"/>
  <c r="E73" i="1"/>
  <c r="C16" i="1"/>
  <c r="E37" i="1"/>
  <c r="C38" i="1"/>
  <c r="D41" i="1"/>
  <c r="F53" i="1"/>
  <c r="E57" i="1"/>
  <c r="C58" i="1"/>
  <c r="D61" i="1"/>
  <c r="C92" i="1"/>
  <c r="E105" i="1"/>
  <c r="C23" i="1"/>
  <c r="F33" i="1"/>
  <c r="F37" i="1"/>
  <c r="E41" i="1"/>
  <c r="C47" i="1"/>
  <c r="E61" i="1"/>
  <c r="C68" i="1"/>
  <c r="C71" i="1"/>
  <c r="E93" i="1"/>
  <c r="E25" i="1"/>
  <c r="E49" i="1"/>
  <c r="C2" i="1"/>
  <c r="C10" i="1"/>
  <c r="C14" i="1"/>
  <c r="E45" i="1"/>
  <c r="C51" i="1"/>
  <c r="F61" i="1"/>
  <c r="C54" i="2"/>
  <c r="C70" i="2"/>
  <c r="C83" i="2"/>
  <c r="C87" i="2"/>
  <c r="C106" i="2"/>
  <c r="D5" i="2"/>
  <c r="D21" i="2"/>
  <c r="C34" i="2"/>
  <c r="C58" i="2"/>
  <c r="C74" i="2"/>
  <c r="C78" i="2"/>
  <c r="C94" i="2"/>
  <c r="C98" i="2"/>
  <c r="C102" i="2"/>
  <c r="F13" i="2"/>
  <c r="C95" i="2"/>
  <c r="C99" i="2"/>
  <c r="D5" i="1"/>
  <c r="D13" i="1"/>
  <c r="C27" i="1"/>
  <c r="D37" i="1"/>
  <c r="C66" i="1"/>
  <c r="C70" i="1"/>
  <c r="C74" i="1"/>
  <c r="D9" i="1"/>
  <c r="F41" i="1"/>
  <c r="C62" i="1"/>
  <c r="C30" i="1"/>
  <c r="C82" i="1"/>
  <c r="C86" i="1"/>
  <c r="C90" i="1"/>
  <c r="C94" i="1"/>
  <c r="C98" i="1"/>
  <c r="C102" i="1"/>
  <c r="C11" i="1"/>
  <c r="C22" i="1"/>
  <c r="C26" i="1"/>
  <c r="C46" i="1"/>
  <c r="C50" i="1"/>
  <c r="C54" i="1"/>
  <c r="E65" i="1"/>
</calcChain>
</file>

<file path=xl/sharedStrings.xml><?xml version="1.0" encoding="utf-8"?>
<sst xmlns="http://schemas.openxmlformats.org/spreadsheetml/2006/main" count="228" uniqueCount="13">
  <si>
    <t>Total programado</t>
  </si>
  <si>
    <t>Total molde redondo</t>
  </si>
  <si>
    <t>Total molde de 4</t>
  </si>
  <si>
    <t>Total molde de 6</t>
  </si>
  <si>
    <t>Total molde de 8</t>
  </si>
  <si>
    <t>Total molde largo</t>
  </si>
  <si>
    <t>MARZO</t>
  </si>
  <si>
    <t>Termoformadora</t>
  </si>
  <si>
    <t>VC P-420</t>
  </si>
  <si>
    <t>VC RS-420</t>
  </si>
  <si>
    <t>ULMA</t>
  </si>
  <si>
    <t>Total</t>
  </si>
  <si>
    <t>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</si>
</sst>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/>
    <xf numFmtId="0" fontId="2" fillId="0" borderId="4" xfId="0" applyFont="1" applyBorder="1"/>
    <xf numFmtId="0" fontId="2" fillId="0" borderId="3" xfId="0" applyFont="1" applyBorder="1"/>
    <xf numFmtId="0" fontId="2" fillId="0" borderId="5" xfId="0" applyFont="1" applyBorder="1"/>
    <xf numFmtId="0" fontId="2" fillId="2" borderId="6" xfId="0" applyFont="1" applyFill="1" applyBorder="1"/>
    <xf numFmtId="0" fontId="2" fillId="0" borderId="7" xfId="0" applyFont="1" applyBorder="1"/>
    <xf numFmtId="0" fontId="2" fillId="0" borderId="6" xfId="0" applyFont="1" applyBorder="1"/>
    <xf numFmtId="0" fontId="2" fillId="0" borderId="8" xfId="0" applyFont="1" applyBorder="1"/>
    <xf numFmtId="0" fontId="2" fillId="2" borderId="9" xfId="0" applyFont="1" applyFill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2" fillId="3" borderId="12" xfId="0" applyFont="1" applyFill="1" applyBorder="1"/>
    <xf numFmtId="0" fontId="2" fillId="3" borderId="13" xfId="0" applyFont="1" applyFill="1" applyBorder="1"/>
    <xf numFmtId="0" fontId="2" fillId="2" borderId="1" xfId="0" applyFont="1" applyFill="1" applyBorder="1"/>
    <xf numFmtId="0" fontId="2" fillId="2" borderId="12" xfId="0" applyFont="1" applyFill="1" applyBorder="1"/>
    <xf numFmtId="1" fontId="2" fillId="0" borderId="6" xfId="0" applyNumberFormat="1" applyFont="1" applyBorder="1"/>
    <xf numFmtId="0" fontId="2" fillId="2" borderId="14" xfId="0" applyFont="1" applyFill="1" applyBorder="1"/>
    <xf numFmtId="0" fontId="2" fillId="0" borderId="15" xfId="0" applyFont="1" applyBorder="1"/>
    <xf numFmtId="0" fontId="2" fillId="0" borderId="14" xfId="0" applyFont="1" applyBorder="1"/>
    <xf numFmtId="0" fontId="2" fillId="0" borderId="16" xfId="0" applyFont="1" applyBorder="1"/>
    <xf numFmtId="0" fontId="1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 applyAlignment="1">
      <alignment horizontal="center" vertical="center"/>
    </xf>
    <xf numFmtId="0" fontId="2" fillId="3" borderId="26" xfId="0" applyFont="1" applyFill="1" applyBorder="1"/>
    <xf numFmtId="0" fontId="2" fillId="0" borderId="2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0C1A-5A86-4E53-927A-FA68985B40C8}">
  <dimension ref="A1:H105"/>
  <sheetViews>
    <sheetView workbookViewId="0">
      <selection activeCell="I9" sqref="I9"/>
    </sheetView>
  </sheetViews>
  <sheetFormatPr baseColWidth="10" defaultRowHeight="15" x14ac:dyDescent="0.25"/>
  <cols>
    <col min="1" max="1" width="9.85546875" bestFit="1" customWidth="1"/>
    <col min="2" max="2" width="16.85546875" bestFit="1" customWidth="1"/>
    <col min="3" max="3" width="17.85546875" bestFit="1" customWidth="1"/>
    <col min="4" max="4" width="20.140625" bestFit="1" customWidth="1"/>
    <col min="5" max="7" width="16.140625" bestFit="1" customWidth="1"/>
    <col min="8" max="8" width="17.42578125" bestFit="1" customWidth="1"/>
  </cols>
  <sheetData>
    <row r="1" spans="1:8" ht="15.75" thickBot="1" x14ac:dyDescent="0.3">
      <c r="A1" s="24" t="s">
        <v>12</v>
      </c>
      <c r="B1" s="1" t="s">
        <v>7</v>
      </c>
      <c r="C1" s="1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2" t="s">
        <v>5</v>
      </c>
    </row>
    <row r="2" spans="1:8" x14ac:dyDescent="0.25">
      <c r="A2" s="25">
        <v>1</v>
      </c>
      <c r="B2" s="5" t="s">
        <v>8</v>
      </c>
      <c r="C2" s="3">
        <f t="shared" ref="C2:C6" si="0">SUM(D2:H2)</f>
        <v>20176</v>
      </c>
      <c r="D2" s="4">
        <f>4000+400+300+1200</f>
        <v>5900</v>
      </c>
      <c r="E2" s="5">
        <f>1000+280+400+400+500+600+150+1289+1750+450+100+320</f>
        <v>7239</v>
      </c>
      <c r="F2" s="5">
        <f>600+1200+3077+600</f>
        <v>5477</v>
      </c>
      <c r="G2" s="5">
        <v>0</v>
      </c>
      <c r="H2" s="6">
        <f>800+200+200+360</f>
        <v>1560</v>
      </c>
    </row>
    <row r="3" spans="1:8" x14ac:dyDescent="0.25">
      <c r="A3" s="26"/>
      <c r="B3" s="9" t="s">
        <v>9</v>
      </c>
      <c r="C3" s="7">
        <f t="shared" si="0"/>
        <v>8600</v>
      </c>
      <c r="D3" s="8">
        <v>0</v>
      </c>
      <c r="E3" s="9">
        <f>550+100+300+350</f>
        <v>1300</v>
      </c>
      <c r="F3" s="9">
        <v>0</v>
      </c>
      <c r="G3" s="9">
        <f>4700+2600</f>
        <v>7300</v>
      </c>
      <c r="H3" s="10">
        <v>0</v>
      </c>
    </row>
    <row r="4" spans="1:8" ht="15.75" thickBot="1" x14ac:dyDescent="0.3">
      <c r="A4" s="26"/>
      <c r="B4" s="13" t="s">
        <v>10</v>
      </c>
      <c r="C4" s="11">
        <f t="shared" si="0"/>
        <v>7794</v>
      </c>
      <c r="D4" s="12">
        <v>0</v>
      </c>
      <c r="E4" s="13">
        <f>844+500+250+200</f>
        <v>1794</v>
      </c>
      <c r="F4" s="13">
        <f>800+400+200+1000+600+3000</f>
        <v>6000</v>
      </c>
      <c r="G4" s="13">
        <v>0</v>
      </c>
      <c r="H4" s="14">
        <v>0</v>
      </c>
    </row>
    <row r="5" spans="1:8" ht="15.75" thickBot="1" x14ac:dyDescent="0.3">
      <c r="A5" s="27"/>
      <c r="B5" s="15" t="s">
        <v>11</v>
      </c>
      <c r="C5" s="15"/>
      <c r="D5" s="15">
        <f t="shared" ref="D5" si="1">SUM(D2:D4)</f>
        <v>5900</v>
      </c>
      <c r="E5" s="15">
        <f>SUM(E2:E4)</f>
        <v>10333</v>
      </c>
      <c r="F5" s="15">
        <f t="shared" ref="F5:H5" si="2">SUM(F2:F4)</f>
        <v>11477</v>
      </c>
      <c r="G5" s="15">
        <f t="shared" si="2"/>
        <v>7300</v>
      </c>
      <c r="H5" s="16">
        <f t="shared" si="2"/>
        <v>1560</v>
      </c>
    </row>
    <row r="6" spans="1:8" x14ac:dyDescent="0.25">
      <c r="A6" s="25">
        <v>2</v>
      </c>
      <c r="B6" s="5" t="s">
        <v>8</v>
      </c>
      <c r="C6" s="17">
        <f t="shared" si="0"/>
        <v>11000</v>
      </c>
      <c r="D6" s="4">
        <f>10000</f>
        <v>10000</v>
      </c>
      <c r="E6" s="5">
        <v>0</v>
      </c>
      <c r="F6" s="5">
        <v>0</v>
      </c>
      <c r="G6" s="5">
        <v>0</v>
      </c>
      <c r="H6" s="6">
        <v>1000</v>
      </c>
    </row>
    <row r="7" spans="1:8" x14ac:dyDescent="0.25">
      <c r="A7" s="26"/>
      <c r="B7" s="9" t="s">
        <v>9</v>
      </c>
      <c r="C7" s="7">
        <f t="shared" ref="C7:C8" si="3">SUM(D7:H7)</f>
        <v>0</v>
      </c>
      <c r="D7" s="8">
        <v>0</v>
      </c>
      <c r="E7" s="9">
        <v>0</v>
      </c>
      <c r="F7" s="9">
        <v>0</v>
      </c>
      <c r="G7" s="9">
        <v>0</v>
      </c>
      <c r="H7" s="10">
        <v>0</v>
      </c>
    </row>
    <row r="8" spans="1:8" ht="15.75" thickBot="1" x14ac:dyDescent="0.3">
      <c r="A8" s="26"/>
      <c r="B8" s="13" t="s">
        <v>10</v>
      </c>
      <c r="C8" s="18">
        <f t="shared" si="3"/>
        <v>2000</v>
      </c>
      <c r="D8" s="12">
        <v>0</v>
      </c>
      <c r="E8" s="13">
        <v>2000</v>
      </c>
      <c r="F8" s="13">
        <v>0</v>
      </c>
      <c r="G8" s="13">
        <v>0</v>
      </c>
      <c r="H8" s="14">
        <v>0</v>
      </c>
    </row>
    <row r="9" spans="1:8" ht="15.75" thickBot="1" x14ac:dyDescent="0.3">
      <c r="A9" s="27"/>
      <c r="B9" s="15" t="s">
        <v>11</v>
      </c>
      <c r="C9" s="15"/>
      <c r="D9" s="15">
        <f t="shared" ref="D9" si="4">SUM(D6:D8)</f>
        <v>10000</v>
      </c>
      <c r="E9" s="15">
        <f>SUM(E6:E8)</f>
        <v>2000</v>
      </c>
      <c r="F9" s="15">
        <f t="shared" ref="F9:H9" si="5">SUM(F6:F8)</f>
        <v>0</v>
      </c>
      <c r="G9" s="15">
        <f t="shared" si="5"/>
        <v>0</v>
      </c>
      <c r="H9" s="16">
        <f t="shared" si="5"/>
        <v>1000</v>
      </c>
    </row>
    <row r="10" spans="1:8" x14ac:dyDescent="0.25">
      <c r="A10" s="25">
        <v>4</v>
      </c>
      <c r="B10" s="5" t="s">
        <v>8</v>
      </c>
      <c r="C10" s="3">
        <f>SUM(D10:H10)</f>
        <v>10739</v>
      </c>
      <c r="D10" s="4">
        <f>1000+1500+1000+700</f>
        <v>4200</v>
      </c>
      <c r="E10" s="5">
        <f>200+45+600+100+844+1500</f>
        <v>3289</v>
      </c>
      <c r="F10" s="5">
        <f>2000+900</f>
        <v>2900</v>
      </c>
      <c r="G10" s="5">
        <v>0</v>
      </c>
      <c r="H10" s="6">
        <f>350</f>
        <v>350</v>
      </c>
    </row>
    <row r="11" spans="1:8" x14ac:dyDescent="0.25">
      <c r="A11" s="26"/>
      <c r="B11" s="9" t="s">
        <v>9</v>
      </c>
      <c r="C11" s="7">
        <f t="shared" ref="C11:C88" si="6">SUM(D11:H11)</f>
        <v>3450</v>
      </c>
      <c r="D11" s="8">
        <v>0</v>
      </c>
      <c r="E11" s="19">
        <v>450</v>
      </c>
      <c r="F11" s="9">
        <v>0</v>
      </c>
      <c r="G11" s="9">
        <f>3000</f>
        <v>3000</v>
      </c>
      <c r="H11" s="10">
        <v>0</v>
      </c>
    </row>
    <row r="12" spans="1:8" ht="15.75" thickBot="1" x14ac:dyDescent="0.3">
      <c r="A12" s="26"/>
      <c r="B12" s="13" t="s">
        <v>10</v>
      </c>
      <c r="C12" s="11">
        <f t="shared" si="6"/>
        <v>11042</v>
      </c>
      <c r="D12" s="12">
        <v>0</v>
      </c>
      <c r="E12" s="13">
        <f>200+242</f>
        <v>442</v>
      </c>
      <c r="F12" s="13">
        <f>4000+1000+2000+600+1500+1500</f>
        <v>10600</v>
      </c>
      <c r="G12" s="13">
        <v>0</v>
      </c>
      <c r="H12" s="14">
        <v>0</v>
      </c>
    </row>
    <row r="13" spans="1:8" ht="15.75" thickBot="1" x14ac:dyDescent="0.3">
      <c r="A13" s="27"/>
      <c r="B13" s="15" t="s">
        <v>11</v>
      </c>
      <c r="C13" s="15"/>
      <c r="D13" s="15">
        <f t="shared" ref="D13" si="7">SUM(D10:D12)</f>
        <v>4200</v>
      </c>
      <c r="E13" s="15">
        <f>SUM(E10:E12)</f>
        <v>4181</v>
      </c>
      <c r="F13" s="15">
        <f t="shared" ref="F13:H13" si="8">SUM(F10:F12)</f>
        <v>13500</v>
      </c>
      <c r="G13" s="15">
        <f t="shared" si="8"/>
        <v>3000</v>
      </c>
      <c r="H13" s="16">
        <f t="shared" si="8"/>
        <v>350</v>
      </c>
    </row>
    <row r="14" spans="1:8" x14ac:dyDescent="0.25">
      <c r="A14" s="25">
        <v>5</v>
      </c>
      <c r="B14" s="5" t="s">
        <v>8</v>
      </c>
      <c r="C14" s="3">
        <f t="shared" si="6"/>
        <v>21534</v>
      </c>
      <c r="D14" s="4">
        <f>1000+4000+2000+500+1000+700</f>
        <v>9200</v>
      </c>
      <c r="E14" s="5">
        <f>500+200+400+350+600+100+830+1200+800+300+514</f>
        <v>5794</v>
      </c>
      <c r="F14" s="5">
        <f>1500+3590+550+900</f>
        <v>6540</v>
      </c>
      <c r="G14" s="5">
        <v>0</v>
      </c>
      <c r="H14" s="6">
        <v>0</v>
      </c>
    </row>
    <row r="15" spans="1:8" x14ac:dyDescent="0.25">
      <c r="A15" s="26"/>
      <c r="B15" s="9" t="s">
        <v>9</v>
      </c>
      <c r="C15" s="20">
        <f t="shared" si="6"/>
        <v>8800</v>
      </c>
      <c r="D15" s="8">
        <v>0</v>
      </c>
      <c r="E15" s="9">
        <f>250+900+1300+200+950</f>
        <v>3600</v>
      </c>
      <c r="F15" s="9">
        <v>0</v>
      </c>
      <c r="G15" s="9">
        <f>2000+1000+2200</f>
        <v>5200</v>
      </c>
      <c r="H15" s="10">
        <v>0</v>
      </c>
    </row>
    <row r="16" spans="1:8" ht="15.75" thickBot="1" x14ac:dyDescent="0.3">
      <c r="A16" s="26"/>
      <c r="B16" s="13" t="s">
        <v>10</v>
      </c>
      <c r="C16" s="18">
        <f t="shared" si="6"/>
        <v>16200</v>
      </c>
      <c r="D16" s="12">
        <v>0</v>
      </c>
      <c r="E16" s="13">
        <f>1000+100+2000+500</f>
        <v>3600</v>
      </c>
      <c r="F16" s="13">
        <f>3000+2000+600+4000+1000+2000</f>
        <v>12600</v>
      </c>
      <c r="G16" s="13">
        <v>0</v>
      </c>
      <c r="H16" s="14">
        <v>0</v>
      </c>
    </row>
    <row r="17" spans="1:8" ht="15.75" thickBot="1" x14ac:dyDescent="0.3">
      <c r="A17" s="27"/>
      <c r="B17" s="15" t="s">
        <v>11</v>
      </c>
      <c r="C17" s="15"/>
      <c r="D17" s="15">
        <f t="shared" ref="D17" si="9">SUM(D14:D16)</f>
        <v>9200</v>
      </c>
      <c r="E17" s="15">
        <f>SUM(E14:E16)</f>
        <v>12994</v>
      </c>
      <c r="F17" s="15">
        <f t="shared" ref="F17:H17" si="10">SUM(F14:F16)</f>
        <v>19140</v>
      </c>
      <c r="G17" s="15">
        <f t="shared" si="10"/>
        <v>5200</v>
      </c>
      <c r="H17" s="16">
        <f t="shared" si="10"/>
        <v>0</v>
      </c>
    </row>
    <row r="18" spans="1:8" x14ac:dyDescent="0.25">
      <c r="A18" s="25">
        <v>6</v>
      </c>
      <c r="B18" s="5" t="s">
        <v>8</v>
      </c>
      <c r="C18" s="3">
        <f t="shared" si="6"/>
        <v>19978</v>
      </c>
      <c r="D18" s="4">
        <f>2000+1000</f>
        <v>3000</v>
      </c>
      <c r="E18" s="5">
        <f>600+280+400+460+600+200+1511+2500+1000+200+370+1100</f>
        <v>9221</v>
      </c>
      <c r="F18" s="5">
        <f>1700+3077+1500+800+180</f>
        <v>7257</v>
      </c>
      <c r="G18" s="5">
        <v>0</v>
      </c>
      <c r="H18" s="6">
        <f>500</f>
        <v>500</v>
      </c>
    </row>
    <row r="19" spans="1:8" x14ac:dyDescent="0.25">
      <c r="A19" s="26"/>
      <c r="B19" s="9" t="s">
        <v>9</v>
      </c>
      <c r="C19" s="20">
        <f t="shared" si="6"/>
        <v>7000</v>
      </c>
      <c r="D19" s="8">
        <v>0</v>
      </c>
      <c r="E19" s="9">
        <f>400+1000+450+200+950</f>
        <v>3000</v>
      </c>
      <c r="F19" s="9">
        <v>0</v>
      </c>
      <c r="G19" s="9">
        <v>4000</v>
      </c>
      <c r="H19" s="10">
        <v>0</v>
      </c>
    </row>
    <row r="20" spans="1:8" ht="15.75" thickBot="1" x14ac:dyDescent="0.3">
      <c r="A20" s="26"/>
      <c r="B20" s="13" t="s">
        <v>10</v>
      </c>
      <c r="C20" s="18">
        <f t="shared" si="6"/>
        <v>13067</v>
      </c>
      <c r="D20" s="12">
        <v>0</v>
      </c>
      <c r="E20" s="13">
        <f>1000+100+600+500+1000+867+600</f>
        <v>4667</v>
      </c>
      <c r="F20" s="13">
        <f>1000+800+300+200+600+3000+2500</f>
        <v>8400</v>
      </c>
      <c r="G20" s="13">
        <v>0</v>
      </c>
      <c r="H20" s="14">
        <v>0</v>
      </c>
    </row>
    <row r="21" spans="1:8" ht="15.75" thickBot="1" x14ac:dyDescent="0.3">
      <c r="A21" s="27"/>
      <c r="B21" s="15" t="s">
        <v>11</v>
      </c>
      <c r="C21" s="15"/>
      <c r="D21" s="15">
        <f t="shared" ref="D21" si="11">SUM(D18:D20)</f>
        <v>3000</v>
      </c>
      <c r="E21" s="15">
        <f>SUM(E18:E20)</f>
        <v>16888</v>
      </c>
      <c r="F21" s="15">
        <f t="shared" ref="F21:H21" si="12">SUM(F18:F20)</f>
        <v>15657</v>
      </c>
      <c r="G21" s="15">
        <f t="shared" si="12"/>
        <v>4000</v>
      </c>
      <c r="H21" s="16">
        <f t="shared" si="12"/>
        <v>500</v>
      </c>
    </row>
    <row r="22" spans="1:8" x14ac:dyDescent="0.25">
      <c r="A22" s="25">
        <v>7</v>
      </c>
      <c r="B22" s="5" t="s">
        <v>8</v>
      </c>
      <c r="C22" s="3">
        <f t="shared" si="6"/>
        <v>22034</v>
      </c>
      <c r="D22" s="4">
        <f>1000+4000+500+2000+400+1000</f>
        <v>8900</v>
      </c>
      <c r="E22" s="5">
        <f>180+400+45+370+600+100+1289+2000+1000</f>
        <v>5984</v>
      </c>
      <c r="F22" s="5">
        <f>600+1500+3000+500+800</f>
        <v>6400</v>
      </c>
      <c r="G22" s="5">
        <v>0</v>
      </c>
      <c r="H22" s="6">
        <f>200+550</f>
        <v>750</v>
      </c>
    </row>
    <row r="23" spans="1:8" x14ac:dyDescent="0.25">
      <c r="A23" s="26"/>
      <c r="B23" s="9" t="s">
        <v>9</v>
      </c>
      <c r="C23" s="20">
        <f t="shared" si="6"/>
        <v>9701</v>
      </c>
      <c r="D23" s="8">
        <v>0</v>
      </c>
      <c r="E23" s="9">
        <f>400+500+550+950</f>
        <v>2400</v>
      </c>
      <c r="F23" s="9">
        <v>0</v>
      </c>
      <c r="G23" s="9">
        <f>3000+4300</f>
        <v>7300</v>
      </c>
      <c r="H23" s="10">
        <v>1</v>
      </c>
    </row>
    <row r="24" spans="1:8" ht="15.75" thickBot="1" x14ac:dyDescent="0.3">
      <c r="A24" s="26"/>
      <c r="B24" s="13" t="s">
        <v>10</v>
      </c>
      <c r="C24" s="18">
        <f t="shared" si="6"/>
        <v>16400</v>
      </c>
      <c r="D24" s="12">
        <v>0</v>
      </c>
      <c r="E24" s="13">
        <f>300+600+2000</f>
        <v>2900</v>
      </c>
      <c r="F24" s="13">
        <f>4000+1000+400+2000+600+3000+2500</f>
        <v>13500</v>
      </c>
      <c r="G24" s="13">
        <v>0</v>
      </c>
      <c r="H24" s="14">
        <v>0</v>
      </c>
    </row>
    <row r="25" spans="1:8" ht="15.75" thickBot="1" x14ac:dyDescent="0.3">
      <c r="A25" s="27"/>
      <c r="B25" s="15" t="s">
        <v>11</v>
      </c>
      <c r="C25" s="15"/>
      <c r="D25" s="15">
        <f>SUM(D22:D24)</f>
        <v>8900</v>
      </c>
      <c r="E25" s="15">
        <f>SUM(E22:E24)</f>
        <v>11284</v>
      </c>
      <c r="F25" s="15">
        <f>SUM(F22:F24)</f>
        <v>19900</v>
      </c>
      <c r="G25" s="15">
        <f>SUM(G22:G24)</f>
        <v>7300</v>
      </c>
      <c r="H25" s="16">
        <f>SUM(H22:H24)</f>
        <v>751</v>
      </c>
    </row>
    <row r="26" spans="1:8" x14ac:dyDescent="0.25">
      <c r="A26" s="25">
        <v>8</v>
      </c>
      <c r="B26" s="5" t="s">
        <v>8</v>
      </c>
      <c r="C26" s="3">
        <f t="shared" si="6"/>
        <v>23380</v>
      </c>
      <c r="D26" s="4">
        <f>7000+750</f>
        <v>7750</v>
      </c>
      <c r="E26" s="5">
        <f>600+300+600+100+2000+1500+1000</f>
        <v>6100</v>
      </c>
      <c r="F26" s="5">
        <f>1500+4000+1500+180</f>
        <v>7180</v>
      </c>
      <c r="G26" s="5">
        <v>0</v>
      </c>
      <c r="H26" s="6">
        <f>1000+200+150+1000</f>
        <v>2350</v>
      </c>
    </row>
    <row r="27" spans="1:8" x14ac:dyDescent="0.25">
      <c r="A27" s="26"/>
      <c r="B27" s="9" t="s">
        <v>9</v>
      </c>
      <c r="C27" s="20">
        <f t="shared" si="6"/>
        <v>7180</v>
      </c>
      <c r="D27" s="8">
        <v>0</v>
      </c>
      <c r="E27" s="9">
        <v>480</v>
      </c>
      <c r="F27" s="9">
        <v>0</v>
      </c>
      <c r="G27" s="9">
        <f>6700</f>
        <v>6700</v>
      </c>
      <c r="H27" s="10">
        <v>0</v>
      </c>
    </row>
    <row r="28" spans="1:8" ht="15.75" thickBot="1" x14ac:dyDescent="0.3">
      <c r="A28" s="26"/>
      <c r="B28" s="13" t="s">
        <v>10</v>
      </c>
      <c r="C28" s="18">
        <f t="shared" si="6"/>
        <v>17324</v>
      </c>
      <c r="D28" s="12">
        <v>0</v>
      </c>
      <c r="E28" s="13">
        <f>1000+200+80+600+844+2000</f>
        <v>4724</v>
      </c>
      <c r="F28" s="13">
        <f>3000+2000+800+200+600+6000</f>
        <v>12600</v>
      </c>
      <c r="G28" s="13">
        <v>0</v>
      </c>
      <c r="H28" s="14">
        <v>0</v>
      </c>
    </row>
    <row r="29" spans="1:8" ht="15.75" thickBot="1" x14ac:dyDescent="0.3">
      <c r="A29" s="27"/>
      <c r="B29" s="15" t="s">
        <v>11</v>
      </c>
      <c r="C29" s="15"/>
      <c r="D29" s="15">
        <f>SUM(D26:D28)</f>
        <v>7750</v>
      </c>
      <c r="E29" s="15">
        <f>SUM(E26:E28)</f>
        <v>11304</v>
      </c>
      <c r="F29" s="15">
        <f>SUM(F26:F28)</f>
        <v>19780</v>
      </c>
      <c r="G29" s="15">
        <f>SUM(G26:G28)</f>
        <v>6700</v>
      </c>
      <c r="H29" s="16">
        <f>SUM(H26:H28)</f>
        <v>2350</v>
      </c>
    </row>
    <row r="30" spans="1:8" x14ac:dyDescent="0.25">
      <c r="A30" s="25">
        <v>9</v>
      </c>
      <c r="B30" s="5" t="s">
        <v>8</v>
      </c>
      <c r="C30" s="3">
        <f t="shared" si="6"/>
        <v>11204</v>
      </c>
      <c r="D30" s="4">
        <f>500+1000</f>
        <v>1500</v>
      </c>
      <c r="E30" s="5">
        <f>400+800+500+844+1000+1000+160</f>
        <v>4704</v>
      </c>
      <c r="F30" s="5">
        <f>1800+1200</f>
        <v>3000</v>
      </c>
      <c r="G30" s="5">
        <v>0</v>
      </c>
      <c r="H30" s="6">
        <v>2000</v>
      </c>
    </row>
    <row r="31" spans="1:8" x14ac:dyDescent="0.25">
      <c r="A31" s="26"/>
      <c r="B31" s="9" t="s">
        <v>9</v>
      </c>
      <c r="C31" s="20">
        <f t="shared" si="6"/>
        <v>200</v>
      </c>
      <c r="D31" s="8">
        <v>0</v>
      </c>
      <c r="E31" s="9">
        <v>200</v>
      </c>
      <c r="F31" s="9">
        <v>0</v>
      </c>
      <c r="G31" s="9">
        <v>0</v>
      </c>
      <c r="H31" s="10">
        <v>0</v>
      </c>
    </row>
    <row r="32" spans="1:8" ht="15.75" thickBot="1" x14ac:dyDescent="0.3">
      <c r="A32" s="26"/>
      <c r="B32" s="13" t="s">
        <v>10</v>
      </c>
      <c r="C32" s="18">
        <f t="shared" si="6"/>
        <v>12400</v>
      </c>
      <c r="D32" s="12">
        <v>0</v>
      </c>
      <c r="E32" s="13">
        <v>400</v>
      </c>
      <c r="F32" s="13">
        <f>800+1200+10000</f>
        <v>12000</v>
      </c>
      <c r="G32" s="13">
        <v>0</v>
      </c>
      <c r="H32" s="14">
        <v>0</v>
      </c>
    </row>
    <row r="33" spans="1:8" ht="15.75" thickBot="1" x14ac:dyDescent="0.3">
      <c r="A33" s="27"/>
      <c r="B33" s="15" t="s">
        <v>11</v>
      </c>
      <c r="C33" s="15"/>
      <c r="D33" s="15">
        <f>SUM(D30:D32)</f>
        <v>1500</v>
      </c>
      <c r="E33" s="15">
        <f>SUM(E30:E32)</f>
        <v>5304</v>
      </c>
      <c r="F33" s="15">
        <f>SUM(F30:F32)</f>
        <v>15000</v>
      </c>
      <c r="G33" s="15">
        <f>SUM(G30:G32)</f>
        <v>0</v>
      </c>
      <c r="H33" s="16">
        <f>SUM(H30:H32)</f>
        <v>2000</v>
      </c>
    </row>
    <row r="34" spans="1:8" x14ac:dyDescent="0.25">
      <c r="A34" s="25">
        <v>11</v>
      </c>
      <c r="B34" s="5" t="s">
        <v>8</v>
      </c>
      <c r="C34" s="3">
        <f t="shared" si="6"/>
        <v>11690</v>
      </c>
      <c r="D34" s="4">
        <f>1200+800+700</f>
        <v>2700</v>
      </c>
      <c r="E34" s="5">
        <f>500+200+110+600+100+480+2000</f>
        <v>3990</v>
      </c>
      <c r="F34" s="5">
        <f>2000+550+900</f>
        <v>3450</v>
      </c>
      <c r="G34" s="5">
        <v>0</v>
      </c>
      <c r="H34" s="6">
        <f>1000+550</f>
        <v>1550</v>
      </c>
    </row>
    <row r="35" spans="1:8" x14ac:dyDescent="0.25">
      <c r="A35" s="26"/>
      <c r="B35" s="9" t="s">
        <v>9</v>
      </c>
      <c r="C35" s="20">
        <f t="shared" si="6"/>
        <v>4150</v>
      </c>
      <c r="D35" s="8">
        <v>0</v>
      </c>
      <c r="E35" s="9">
        <f>300+350</f>
        <v>650</v>
      </c>
      <c r="F35" s="9">
        <v>0</v>
      </c>
      <c r="G35" s="9">
        <v>3500</v>
      </c>
      <c r="H35" s="10">
        <v>0</v>
      </c>
    </row>
    <row r="36" spans="1:8" ht="15.75" thickBot="1" x14ac:dyDescent="0.3">
      <c r="A36" s="26"/>
      <c r="B36" s="13" t="s">
        <v>10</v>
      </c>
      <c r="C36" s="18">
        <f t="shared" si="6"/>
        <v>12575</v>
      </c>
      <c r="D36" s="12">
        <v>0</v>
      </c>
      <c r="E36" s="13">
        <f>25+950+2000</f>
        <v>2975</v>
      </c>
      <c r="F36" s="13">
        <f>1000+200+1000+600+5000+1800</f>
        <v>9600</v>
      </c>
      <c r="G36" s="13">
        <v>0</v>
      </c>
      <c r="H36" s="14">
        <v>0</v>
      </c>
    </row>
    <row r="37" spans="1:8" ht="15.75" thickBot="1" x14ac:dyDescent="0.3">
      <c r="A37" s="27"/>
      <c r="B37" s="15" t="s">
        <v>11</v>
      </c>
      <c r="C37" s="15"/>
      <c r="D37" s="15">
        <f>SUM(D34:D36)</f>
        <v>2700</v>
      </c>
      <c r="E37" s="15">
        <f>SUM(E34:E36)</f>
        <v>7615</v>
      </c>
      <c r="F37" s="15">
        <f>SUM(F34:F36)</f>
        <v>13050</v>
      </c>
      <c r="G37" s="15">
        <f>SUM(G34:G36)</f>
        <v>3500</v>
      </c>
      <c r="H37" s="16">
        <f>SUM(H34:H36)</f>
        <v>1550</v>
      </c>
    </row>
    <row r="38" spans="1:8" x14ac:dyDescent="0.25">
      <c r="A38" s="25">
        <v>12</v>
      </c>
      <c r="B38" s="5" t="s">
        <v>8</v>
      </c>
      <c r="C38" s="3">
        <f t="shared" si="6"/>
        <v>21430</v>
      </c>
      <c r="D38" s="4">
        <f>800+2000+2000+500</f>
        <v>5300</v>
      </c>
      <c r="E38" s="5">
        <f>500+400+600+100+1689+2000+800+380+514</f>
        <v>6983</v>
      </c>
      <c r="F38" s="5">
        <f>3000+2872+900</f>
        <v>6772</v>
      </c>
      <c r="G38" s="5">
        <v>0</v>
      </c>
      <c r="H38" s="6">
        <f>1000+375+1000</f>
        <v>2375</v>
      </c>
    </row>
    <row r="39" spans="1:8" x14ac:dyDescent="0.25">
      <c r="A39" s="26"/>
      <c r="B39" s="9" t="s">
        <v>9</v>
      </c>
      <c r="C39" s="20">
        <f t="shared" si="6"/>
        <v>6800</v>
      </c>
      <c r="D39" s="8">
        <v>0</v>
      </c>
      <c r="E39" s="9">
        <f>1000+400+200</f>
        <v>1600</v>
      </c>
      <c r="F39" s="9">
        <v>0</v>
      </c>
      <c r="G39" s="9">
        <v>5200</v>
      </c>
      <c r="H39" s="10">
        <v>0</v>
      </c>
    </row>
    <row r="40" spans="1:8" ht="15.75" thickBot="1" x14ac:dyDescent="0.3">
      <c r="A40" s="26"/>
      <c r="B40" s="13" t="s">
        <v>10</v>
      </c>
      <c r="C40" s="18">
        <f t="shared" si="6"/>
        <v>17700</v>
      </c>
      <c r="D40" s="12">
        <v>0</v>
      </c>
      <c r="E40" s="13">
        <f>600+2000+500</f>
        <v>3100</v>
      </c>
      <c r="F40" s="13">
        <f>3000+700+2000+600+6000+800+1500</f>
        <v>14600</v>
      </c>
      <c r="G40" s="13">
        <v>0</v>
      </c>
      <c r="H40" s="14">
        <v>0</v>
      </c>
    </row>
    <row r="41" spans="1:8" ht="15.75" thickBot="1" x14ac:dyDescent="0.3">
      <c r="A41" s="27"/>
      <c r="B41" s="15" t="s">
        <v>11</v>
      </c>
      <c r="C41" s="15"/>
      <c r="D41" s="15">
        <f>SUM(D38:D40)</f>
        <v>5300</v>
      </c>
      <c r="E41" s="15">
        <f>SUM(E38:E40)</f>
        <v>11683</v>
      </c>
      <c r="F41" s="15">
        <f>SUM(F38:F40)</f>
        <v>21372</v>
      </c>
      <c r="G41" s="15">
        <f>SUM(G38:G40)</f>
        <v>5200</v>
      </c>
      <c r="H41" s="16">
        <f>SUM(H38:H40)</f>
        <v>2375</v>
      </c>
    </row>
    <row r="42" spans="1:8" x14ac:dyDescent="0.25">
      <c r="A42" s="25">
        <v>13</v>
      </c>
      <c r="B42" s="5" t="s">
        <v>8</v>
      </c>
      <c r="C42" s="3">
        <f t="shared" si="6"/>
        <v>22876</v>
      </c>
      <c r="D42" s="4">
        <f>2000+2000+900</f>
        <v>4900</v>
      </c>
      <c r="E42" s="5">
        <f>280+45+600+200+844+2200+1500+1100</f>
        <v>6769</v>
      </c>
      <c r="F42" s="5">
        <f>1500+3487+1500+900+180+180+180+180</f>
        <v>8107</v>
      </c>
      <c r="G42" s="5">
        <v>0</v>
      </c>
      <c r="H42" s="6">
        <f>1500+300+300+1000</f>
        <v>3100</v>
      </c>
    </row>
    <row r="43" spans="1:8" x14ac:dyDescent="0.25">
      <c r="A43" s="26"/>
      <c r="B43" s="9" t="s">
        <v>9</v>
      </c>
      <c r="C43" s="20">
        <f t="shared" si="6"/>
        <v>6150</v>
      </c>
      <c r="D43" s="8">
        <v>0</v>
      </c>
      <c r="E43" s="9">
        <f>250+1100+500</f>
        <v>1850</v>
      </c>
      <c r="F43" s="9">
        <v>0</v>
      </c>
      <c r="G43" s="9">
        <v>4300</v>
      </c>
      <c r="H43" s="10">
        <v>0</v>
      </c>
    </row>
    <row r="44" spans="1:8" ht="15.75" thickBot="1" x14ac:dyDescent="0.3">
      <c r="A44" s="26"/>
      <c r="B44" s="13" t="s">
        <v>10</v>
      </c>
      <c r="C44" s="18">
        <f t="shared" si="6"/>
        <v>15800</v>
      </c>
      <c r="D44" s="12">
        <v>0</v>
      </c>
      <c r="E44" s="13">
        <f>2000+400</f>
        <v>2400</v>
      </c>
      <c r="F44" s="13">
        <f>2000+1000+100+200+1000+600+6000+2500</f>
        <v>13400</v>
      </c>
      <c r="G44" s="13">
        <v>0</v>
      </c>
      <c r="H44" s="14">
        <v>0</v>
      </c>
    </row>
    <row r="45" spans="1:8" ht="15.75" thickBot="1" x14ac:dyDescent="0.3">
      <c r="A45" s="27"/>
      <c r="B45" s="15" t="s">
        <v>11</v>
      </c>
      <c r="C45" s="15"/>
      <c r="D45" s="15">
        <f>SUM(D42:D44)</f>
        <v>4900</v>
      </c>
      <c r="E45" s="15">
        <f>SUM(E42:E44)</f>
        <v>11019</v>
      </c>
      <c r="F45" s="15">
        <f>SUM(F42:F44)</f>
        <v>21507</v>
      </c>
      <c r="G45" s="15">
        <f>SUM(G42:G44)</f>
        <v>4300</v>
      </c>
      <c r="H45" s="16">
        <f>SUM(H42:H44)</f>
        <v>3100</v>
      </c>
    </row>
    <row r="46" spans="1:8" x14ac:dyDescent="0.25">
      <c r="A46" s="25">
        <v>14</v>
      </c>
      <c r="B46" s="5" t="s">
        <v>8</v>
      </c>
      <c r="C46" s="3">
        <f t="shared" si="6"/>
        <v>22621</v>
      </c>
      <c r="D46" s="4">
        <f>1000+3000+500+900+1900</f>
        <v>7300</v>
      </c>
      <c r="E46" s="5">
        <f>45+370+2500+1500+200+300+360+571</f>
        <v>5846</v>
      </c>
      <c r="F46" s="5">
        <f>600+2000+4100+800</f>
        <v>7500</v>
      </c>
      <c r="G46" s="5">
        <v>0</v>
      </c>
      <c r="H46" s="6">
        <f>600+375+1000</f>
        <v>1975</v>
      </c>
    </row>
    <row r="47" spans="1:8" x14ac:dyDescent="0.25">
      <c r="A47" s="26"/>
      <c r="B47" s="9" t="s">
        <v>9</v>
      </c>
      <c r="C47" s="20">
        <f t="shared" si="6"/>
        <v>6200</v>
      </c>
      <c r="D47" s="8">
        <v>0</v>
      </c>
      <c r="E47" s="9">
        <f>450+600+200+950</f>
        <v>2200</v>
      </c>
      <c r="F47" s="9">
        <v>0</v>
      </c>
      <c r="G47" s="9">
        <f>3000+1000</f>
        <v>4000</v>
      </c>
      <c r="H47" s="10">
        <v>0</v>
      </c>
    </row>
    <row r="48" spans="1:8" ht="15.75" thickBot="1" x14ac:dyDescent="0.3">
      <c r="A48" s="26"/>
      <c r="B48" s="13" t="s">
        <v>10</v>
      </c>
      <c r="C48" s="18">
        <f t="shared" si="6"/>
        <v>15540</v>
      </c>
      <c r="D48" s="12">
        <v>0</v>
      </c>
      <c r="E48" s="13">
        <f>700+900+3000+840+300</f>
        <v>5740</v>
      </c>
      <c r="F48" s="13">
        <f>1000+1000+300+6000+500+1000</f>
        <v>9800</v>
      </c>
      <c r="G48" s="13">
        <v>0</v>
      </c>
      <c r="H48" s="14">
        <v>0</v>
      </c>
    </row>
    <row r="49" spans="1:8" ht="15.75" thickBot="1" x14ac:dyDescent="0.3">
      <c r="A49" s="27"/>
      <c r="B49" s="15" t="s">
        <v>11</v>
      </c>
      <c r="C49" s="15"/>
      <c r="D49" s="15">
        <f>SUM(D46:D48)</f>
        <v>7300</v>
      </c>
      <c r="E49" s="15">
        <f>SUM(E46:E48)</f>
        <v>13786</v>
      </c>
      <c r="F49" s="15">
        <f>SUM(F46:F48)</f>
        <v>17300</v>
      </c>
      <c r="G49" s="15">
        <f>SUM(G46:G48)</f>
        <v>4000</v>
      </c>
      <c r="H49" s="16">
        <f>SUM(H46:H48)</f>
        <v>1975</v>
      </c>
    </row>
    <row r="50" spans="1:8" x14ac:dyDescent="0.25">
      <c r="A50" s="25">
        <v>15</v>
      </c>
      <c r="B50" s="5" t="s">
        <v>8</v>
      </c>
      <c r="C50" s="3">
        <f t="shared" si="6"/>
        <v>21600</v>
      </c>
      <c r="D50" s="4">
        <f>800+3000+400+2000+300</f>
        <v>6500</v>
      </c>
      <c r="E50" s="5">
        <f>400+200+300+400+450+100+1450+2000+1200+1000</f>
        <v>7500</v>
      </c>
      <c r="F50" s="5">
        <f>2000+2700+1500</f>
        <v>6200</v>
      </c>
      <c r="G50" s="5">
        <v>0</v>
      </c>
      <c r="H50" s="6">
        <f>1000+200+200</f>
        <v>1400</v>
      </c>
    </row>
    <row r="51" spans="1:8" x14ac:dyDescent="0.25">
      <c r="A51" s="26"/>
      <c r="B51" s="9" t="s">
        <v>9</v>
      </c>
      <c r="C51" s="20">
        <f t="shared" si="6"/>
        <v>7450</v>
      </c>
      <c r="D51" s="8">
        <v>0</v>
      </c>
      <c r="E51" s="9">
        <f>950</f>
        <v>950</v>
      </c>
      <c r="F51" s="9">
        <v>0</v>
      </c>
      <c r="G51" s="9">
        <f>2000+4500</f>
        <v>6500</v>
      </c>
      <c r="H51" s="10">
        <v>0</v>
      </c>
    </row>
    <row r="52" spans="1:8" ht="15.75" thickBot="1" x14ac:dyDescent="0.3">
      <c r="A52" s="26"/>
      <c r="B52" s="13" t="s">
        <v>10</v>
      </c>
      <c r="C52" s="18">
        <f t="shared" si="6"/>
        <v>16594</v>
      </c>
      <c r="D52" s="12">
        <v>0</v>
      </c>
      <c r="E52" s="13">
        <f>1000+350+844+4000</f>
        <v>6194</v>
      </c>
      <c r="F52" s="13">
        <f>2000+1000+1000+200+200+4000+500+1500</f>
        <v>10400</v>
      </c>
      <c r="G52" s="13">
        <v>0</v>
      </c>
      <c r="H52" s="14">
        <v>0</v>
      </c>
    </row>
    <row r="53" spans="1:8" ht="15.75" thickBot="1" x14ac:dyDescent="0.3">
      <c r="A53" s="27"/>
      <c r="B53" s="15" t="s">
        <v>11</v>
      </c>
      <c r="C53" s="15"/>
      <c r="D53" s="15">
        <f>SUM(D50:D52)</f>
        <v>6500</v>
      </c>
      <c r="E53" s="15">
        <f>SUM(E50:E52)</f>
        <v>14644</v>
      </c>
      <c r="F53" s="15">
        <f>SUM(F50:F52)</f>
        <v>16600</v>
      </c>
      <c r="G53" s="15">
        <f>SUM(G50:G52)</f>
        <v>6500</v>
      </c>
      <c r="H53" s="16">
        <f>SUM(H50:H52)</f>
        <v>1400</v>
      </c>
    </row>
    <row r="54" spans="1:8" x14ac:dyDescent="0.25">
      <c r="A54" s="25">
        <v>16</v>
      </c>
      <c r="B54" s="5" t="s">
        <v>8</v>
      </c>
      <c r="C54" s="3">
        <f t="shared" si="6"/>
        <v>11204</v>
      </c>
      <c r="D54" s="4">
        <f>500+1000</f>
        <v>1500</v>
      </c>
      <c r="E54" s="5">
        <f>400+800+500+844+1000+1000+160</f>
        <v>4704</v>
      </c>
      <c r="F54" s="5">
        <f>1800+1200</f>
        <v>3000</v>
      </c>
      <c r="G54" s="5">
        <v>0</v>
      </c>
      <c r="H54" s="6">
        <f>1000+1000</f>
        <v>2000</v>
      </c>
    </row>
    <row r="55" spans="1:8" x14ac:dyDescent="0.25">
      <c r="A55" s="26"/>
      <c r="B55" s="9" t="s">
        <v>9</v>
      </c>
      <c r="C55" s="20">
        <f t="shared" si="6"/>
        <v>200</v>
      </c>
      <c r="D55" s="8">
        <v>0</v>
      </c>
      <c r="E55" s="9">
        <v>200</v>
      </c>
      <c r="F55" s="9">
        <v>0</v>
      </c>
      <c r="G55" s="9">
        <v>0</v>
      </c>
      <c r="H55" s="10">
        <v>0</v>
      </c>
    </row>
    <row r="56" spans="1:8" ht="15.75" thickBot="1" x14ac:dyDescent="0.3">
      <c r="A56" s="26"/>
      <c r="B56" s="13" t="s">
        <v>10</v>
      </c>
      <c r="C56" s="18">
        <f t="shared" si="6"/>
        <v>12400</v>
      </c>
      <c r="D56" s="12">
        <v>0</v>
      </c>
      <c r="E56" s="13">
        <f>400</f>
        <v>400</v>
      </c>
      <c r="F56" s="13">
        <f>800+1200+10000</f>
        <v>12000</v>
      </c>
      <c r="G56" s="13">
        <v>0</v>
      </c>
      <c r="H56" s="14">
        <v>0</v>
      </c>
    </row>
    <row r="57" spans="1:8" ht="15.75" thickBot="1" x14ac:dyDescent="0.3">
      <c r="A57" s="27"/>
      <c r="B57" s="15" t="s">
        <v>11</v>
      </c>
      <c r="C57" s="15"/>
      <c r="D57" s="15">
        <f>SUM(D54:D56)</f>
        <v>1500</v>
      </c>
      <c r="E57" s="15">
        <f>SUM(E54:E56)</f>
        <v>5304</v>
      </c>
      <c r="F57" s="15">
        <f>SUM(F54:F56)</f>
        <v>15000</v>
      </c>
      <c r="G57" s="15">
        <f>SUM(G54:G56)</f>
        <v>0</v>
      </c>
      <c r="H57" s="16">
        <f>SUM(H54:H56)</f>
        <v>2000</v>
      </c>
    </row>
    <row r="58" spans="1:8" x14ac:dyDescent="0.25">
      <c r="A58" s="25">
        <v>18</v>
      </c>
      <c r="B58" s="5" t="s">
        <v>8</v>
      </c>
      <c r="C58" s="3">
        <f t="shared" si="6"/>
        <v>14095</v>
      </c>
      <c r="D58" s="4">
        <f>1000+2000+600+600</f>
        <v>4200</v>
      </c>
      <c r="E58" s="5">
        <f>500+250+45+600+2000+2100</f>
        <v>5495</v>
      </c>
      <c r="F58" s="5">
        <f>2500+900</f>
        <v>3400</v>
      </c>
      <c r="G58" s="5">
        <v>0</v>
      </c>
      <c r="H58" s="6">
        <f>1000</f>
        <v>1000</v>
      </c>
    </row>
    <row r="59" spans="1:8" x14ac:dyDescent="0.25">
      <c r="A59" s="26"/>
      <c r="B59" s="9" t="s">
        <v>9</v>
      </c>
      <c r="C59" s="20">
        <f t="shared" si="6"/>
        <v>4200</v>
      </c>
      <c r="D59" s="8">
        <v>0</v>
      </c>
      <c r="E59" s="9">
        <f>300+900</f>
        <v>1200</v>
      </c>
      <c r="F59" s="9">
        <v>0</v>
      </c>
      <c r="G59" s="9">
        <f>2000+1000</f>
        <v>3000</v>
      </c>
      <c r="H59" s="10">
        <v>0</v>
      </c>
    </row>
    <row r="60" spans="1:8" ht="15.75" thickBot="1" x14ac:dyDescent="0.3">
      <c r="A60" s="26"/>
      <c r="B60" s="13" t="s">
        <v>10</v>
      </c>
      <c r="C60" s="18">
        <f t="shared" si="6"/>
        <v>10040</v>
      </c>
      <c r="D60" s="12">
        <v>0</v>
      </c>
      <c r="E60" s="13">
        <f>5000+300+50+1000+300</f>
        <v>6650</v>
      </c>
      <c r="F60" s="13">
        <f>3000+200+190</f>
        <v>3390</v>
      </c>
      <c r="G60" s="13">
        <v>0</v>
      </c>
      <c r="H60" s="14">
        <v>0</v>
      </c>
    </row>
    <row r="61" spans="1:8" ht="15.75" thickBot="1" x14ac:dyDescent="0.3">
      <c r="A61" s="27"/>
      <c r="B61" s="15" t="s">
        <v>11</v>
      </c>
      <c r="C61" s="15"/>
      <c r="D61" s="15">
        <f>SUM(D58:D60)</f>
        <v>4200</v>
      </c>
      <c r="E61" s="15">
        <f>SUM(E58:E60)</f>
        <v>13345</v>
      </c>
      <c r="F61" s="15">
        <f>SUM(F58:F60)</f>
        <v>6790</v>
      </c>
      <c r="G61" s="15">
        <f>SUM(G58:G60)</f>
        <v>3000</v>
      </c>
      <c r="H61" s="16">
        <f>SUM(H58:H60)</f>
        <v>1000</v>
      </c>
    </row>
    <row r="62" spans="1:8" x14ac:dyDescent="0.25">
      <c r="A62" s="25">
        <v>19</v>
      </c>
      <c r="B62" s="5" t="s">
        <v>8</v>
      </c>
      <c r="C62" s="3">
        <f t="shared" si="6"/>
        <v>21615</v>
      </c>
      <c r="D62" s="4">
        <f>1000+2000+600+3000+450</f>
        <v>7050</v>
      </c>
      <c r="E62" s="5">
        <f>500+200+400+600+100+480+2500+200+200+1100</f>
        <v>6280</v>
      </c>
      <c r="F62" s="5">
        <f>3385+1500+900</f>
        <v>5785</v>
      </c>
      <c r="G62" s="5">
        <v>0</v>
      </c>
      <c r="H62" s="6">
        <f>800+350+350+1000</f>
        <v>2500</v>
      </c>
    </row>
    <row r="63" spans="1:8" x14ac:dyDescent="0.25">
      <c r="A63" s="26"/>
      <c r="B63" s="9" t="s">
        <v>9</v>
      </c>
      <c r="C63" s="20">
        <f t="shared" si="6"/>
        <v>1200</v>
      </c>
      <c r="D63" s="8">
        <v>0</v>
      </c>
      <c r="E63" s="9">
        <f>400+600+200</f>
        <v>1200</v>
      </c>
      <c r="F63" s="9">
        <v>0</v>
      </c>
      <c r="G63" s="9">
        <v>0</v>
      </c>
      <c r="H63" s="10">
        <v>0</v>
      </c>
    </row>
    <row r="64" spans="1:8" ht="15.75" thickBot="1" x14ac:dyDescent="0.3">
      <c r="A64" s="26"/>
      <c r="B64" s="13" t="s">
        <v>10</v>
      </c>
      <c r="C64" s="18">
        <f t="shared" si="6"/>
        <v>18100</v>
      </c>
      <c r="D64" s="12">
        <v>0</v>
      </c>
      <c r="E64" s="13">
        <f>500+6000</f>
        <v>6500</v>
      </c>
      <c r="F64" s="13">
        <f>2000+1000+700+400+1500+3000+2000+1000</f>
        <v>11600</v>
      </c>
      <c r="G64" s="13">
        <v>0</v>
      </c>
      <c r="H64" s="14"/>
    </row>
    <row r="65" spans="1:8" ht="15.75" thickBot="1" x14ac:dyDescent="0.3">
      <c r="A65" s="27"/>
      <c r="B65" s="15" t="s">
        <v>11</v>
      </c>
      <c r="C65" s="15"/>
      <c r="D65" s="15">
        <f>SUM(D62:D64)</f>
        <v>7050</v>
      </c>
      <c r="E65" s="15">
        <f>SUM(E62:E64)</f>
        <v>13980</v>
      </c>
      <c r="F65" s="15">
        <f>SUM(F62:F64)</f>
        <v>17385</v>
      </c>
      <c r="G65" s="15">
        <f>SUM(G62:G64)</f>
        <v>0</v>
      </c>
      <c r="H65" s="16">
        <f>SUM(H62:H64)</f>
        <v>2500</v>
      </c>
    </row>
    <row r="66" spans="1:8" x14ac:dyDescent="0.25">
      <c r="A66" s="25">
        <v>20</v>
      </c>
      <c r="B66" s="5" t="s">
        <v>8</v>
      </c>
      <c r="C66" s="3">
        <f t="shared" si="6"/>
        <v>21220</v>
      </c>
      <c r="D66" s="4">
        <f>1000+3000+600+2000+600</f>
        <v>7200</v>
      </c>
      <c r="E66" s="5">
        <f>500+300+600+100+2500+1100</f>
        <v>5100</v>
      </c>
      <c r="F66" s="5">
        <f>600+1000+3900+1000</f>
        <v>6500</v>
      </c>
      <c r="G66" s="5">
        <v>0</v>
      </c>
      <c r="H66" s="6">
        <f>1000+1000+420</f>
        <v>2420</v>
      </c>
    </row>
    <row r="67" spans="1:8" x14ac:dyDescent="0.25">
      <c r="A67" s="26"/>
      <c r="B67" s="9" t="s">
        <v>9</v>
      </c>
      <c r="C67" s="20">
        <f t="shared" si="6"/>
        <v>9950</v>
      </c>
      <c r="D67" s="8">
        <v>0</v>
      </c>
      <c r="E67" s="9">
        <f>900+1200+400+250</f>
        <v>2750</v>
      </c>
      <c r="F67" s="9">
        <v>0</v>
      </c>
      <c r="G67" s="9">
        <f>3000+1000+3200</f>
        <v>7200</v>
      </c>
      <c r="H67" s="10">
        <v>0</v>
      </c>
    </row>
    <row r="68" spans="1:8" ht="15.75" thickBot="1" x14ac:dyDescent="0.3">
      <c r="A68" s="26"/>
      <c r="B68" s="13" t="s">
        <v>10</v>
      </c>
      <c r="C68" s="18">
        <f t="shared" si="6"/>
        <v>15950</v>
      </c>
      <c r="D68" s="12">
        <v>0</v>
      </c>
      <c r="E68" s="13">
        <f>600+4000+350+1000</f>
        <v>5950</v>
      </c>
      <c r="F68" s="13">
        <f>2000+1000+3000+3000+1000</f>
        <v>10000</v>
      </c>
      <c r="G68" s="13">
        <v>0</v>
      </c>
      <c r="H68" s="14">
        <v>0</v>
      </c>
    </row>
    <row r="69" spans="1:8" ht="15.75" thickBot="1" x14ac:dyDescent="0.3">
      <c r="A69" s="27"/>
      <c r="B69" s="15" t="s">
        <v>11</v>
      </c>
      <c r="C69" s="15"/>
      <c r="D69" s="15">
        <f>SUM(D66:D68)</f>
        <v>7200</v>
      </c>
      <c r="E69" s="15">
        <f>SUM(E66:E68)</f>
        <v>13800</v>
      </c>
      <c r="F69" s="15">
        <f>SUM(F66:F68)</f>
        <v>16500</v>
      </c>
      <c r="G69" s="15">
        <f>SUM(G66:G68)</f>
        <v>7200</v>
      </c>
      <c r="H69" s="16">
        <f>SUM(H66:H68)</f>
        <v>2420</v>
      </c>
    </row>
    <row r="70" spans="1:8" x14ac:dyDescent="0.25">
      <c r="A70" s="25">
        <v>21</v>
      </c>
      <c r="B70" s="5" t="s">
        <v>8</v>
      </c>
      <c r="C70" s="3">
        <f t="shared" si="6"/>
        <v>20445</v>
      </c>
      <c r="D70" s="4">
        <f>1000+3000+2000+500+1000</f>
        <v>7500</v>
      </c>
      <c r="E70" s="5">
        <f>500+400+45+100+2500+250+550+1100</f>
        <v>5445</v>
      </c>
      <c r="F70" s="5">
        <f>4100+1400+1000</f>
        <v>6500</v>
      </c>
      <c r="G70" s="5">
        <v>0</v>
      </c>
      <c r="H70" s="6">
        <f>1000</f>
        <v>1000</v>
      </c>
    </row>
    <row r="71" spans="1:8" x14ac:dyDescent="0.25">
      <c r="A71" s="26"/>
      <c r="B71" s="9" t="s">
        <v>9</v>
      </c>
      <c r="C71" s="20">
        <f t="shared" si="6"/>
        <v>5500</v>
      </c>
      <c r="D71" s="8">
        <v>0</v>
      </c>
      <c r="E71" s="9">
        <f>800+400+100</f>
        <v>1300</v>
      </c>
      <c r="F71" s="9">
        <v>0</v>
      </c>
      <c r="G71" s="9">
        <f>1000+3200</f>
        <v>4200</v>
      </c>
      <c r="H71" s="10">
        <v>0</v>
      </c>
    </row>
    <row r="72" spans="1:8" ht="15.75" thickBot="1" x14ac:dyDescent="0.3">
      <c r="A72" s="26"/>
      <c r="B72" s="13" t="s">
        <v>10</v>
      </c>
      <c r="C72" s="18">
        <f t="shared" si="6"/>
        <v>15100</v>
      </c>
      <c r="D72" s="12">
        <v>0</v>
      </c>
      <c r="E72" s="13">
        <f>500+5000+100+200</f>
        <v>5800</v>
      </c>
      <c r="F72" s="13">
        <f>1000+300+1000+3000+3000+1000</f>
        <v>9300</v>
      </c>
      <c r="G72" s="13">
        <v>0</v>
      </c>
      <c r="H72" s="14">
        <v>0</v>
      </c>
    </row>
    <row r="73" spans="1:8" ht="15.75" thickBot="1" x14ac:dyDescent="0.3">
      <c r="A73" s="27"/>
      <c r="B73" s="15" t="s">
        <v>11</v>
      </c>
      <c r="C73" s="15"/>
      <c r="D73" s="15">
        <f>SUM(D70:D72)</f>
        <v>7500</v>
      </c>
      <c r="E73" s="15">
        <f>SUM(E70:E72)</f>
        <v>12545</v>
      </c>
      <c r="F73" s="15">
        <f>SUM(F70:F72)</f>
        <v>15800</v>
      </c>
      <c r="G73" s="15">
        <f>SUM(G70:G72)</f>
        <v>4200</v>
      </c>
      <c r="H73" s="16">
        <f>SUM(H70:H72)</f>
        <v>1000</v>
      </c>
    </row>
    <row r="74" spans="1:8" x14ac:dyDescent="0.25">
      <c r="A74" s="25">
        <v>22</v>
      </c>
      <c r="B74" s="5" t="s">
        <v>8</v>
      </c>
      <c r="C74" s="3">
        <f t="shared" si="6"/>
        <v>20345</v>
      </c>
      <c r="D74" s="4">
        <f>5000+600+2000+400+1000</f>
        <v>9000</v>
      </c>
      <c r="E74" s="5">
        <f>500+320+45+450+950+2000</f>
        <v>4265</v>
      </c>
      <c r="F74" s="5">
        <f>1900+3600+180</f>
        <v>5680</v>
      </c>
      <c r="G74" s="5">
        <v>0</v>
      </c>
      <c r="H74" s="6">
        <f>1000+200+200</f>
        <v>1400</v>
      </c>
    </row>
    <row r="75" spans="1:8" x14ac:dyDescent="0.25">
      <c r="A75" s="26"/>
      <c r="B75" s="9" t="s">
        <v>9</v>
      </c>
      <c r="C75" s="20">
        <f t="shared" si="6"/>
        <v>5230</v>
      </c>
      <c r="D75" s="8">
        <v>0</v>
      </c>
      <c r="E75" s="9">
        <f>480+600+950</f>
        <v>2030</v>
      </c>
      <c r="F75" s="9">
        <v>0</v>
      </c>
      <c r="G75" s="9">
        <f>3200</f>
        <v>3200</v>
      </c>
      <c r="H75" s="10">
        <v>0</v>
      </c>
    </row>
    <row r="76" spans="1:8" ht="15.75" thickBot="1" x14ac:dyDescent="0.3">
      <c r="A76" s="26"/>
      <c r="B76" s="13" t="s">
        <v>10</v>
      </c>
      <c r="C76" s="18">
        <f t="shared" si="6"/>
        <v>17100</v>
      </c>
      <c r="D76" s="12">
        <v>0</v>
      </c>
      <c r="E76" s="13">
        <f>4000+350+50+100+1000+200</f>
        <v>5700</v>
      </c>
      <c r="F76" s="13">
        <f>2000+1000+1000+200+200+4000+3000</f>
        <v>11400</v>
      </c>
      <c r="G76" s="13">
        <v>0</v>
      </c>
      <c r="H76" s="14">
        <v>0</v>
      </c>
    </row>
    <row r="77" spans="1:8" ht="15.75" thickBot="1" x14ac:dyDescent="0.3">
      <c r="A77" s="27"/>
      <c r="B77" s="15" t="s">
        <v>11</v>
      </c>
      <c r="C77" s="15"/>
      <c r="D77" s="15">
        <f>SUM(D74:D76)</f>
        <v>9000</v>
      </c>
      <c r="E77" s="15">
        <f>SUM(E74:E76)</f>
        <v>11995</v>
      </c>
      <c r="F77" s="15">
        <f>SUM(F74:F76)</f>
        <v>17080</v>
      </c>
      <c r="G77" s="15">
        <f>SUM(G74:G76)</f>
        <v>3200</v>
      </c>
      <c r="H77" s="16">
        <f>SUM(H74:H76)</f>
        <v>1400</v>
      </c>
    </row>
    <row r="78" spans="1:8" x14ac:dyDescent="0.25">
      <c r="A78" s="25">
        <v>23</v>
      </c>
      <c r="B78" s="5" t="s">
        <v>8</v>
      </c>
      <c r="C78" s="3">
        <f t="shared" si="6"/>
        <v>0</v>
      </c>
      <c r="D78" s="4">
        <v>0</v>
      </c>
      <c r="E78" s="5">
        <v>0</v>
      </c>
      <c r="F78" s="5">
        <v>0</v>
      </c>
      <c r="G78" s="5">
        <v>0</v>
      </c>
      <c r="H78" s="6">
        <v>0</v>
      </c>
    </row>
    <row r="79" spans="1:8" x14ac:dyDescent="0.25">
      <c r="A79" s="26"/>
      <c r="B79" s="9" t="s">
        <v>9</v>
      </c>
      <c r="C79" s="20">
        <f t="shared" si="6"/>
        <v>0</v>
      </c>
      <c r="D79" s="8">
        <v>0</v>
      </c>
      <c r="E79" s="9">
        <v>0</v>
      </c>
      <c r="F79" s="9">
        <v>0</v>
      </c>
      <c r="G79" s="9">
        <v>0</v>
      </c>
      <c r="H79" s="10">
        <v>0</v>
      </c>
    </row>
    <row r="80" spans="1:8" ht="15.75" thickBot="1" x14ac:dyDescent="0.3">
      <c r="A80" s="26"/>
      <c r="B80" s="13" t="s">
        <v>10</v>
      </c>
      <c r="C80" s="18">
        <f t="shared" si="6"/>
        <v>10500</v>
      </c>
      <c r="D80" s="12">
        <v>0</v>
      </c>
      <c r="E80" s="13">
        <f>500</f>
        <v>500</v>
      </c>
      <c r="F80" s="13">
        <f>3000+3000+4000</f>
        <v>10000</v>
      </c>
      <c r="G80" s="13">
        <v>0</v>
      </c>
      <c r="H80" s="14">
        <v>0</v>
      </c>
    </row>
    <row r="81" spans="1:8" ht="15.75" thickBot="1" x14ac:dyDescent="0.3">
      <c r="A81" s="27"/>
      <c r="B81" s="15" t="s">
        <v>11</v>
      </c>
      <c r="C81" s="15"/>
      <c r="D81" s="15">
        <f>SUM(D78:D80)</f>
        <v>0</v>
      </c>
      <c r="E81" s="15">
        <f>SUM(E78:E80)</f>
        <v>500</v>
      </c>
      <c r="F81" s="15">
        <f>SUM(F78:F80)</f>
        <v>10000</v>
      </c>
      <c r="G81" s="15">
        <f>SUM(G78:G80)</f>
        <v>0</v>
      </c>
      <c r="H81" s="16">
        <f>SUM(H78:H80)</f>
        <v>0</v>
      </c>
    </row>
    <row r="82" spans="1:8" x14ac:dyDescent="0.25">
      <c r="A82" s="25">
        <v>25</v>
      </c>
      <c r="B82" s="5" t="s">
        <v>8</v>
      </c>
      <c r="C82" s="3">
        <f t="shared" si="6"/>
        <v>13374</v>
      </c>
      <c r="D82" s="4">
        <f>1000+2000+600+2000+500+450</f>
        <v>6550</v>
      </c>
      <c r="E82" s="5">
        <f>1100+140+844+100+600+500+90+250+500</f>
        <v>4124</v>
      </c>
      <c r="F82" s="5">
        <f>1000</f>
        <v>1000</v>
      </c>
      <c r="G82" s="5">
        <v>0</v>
      </c>
      <c r="H82" s="6">
        <f>1000+700</f>
        <v>1700</v>
      </c>
    </row>
    <row r="83" spans="1:8" x14ac:dyDescent="0.25">
      <c r="A83" s="26"/>
      <c r="B83" s="9" t="s">
        <v>9</v>
      </c>
      <c r="C83" s="20">
        <f t="shared" si="6"/>
        <v>4000</v>
      </c>
      <c r="D83" s="8">
        <v>0</v>
      </c>
      <c r="E83" s="9">
        <f>400</f>
        <v>400</v>
      </c>
      <c r="F83" s="9">
        <v>0</v>
      </c>
      <c r="G83" s="9">
        <f>3600</f>
        <v>3600</v>
      </c>
      <c r="H83" s="10">
        <v>0</v>
      </c>
    </row>
    <row r="84" spans="1:8" ht="15.75" thickBot="1" x14ac:dyDescent="0.3">
      <c r="A84" s="26"/>
      <c r="B84" s="13" t="s">
        <v>10</v>
      </c>
      <c r="C84" s="18">
        <f t="shared" si="6"/>
        <v>10260</v>
      </c>
      <c r="D84" s="12">
        <v>0</v>
      </c>
      <c r="E84" s="13">
        <f>130+280+200+50+3000</f>
        <v>3660</v>
      </c>
      <c r="F84" s="13">
        <f>1000+300+300+2000+2000+1000</f>
        <v>6600</v>
      </c>
      <c r="G84" s="13">
        <v>0</v>
      </c>
      <c r="H84" s="14">
        <v>0</v>
      </c>
    </row>
    <row r="85" spans="1:8" ht="15.75" thickBot="1" x14ac:dyDescent="0.3">
      <c r="A85" s="27"/>
      <c r="B85" s="15" t="s">
        <v>11</v>
      </c>
      <c r="C85" s="15"/>
      <c r="D85" s="15">
        <f>SUM(D82:D84)</f>
        <v>6550</v>
      </c>
      <c r="E85" s="15">
        <f>SUM(E82:E84)</f>
        <v>8184</v>
      </c>
      <c r="F85" s="15">
        <f>SUM(F82:F84)</f>
        <v>7600</v>
      </c>
      <c r="G85" s="15">
        <f>SUM(G82:G84)</f>
        <v>3600</v>
      </c>
      <c r="H85" s="16">
        <f>SUM(H82:H84)</f>
        <v>1700</v>
      </c>
    </row>
    <row r="86" spans="1:8" x14ac:dyDescent="0.25">
      <c r="A86" s="25">
        <v>26</v>
      </c>
      <c r="B86" s="5" t="s">
        <v>8</v>
      </c>
      <c r="C86" s="3">
        <f t="shared" si="6"/>
        <v>20622</v>
      </c>
      <c r="D86" s="4">
        <f>2000+5000+800</f>
        <v>7800</v>
      </c>
      <c r="E86" s="5">
        <f>1600+200+2000+2622+100+600+400+500</f>
        <v>8022</v>
      </c>
      <c r="F86" s="5">
        <f>1800+1000</f>
        <v>2800</v>
      </c>
      <c r="G86" s="5">
        <v>0</v>
      </c>
      <c r="H86" s="6">
        <f>1000+1000</f>
        <v>2000</v>
      </c>
    </row>
    <row r="87" spans="1:8" x14ac:dyDescent="0.25">
      <c r="A87" s="26"/>
      <c r="B87" s="9" t="s">
        <v>9</v>
      </c>
      <c r="C87" s="20">
        <f t="shared" si="6"/>
        <v>3280</v>
      </c>
      <c r="D87" s="8">
        <v>0</v>
      </c>
      <c r="E87" s="9">
        <f>380+600+300+1000</f>
        <v>2280</v>
      </c>
      <c r="F87" s="9">
        <v>0</v>
      </c>
      <c r="G87" s="9">
        <f>1000</f>
        <v>1000</v>
      </c>
      <c r="H87" s="10">
        <v>0</v>
      </c>
    </row>
    <row r="88" spans="1:8" ht="15.75" thickBot="1" x14ac:dyDescent="0.3">
      <c r="A88" s="26"/>
      <c r="B88" s="13" t="s">
        <v>10</v>
      </c>
      <c r="C88" s="18">
        <f t="shared" si="6"/>
        <v>14700</v>
      </c>
      <c r="D88" s="12">
        <v>0</v>
      </c>
      <c r="E88" s="13">
        <f>1000+200+100+3000+600</f>
        <v>4900</v>
      </c>
      <c r="F88" s="13">
        <f>2000+1000+500+1500+300+2000+1500+1000</f>
        <v>9800</v>
      </c>
      <c r="G88" s="13">
        <v>0</v>
      </c>
      <c r="H88" s="14">
        <v>0</v>
      </c>
    </row>
    <row r="89" spans="1:8" ht="15.75" thickBot="1" x14ac:dyDescent="0.3">
      <c r="A89" s="27"/>
      <c r="B89" s="15" t="s">
        <v>11</v>
      </c>
      <c r="C89" s="15"/>
      <c r="D89" s="15">
        <f>SUM(D86:D88)</f>
        <v>7800</v>
      </c>
      <c r="E89" s="15">
        <f>SUM(E86:E88)</f>
        <v>15202</v>
      </c>
      <c r="F89" s="15">
        <f>SUM(F86:F88)</f>
        <v>12600</v>
      </c>
      <c r="G89" s="15">
        <f>SUM(G86:G88)</f>
        <v>1000</v>
      </c>
      <c r="H89" s="16">
        <f>SUM(H86:H88)</f>
        <v>2000</v>
      </c>
    </row>
    <row r="90" spans="1:8" x14ac:dyDescent="0.25">
      <c r="A90" s="25">
        <v>27</v>
      </c>
      <c r="B90" s="5" t="s">
        <v>8</v>
      </c>
      <c r="C90" s="3">
        <f t="shared" ref="C90:C96" si="13">SUM(D90:H90)</f>
        <v>18775</v>
      </c>
      <c r="D90" s="4">
        <f>4000+800+4000+500+1000</f>
        <v>10300</v>
      </c>
      <c r="E90" s="5">
        <f>500+300+350+1100</f>
        <v>2250</v>
      </c>
      <c r="F90" s="5">
        <f>600+2000+1000</f>
        <v>3600</v>
      </c>
      <c r="G90" s="5">
        <v>0</v>
      </c>
      <c r="H90" s="6">
        <f>1000+1000+625</f>
        <v>2625</v>
      </c>
    </row>
    <row r="91" spans="1:8" x14ac:dyDescent="0.25">
      <c r="A91" s="26"/>
      <c r="B91" s="9" t="s">
        <v>9</v>
      </c>
      <c r="C91" s="20">
        <f t="shared" si="13"/>
        <v>8750</v>
      </c>
      <c r="D91" s="8">
        <v>0</v>
      </c>
      <c r="E91" s="9">
        <f>350+400</f>
        <v>750</v>
      </c>
      <c r="F91" s="9">
        <v>0</v>
      </c>
      <c r="G91" s="9">
        <f>3000+1500+3500</f>
        <v>8000</v>
      </c>
      <c r="H91" s="10">
        <v>0</v>
      </c>
    </row>
    <row r="92" spans="1:8" ht="15.75" thickBot="1" x14ac:dyDescent="0.3">
      <c r="A92" s="26"/>
      <c r="B92" s="13" t="s">
        <v>10</v>
      </c>
      <c r="C92" s="18">
        <f t="shared" si="13"/>
        <v>14000</v>
      </c>
      <c r="D92" s="12">
        <v>0</v>
      </c>
      <c r="E92" s="13">
        <f>3000+350+1000+350</f>
        <v>4700</v>
      </c>
      <c r="F92" s="13">
        <f>2000+1500+300+3000+1500+1000</f>
        <v>9300</v>
      </c>
      <c r="G92" s="13">
        <v>0</v>
      </c>
      <c r="H92" s="14">
        <v>0</v>
      </c>
    </row>
    <row r="93" spans="1:8" ht="15.75" thickBot="1" x14ac:dyDescent="0.3">
      <c r="A93" s="27"/>
      <c r="B93" s="15" t="s">
        <v>11</v>
      </c>
      <c r="C93" s="15"/>
      <c r="D93" s="15">
        <f>SUM(D90:D92)</f>
        <v>10300</v>
      </c>
      <c r="E93" s="15">
        <f>SUM(E90:E92)</f>
        <v>7700</v>
      </c>
      <c r="F93" s="15">
        <f>SUM(F90:F92)</f>
        <v>12900</v>
      </c>
      <c r="G93" s="15">
        <f>SUM(G90:G92)</f>
        <v>8000</v>
      </c>
      <c r="H93" s="16">
        <f>SUM(H90:H92)</f>
        <v>2625</v>
      </c>
    </row>
    <row r="94" spans="1:8" x14ac:dyDescent="0.25">
      <c r="A94" s="25">
        <v>28</v>
      </c>
      <c r="B94" s="5" t="s">
        <v>8</v>
      </c>
      <c r="C94" s="3">
        <f t="shared" si="13"/>
        <v>16422</v>
      </c>
      <c r="D94" s="4">
        <f>1700+3000+2000+600</f>
        <v>7300</v>
      </c>
      <c r="E94" s="5">
        <f>500+850+45+450+500+100+500+1289+100+350</f>
        <v>4684</v>
      </c>
      <c r="F94" s="5">
        <f>2000+1000</f>
        <v>3000</v>
      </c>
      <c r="G94" s="5">
        <v>0</v>
      </c>
      <c r="H94" s="6">
        <f>1000+438</f>
        <v>1438</v>
      </c>
    </row>
    <row r="95" spans="1:8" x14ac:dyDescent="0.25">
      <c r="A95" s="26"/>
      <c r="B95" s="9" t="s">
        <v>9</v>
      </c>
      <c r="C95" s="20">
        <f t="shared" si="13"/>
        <v>9980</v>
      </c>
      <c r="D95" s="8">
        <v>0</v>
      </c>
      <c r="E95" s="9">
        <f>580+650+150+1000</f>
        <v>2380</v>
      </c>
      <c r="F95" s="9">
        <v>0</v>
      </c>
      <c r="G95" s="9">
        <f>2000+2000+3600</f>
        <v>7600</v>
      </c>
      <c r="H95" s="10">
        <v>0</v>
      </c>
    </row>
    <row r="96" spans="1:8" ht="15.75" thickBot="1" x14ac:dyDescent="0.3">
      <c r="A96" s="26"/>
      <c r="B96" s="13" t="s">
        <v>10</v>
      </c>
      <c r="C96" s="18">
        <f t="shared" si="13"/>
        <v>13980</v>
      </c>
      <c r="D96" s="12">
        <v>0</v>
      </c>
      <c r="E96" s="13">
        <f>500+600+80+200</f>
        <v>1380</v>
      </c>
      <c r="F96" s="13">
        <f>4000+1000+300+1000+300+3000+2000+1000</f>
        <v>12600</v>
      </c>
      <c r="G96" s="13">
        <v>0</v>
      </c>
      <c r="H96" s="14">
        <v>0</v>
      </c>
    </row>
    <row r="97" spans="1:8" ht="15.75" thickBot="1" x14ac:dyDescent="0.3">
      <c r="A97" s="27"/>
      <c r="B97" s="15" t="s">
        <v>11</v>
      </c>
      <c r="C97" s="15"/>
      <c r="D97" s="15">
        <f>SUM(D94:D96)</f>
        <v>7300</v>
      </c>
      <c r="E97" s="15">
        <f>SUM(E94:E96)</f>
        <v>8444</v>
      </c>
      <c r="F97" s="15">
        <f>SUM(F94:F96)</f>
        <v>15600</v>
      </c>
      <c r="G97" s="15">
        <f>SUM(G94:G96)</f>
        <v>7600</v>
      </c>
      <c r="H97" s="16">
        <f>SUM(H94:H96)</f>
        <v>1438</v>
      </c>
    </row>
    <row r="98" spans="1:8" x14ac:dyDescent="0.25">
      <c r="A98" s="28">
        <v>29</v>
      </c>
      <c r="B98" s="29" t="s">
        <v>8</v>
      </c>
      <c r="C98" s="3">
        <f t="shared" ref="C98:C100" si="14">SUM(D98:H98)</f>
        <v>19900</v>
      </c>
      <c r="D98" s="5">
        <f>4000+1000+4000+1250</f>
        <v>10250</v>
      </c>
      <c r="E98" s="5">
        <f>270+280+500+200+500+1000+1200+1500</f>
        <v>5450</v>
      </c>
      <c r="F98" s="5">
        <f>1500+1200</f>
        <v>2700</v>
      </c>
      <c r="G98" s="5">
        <v>0</v>
      </c>
      <c r="H98" s="6">
        <f>500+1000</f>
        <v>1500</v>
      </c>
    </row>
    <row r="99" spans="1:8" x14ac:dyDescent="0.25">
      <c r="A99" s="30"/>
      <c r="B99" s="31" t="s">
        <v>9</v>
      </c>
      <c r="C99" s="7">
        <f t="shared" si="14"/>
        <v>7600</v>
      </c>
      <c r="D99" s="9">
        <v>0</v>
      </c>
      <c r="E99" s="9">
        <f>500+800+1200+300</f>
        <v>2800</v>
      </c>
      <c r="F99" s="9">
        <v>0</v>
      </c>
      <c r="G99" s="9">
        <f>1000+800+3000</f>
        <v>4800</v>
      </c>
      <c r="H99" s="10">
        <v>0</v>
      </c>
    </row>
    <row r="100" spans="1:8" ht="15.75" thickBot="1" x14ac:dyDescent="0.3">
      <c r="A100" s="30"/>
      <c r="B100" s="32" t="s">
        <v>10</v>
      </c>
      <c r="C100" s="11">
        <f t="shared" si="14"/>
        <v>17035</v>
      </c>
      <c r="D100" s="13">
        <v>0</v>
      </c>
      <c r="E100" s="13">
        <f>400+2000+400+400+60+200+375</f>
        <v>3835</v>
      </c>
      <c r="F100" s="13">
        <f>1000+200+1500+3000+500+5000+1000+1000</f>
        <v>13200</v>
      </c>
      <c r="G100" s="13">
        <v>0</v>
      </c>
      <c r="H100" s="14">
        <v>0</v>
      </c>
    </row>
    <row r="101" spans="1:8" ht="15.75" thickBot="1" x14ac:dyDescent="0.3">
      <c r="A101" s="33"/>
      <c r="B101" s="34" t="s">
        <v>11</v>
      </c>
      <c r="C101" s="15"/>
      <c r="D101" s="15">
        <f>SUM(D98:D100)</f>
        <v>10250</v>
      </c>
      <c r="E101" s="15">
        <f>SUM(E98:E100)</f>
        <v>12085</v>
      </c>
      <c r="F101" s="15">
        <f>SUM(F98:F100)</f>
        <v>15900</v>
      </c>
      <c r="G101" s="15">
        <f>SUM(G98:G100)</f>
        <v>4800</v>
      </c>
      <c r="H101" s="16">
        <f>SUM(H98:H100)</f>
        <v>1500</v>
      </c>
    </row>
    <row r="102" spans="1:8" x14ac:dyDescent="0.25">
      <c r="A102" s="28">
        <v>30</v>
      </c>
      <c r="B102" s="35" t="s">
        <v>8</v>
      </c>
      <c r="C102" s="20">
        <f t="shared" ref="C102:C104" si="15">SUM(D102:H102)</f>
        <v>6864</v>
      </c>
      <c r="D102" s="21">
        <v>0</v>
      </c>
      <c r="E102" s="22">
        <f>1100</f>
        <v>1100</v>
      </c>
      <c r="F102" s="22">
        <f>2564+2400</f>
        <v>4964</v>
      </c>
      <c r="G102" s="22">
        <v>0</v>
      </c>
      <c r="H102" s="23">
        <f>800</f>
        <v>800</v>
      </c>
    </row>
    <row r="103" spans="1:8" x14ac:dyDescent="0.25">
      <c r="A103" s="30"/>
      <c r="B103" s="31" t="s">
        <v>9</v>
      </c>
      <c r="C103" s="7">
        <f t="shared" si="15"/>
        <v>0</v>
      </c>
      <c r="D103" s="8">
        <v>0</v>
      </c>
      <c r="E103" s="9">
        <v>0</v>
      </c>
      <c r="F103" s="9">
        <v>0</v>
      </c>
      <c r="G103" s="9">
        <v>0</v>
      </c>
      <c r="H103" s="10">
        <v>0</v>
      </c>
    </row>
    <row r="104" spans="1:8" ht="15.75" thickBot="1" x14ac:dyDescent="0.3">
      <c r="A104" s="30"/>
      <c r="B104" s="32" t="s">
        <v>10</v>
      </c>
      <c r="C104" s="11">
        <f t="shared" si="15"/>
        <v>6300</v>
      </c>
      <c r="D104" s="12">
        <v>0</v>
      </c>
      <c r="E104" s="13">
        <f>0</f>
        <v>0</v>
      </c>
      <c r="F104" s="13">
        <f>3000+800+2500</f>
        <v>6300</v>
      </c>
      <c r="G104" s="13">
        <v>0</v>
      </c>
      <c r="H104" s="14">
        <v>0</v>
      </c>
    </row>
    <row r="105" spans="1:8" ht="15.75" thickBot="1" x14ac:dyDescent="0.3">
      <c r="A105" s="33"/>
      <c r="B105" s="34" t="s">
        <v>11</v>
      </c>
      <c r="C105" s="15"/>
      <c r="D105" s="15">
        <f>SUM(D102:D104)</f>
        <v>0</v>
      </c>
      <c r="E105" s="15">
        <f>SUM(E102:E104)</f>
        <v>1100</v>
      </c>
      <c r="F105" s="15">
        <f>SUM(F102:F104)</f>
        <v>11264</v>
      </c>
      <c r="G105" s="15">
        <f>SUM(G102:G104)</f>
        <v>0</v>
      </c>
      <c r="H105" s="16">
        <f>SUM(H102:H104)</f>
        <v>800</v>
      </c>
    </row>
  </sheetData>
  <mergeCells count="26">
    <mergeCell ref="A98:A101"/>
    <mergeCell ref="A102:A105"/>
    <mergeCell ref="A74:A77"/>
    <mergeCell ref="A78:A81"/>
    <mergeCell ref="A82:A85"/>
    <mergeCell ref="A86:A89"/>
    <mergeCell ref="A90:A93"/>
    <mergeCell ref="A94:A97"/>
    <mergeCell ref="A50:A53"/>
    <mergeCell ref="A54:A57"/>
    <mergeCell ref="A58:A61"/>
    <mergeCell ref="A62:A65"/>
    <mergeCell ref="A66:A69"/>
    <mergeCell ref="A70:A73"/>
    <mergeCell ref="A26:A29"/>
    <mergeCell ref="A30:A33"/>
    <mergeCell ref="A34:A37"/>
    <mergeCell ref="A38:A41"/>
    <mergeCell ref="A42:A45"/>
    <mergeCell ref="A46:A4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C7B4-A117-499A-B3CE-67A4524E0C08}">
  <dimension ref="A1:H109"/>
  <sheetViews>
    <sheetView tabSelected="1" workbookViewId="0">
      <selection activeCell="K5" sqref="K5"/>
    </sheetView>
  </sheetViews>
  <sheetFormatPr baseColWidth="10" defaultRowHeight="15" x14ac:dyDescent="0.25"/>
  <cols>
    <col min="1" max="1" width="8.28515625" bestFit="1" customWidth="1"/>
    <col min="2" max="2" width="16.85546875" bestFit="1" customWidth="1"/>
    <col min="3" max="3" width="17.85546875" bestFit="1" customWidth="1"/>
    <col min="4" max="4" width="20.140625" bestFit="1" customWidth="1"/>
    <col min="5" max="7" width="16.140625" bestFit="1" customWidth="1"/>
    <col min="8" max="8" width="17.42578125" bestFit="1" customWidth="1"/>
  </cols>
  <sheetData>
    <row r="1" spans="1:8" ht="15.75" thickBot="1" x14ac:dyDescent="0.3">
      <c r="A1" s="24" t="s">
        <v>6</v>
      </c>
      <c r="B1" s="1" t="s">
        <v>7</v>
      </c>
      <c r="C1" s="1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2" t="s">
        <v>5</v>
      </c>
    </row>
    <row r="2" spans="1:8" x14ac:dyDescent="0.25">
      <c r="A2" s="25">
        <v>1</v>
      </c>
      <c r="B2" s="5" t="s">
        <v>8</v>
      </c>
      <c r="C2" s="3">
        <f t="shared" ref="C2:C6" si="0">SUM(D2:H2)</f>
        <v>22682</v>
      </c>
      <c r="D2" s="4">
        <f>1000+3000+3000+1000</f>
        <v>8000</v>
      </c>
      <c r="E2" s="5">
        <f>600+400+90+400+450+1000+1289+1000+200+1086</f>
        <v>6515</v>
      </c>
      <c r="F2" s="5">
        <f>1500+2500+500+500</f>
        <v>5000</v>
      </c>
      <c r="G2" s="5">
        <f>600</f>
        <v>600</v>
      </c>
      <c r="H2" s="6">
        <f>500+667+400+1000</f>
        <v>2567</v>
      </c>
    </row>
    <row r="3" spans="1:8" x14ac:dyDescent="0.25">
      <c r="A3" s="26"/>
      <c r="B3" s="9" t="s">
        <v>9</v>
      </c>
      <c r="C3" s="7">
        <f t="shared" si="0"/>
        <v>10220</v>
      </c>
      <c r="D3" s="8">
        <v>0</v>
      </c>
      <c r="E3" s="9">
        <f>120+750+1000+400+950</f>
        <v>3220</v>
      </c>
      <c r="F3" s="9">
        <v>0</v>
      </c>
      <c r="G3" s="9">
        <f>2000+1500+3500</f>
        <v>7000</v>
      </c>
      <c r="H3" s="10">
        <v>0</v>
      </c>
    </row>
    <row r="4" spans="1:8" ht="15.75" thickBot="1" x14ac:dyDescent="0.3">
      <c r="A4" s="26"/>
      <c r="B4" s="13" t="s">
        <v>10</v>
      </c>
      <c r="C4" s="11">
        <f t="shared" si="0"/>
        <v>18700</v>
      </c>
      <c r="D4" s="12">
        <v>0</v>
      </c>
      <c r="E4" s="13">
        <f>900+2000+400+1000</f>
        <v>4300</v>
      </c>
      <c r="F4" s="13">
        <f>800+400+150+3000+500+4000+600+350+600+3000+1000</f>
        <v>14400</v>
      </c>
      <c r="G4" s="13">
        <v>0</v>
      </c>
      <c r="H4" s="14">
        <v>0</v>
      </c>
    </row>
    <row r="5" spans="1:8" ht="15.75" thickBot="1" x14ac:dyDescent="0.3">
      <c r="A5" s="27"/>
      <c r="B5" s="15" t="s">
        <v>11</v>
      </c>
      <c r="C5" s="15"/>
      <c r="D5" s="15">
        <f t="shared" ref="D5" si="1">SUM(D2:D4)</f>
        <v>8000</v>
      </c>
      <c r="E5" s="15">
        <f>SUM(E2:E4)</f>
        <v>14035</v>
      </c>
      <c r="F5" s="15">
        <f t="shared" ref="F5:H5" si="2">SUM(F2:F4)</f>
        <v>19400</v>
      </c>
      <c r="G5" s="15">
        <f t="shared" si="2"/>
        <v>7600</v>
      </c>
      <c r="H5" s="16">
        <f t="shared" si="2"/>
        <v>2567</v>
      </c>
    </row>
    <row r="6" spans="1:8" x14ac:dyDescent="0.25">
      <c r="A6" s="25">
        <v>2</v>
      </c>
      <c r="B6" s="5" t="s">
        <v>8</v>
      </c>
      <c r="C6" s="17">
        <f t="shared" si="0"/>
        <v>21748</v>
      </c>
      <c r="D6" s="4">
        <f>7000+1700+1000</f>
        <v>9700</v>
      </c>
      <c r="E6" s="5">
        <f>600+100+300+400+500+100+1289+2000+250+1086</f>
        <v>6625</v>
      </c>
      <c r="F6" s="5">
        <f>1500+500+500</f>
        <v>2500</v>
      </c>
      <c r="G6" s="5">
        <v>1333</v>
      </c>
      <c r="H6" s="6">
        <f>800+190+600</f>
        <v>1590</v>
      </c>
    </row>
    <row r="7" spans="1:8" x14ac:dyDescent="0.25">
      <c r="A7" s="26"/>
      <c r="B7" s="9" t="s">
        <v>9</v>
      </c>
      <c r="C7" s="7">
        <f t="shared" ref="C7:C8" si="3">SUM(D7:H7)</f>
        <v>4970</v>
      </c>
      <c r="D7" s="8">
        <v>0</v>
      </c>
      <c r="E7" s="9">
        <f>800+650+200+150+470+700</f>
        <v>2970</v>
      </c>
      <c r="F7" s="9">
        <v>0</v>
      </c>
      <c r="G7" s="9">
        <f>2000</f>
        <v>2000</v>
      </c>
      <c r="H7" s="10">
        <v>0</v>
      </c>
    </row>
    <row r="8" spans="1:8" ht="15.75" thickBot="1" x14ac:dyDescent="0.3">
      <c r="A8" s="26"/>
      <c r="B8" s="13" t="s">
        <v>10</v>
      </c>
      <c r="C8" s="18">
        <f t="shared" si="3"/>
        <v>18450</v>
      </c>
      <c r="D8" s="12">
        <v>0</v>
      </c>
      <c r="E8" s="13">
        <f>2000+500+500+200</f>
        <v>3200</v>
      </c>
      <c r="F8" s="13">
        <f>2000+1000+200+150+3000+500+5000+400+1500+1500</f>
        <v>15250</v>
      </c>
      <c r="G8" s="13">
        <v>0</v>
      </c>
      <c r="H8" s="14">
        <v>0</v>
      </c>
    </row>
    <row r="9" spans="1:8" ht="15.75" thickBot="1" x14ac:dyDescent="0.3">
      <c r="A9" s="27"/>
      <c r="B9" s="15" t="s">
        <v>11</v>
      </c>
      <c r="C9" s="15"/>
      <c r="D9" s="15">
        <f t="shared" ref="D9" si="4">SUM(D6:D8)</f>
        <v>9700</v>
      </c>
      <c r="E9" s="15">
        <f>SUM(E6:E8)</f>
        <v>12795</v>
      </c>
      <c r="F9" s="15">
        <f t="shared" ref="F9:H9" si="5">SUM(F6:F8)</f>
        <v>17750</v>
      </c>
      <c r="G9" s="15">
        <f t="shared" si="5"/>
        <v>3333</v>
      </c>
      <c r="H9" s="16">
        <f t="shared" si="5"/>
        <v>1590</v>
      </c>
    </row>
    <row r="10" spans="1:8" x14ac:dyDescent="0.25">
      <c r="A10" s="25">
        <v>3</v>
      </c>
      <c r="B10" s="5" t="s">
        <v>8</v>
      </c>
      <c r="C10" s="3">
        <f>SUM(D10:H10)</f>
        <v>20033</v>
      </c>
      <c r="D10" s="4">
        <f>700+1000+500</f>
        <v>2200</v>
      </c>
      <c r="E10" s="5">
        <f>144+500+2000+160</f>
        <v>2804</v>
      </c>
      <c r="F10" s="5">
        <f>1500+2400+400+83+267+1200</f>
        <v>5850</v>
      </c>
      <c r="G10" s="5">
        <f>3400+2815</f>
        <v>6215</v>
      </c>
      <c r="H10" s="6">
        <f>800+444+700+320+700</f>
        <v>2964</v>
      </c>
    </row>
    <row r="11" spans="1:8" x14ac:dyDescent="0.25">
      <c r="A11" s="26"/>
      <c r="B11" s="9" t="s">
        <v>9</v>
      </c>
      <c r="C11" s="7">
        <f t="shared" ref="C11:C92" si="6">SUM(D11:H11)</f>
        <v>9220</v>
      </c>
      <c r="D11" s="8">
        <v>0</v>
      </c>
      <c r="E11" s="19">
        <f>200+800+950+370+700</f>
        <v>3020</v>
      </c>
      <c r="F11" s="9">
        <v>0</v>
      </c>
      <c r="G11" s="9">
        <f>2000+1000+1500+1700</f>
        <v>6200</v>
      </c>
      <c r="H11" s="10">
        <v>0</v>
      </c>
    </row>
    <row r="12" spans="1:8" ht="15.75" thickBot="1" x14ac:dyDescent="0.3">
      <c r="A12" s="26"/>
      <c r="B12" s="13" t="s">
        <v>10</v>
      </c>
      <c r="C12" s="11">
        <f t="shared" si="6"/>
        <v>18300</v>
      </c>
      <c r="D12" s="12">
        <v>0</v>
      </c>
      <c r="E12" s="13">
        <f>600+2000+400+100</f>
        <v>3100</v>
      </c>
      <c r="F12" s="13">
        <f>2000+1000+700+400+1000+1000+700+4000+600+400+400+1500+1500</f>
        <v>15200</v>
      </c>
      <c r="G12" s="13">
        <v>0</v>
      </c>
      <c r="H12" s="14">
        <v>0</v>
      </c>
    </row>
    <row r="13" spans="1:8" ht="15.75" thickBot="1" x14ac:dyDescent="0.3">
      <c r="A13" s="27"/>
      <c r="B13" s="15" t="s">
        <v>11</v>
      </c>
      <c r="C13" s="15"/>
      <c r="D13" s="15">
        <f t="shared" ref="D13" si="7">SUM(D10:D12)</f>
        <v>2200</v>
      </c>
      <c r="E13" s="15">
        <f>SUM(E10:E12)</f>
        <v>8924</v>
      </c>
      <c r="F13" s="15">
        <f t="shared" ref="F13:H13" si="8">SUM(F10:F12)</f>
        <v>21050</v>
      </c>
      <c r="G13" s="15">
        <f t="shared" si="8"/>
        <v>12415</v>
      </c>
      <c r="H13" s="16">
        <f t="shared" si="8"/>
        <v>2964</v>
      </c>
    </row>
    <row r="14" spans="1:8" x14ac:dyDescent="0.25">
      <c r="A14" s="25">
        <v>4</v>
      </c>
      <c r="B14" s="5" t="s">
        <v>8</v>
      </c>
      <c r="C14" s="3">
        <f t="shared" si="6"/>
        <v>14870</v>
      </c>
      <c r="D14" s="4">
        <f>2000+1200</f>
        <v>3200</v>
      </c>
      <c r="E14" s="5">
        <f>70+280+400+260+200+850+1500+1000+560</f>
        <v>5120</v>
      </c>
      <c r="F14" s="5">
        <f>1500+2500</f>
        <v>4000</v>
      </c>
      <c r="G14" s="5">
        <v>0</v>
      </c>
      <c r="H14" s="6">
        <f>1000+450+300+800</f>
        <v>2550</v>
      </c>
    </row>
    <row r="15" spans="1:8" x14ac:dyDescent="0.25">
      <c r="A15" s="26"/>
      <c r="B15" s="9" t="s">
        <v>9</v>
      </c>
      <c r="C15" s="20">
        <f t="shared" si="6"/>
        <v>7830</v>
      </c>
      <c r="D15" s="8">
        <v>0</v>
      </c>
      <c r="E15" s="9">
        <f>480+600+350+700</f>
        <v>2130</v>
      </c>
      <c r="F15" s="9">
        <v>0</v>
      </c>
      <c r="G15" s="9">
        <f>1000+1200+3500</f>
        <v>5700</v>
      </c>
      <c r="H15" s="10">
        <v>0</v>
      </c>
    </row>
    <row r="16" spans="1:8" ht="15.75" thickBot="1" x14ac:dyDescent="0.3">
      <c r="A16" s="26"/>
      <c r="B16" s="13" t="s">
        <v>10</v>
      </c>
      <c r="C16" s="18">
        <f t="shared" si="6"/>
        <v>17300</v>
      </c>
      <c r="D16" s="12">
        <v>0</v>
      </c>
      <c r="E16" s="13">
        <f>400+400</f>
        <v>800</v>
      </c>
      <c r="F16" s="13">
        <f>2000+1000+300+1500+2500+700+5000+600+400+1500+1000</f>
        <v>16500</v>
      </c>
      <c r="G16" s="13">
        <v>0</v>
      </c>
      <c r="H16" s="14">
        <v>0</v>
      </c>
    </row>
    <row r="17" spans="1:8" ht="15.75" thickBot="1" x14ac:dyDescent="0.3">
      <c r="A17" s="27"/>
      <c r="B17" s="15" t="s">
        <v>11</v>
      </c>
      <c r="C17" s="15"/>
      <c r="D17" s="15">
        <f t="shared" ref="D17" si="9">SUM(D14:D16)</f>
        <v>3200</v>
      </c>
      <c r="E17" s="15">
        <f>SUM(E14:E16)</f>
        <v>8050</v>
      </c>
      <c r="F17" s="15">
        <f t="shared" ref="F17:H17" si="10">SUM(F14:F16)</f>
        <v>20500</v>
      </c>
      <c r="G17" s="15">
        <f t="shared" si="10"/>
        <v>5700</v>
      </c>
      <c r="H17" s="16">
        <f t="shared" si="10"/>
        <v>2550</v>
      </c>
    </row>
    <row r="18" spans="1:8" x14ac:dyDescent="0.25">
      <c r="A18" s="25">
        <v>5</v>
      </c>
      <c r="B18" s="5" t="s">
        <v>8</v>
      </c>
      <c r="C18" s="3">
        <f t="shared" si="6"/>
        <v>5900</v>
      </c>
      <c r="D18" s="4">
        <f>1500</f>
        <v>1500</v>
      </c>
      <c r="E18" s="5">
        <f>1000</f>
        <v>1000</v>
      </c>
      <c r="F18" s="5">
        <f>2400</f>
        <v>2400</v>
      </c>
      <c r="G18" s="5">
        <v>0</v>
      </c>
      <c r="H18" s="6">
        <f>1000</f>
        <v>1000</v>
      </c>
    </row>
    <row r="19" spans="1:8" x14ac:dyDescent="0.25">
      <c r="A19" s="26"/>
      <c r="B19" s="9" t="s">
        <v>9</v>
      </c>
      <c r="C19" s="20">
        <f t="shared" si="6"/>
        <v>470</v>
      </c>
      <c r="D19" s="8">
        <v>0</v>
      </c>
      <c r="E19" s="9">
        <f>470</f>
        <v>470</v>
      </c>
      <c r="F19" s="9">
        <v>0</v>
      </c>
      <c r="G19" s="9">
        <v>0</v>
      </c>
      <c r="H19" s="10">
        <v>0</v>
      </c>
    </row>
    <row r="20" spans="1:8" ht="15.75" thickBot="1" x14ac:dyDescent="0.3">
      <c r="A20" s="26"/>
      <c r="B20" s="13" t="s">
        <v>10</v>
      </c>
      <c r="C20" s="18">
        <f t="shared" si="6"/>
        <v>7800</v>
      </c>
      <c r="D20" s="12">
        <v>0</v>
      </c>
      <c r="E20" s="13">
        <f>600+1500+200</f>
        <v>2300</v>
      </c>
      <c r="F20" s="13">
        <f>2000+1000+2500</f>
        <v>5500</v>
      </c>
      <c r="G20" s="13">
        <v>0</v>
      </c>
      <c r="H20" s="14">
        <v>0</v>
      </c>
    </row>
    <row r="21" spans="1:8" ht="15.75" thickBot="1" x14ac:dyDescent="0.3">
      <c r="A21" s="27"/>
      <c r="B21" s="15" t="s">
        <v>11</v>
      </c>
      <c r="C21" s="15"/>
      <c r="D21" s="15">
        <f t="shared" ref="D21" si="11">SUM(D18:D20)</f>
        <v>1500</v>
      </c>
      <c r="E21" s="15">
        <f>SUM(E18:E20)</f>
        <v>3770</v>
      </c>
      <c r="F21" s="15">
        <f t="shared" ref="F21:H21" si="12">SUM(F18:F20)</f>
        <v>7900</v>
      </c>
      <c r="G21" s="15">
        <f t="shared" si="12"/>
        <v>0</v>
      </c>
      <c r="H21" s="16">
        <f t="shared" si="12"/>
        <v>1000</v>
      </c>
    </row>
    <row r="22" spans="1:8" x14ac:dyDescent="0.25">
      <c r="A22" s="25">
        <v>7</v>
      </c>
      <c r="B22" s="5" t="s">
        <v>8</v>
      </c>
      <c r="C22" s="3">
        <f t="shared" si="6"/>
        <v>22050</v>
      </c>
      <c r="D22" s="4">
        <f>1500+1500+2000+2000</f>
        <v>7000</v>
      </c>
      <c r="E22" s="5">
        <f>600+100+200+190+1000+200+650+800+800+500</f>
        <v>5040</v>
      </c>
      <c r="F22" s="5">
        <f>2533+500+500+2000</f>
        <v>5533</v>
      </c>
      <c r="G22" s="5">
        <f>1333</f>
        <v>1333</v>
      </c>
      <c r="H22" s="6">
        <f>1700+444+1000</f>
        <v>3144</v>
      </c>
    </row>
    <row r="23" spans="1:8" x14ac:dyDescent="0.25">
      <c r="A23" s="26"/>
      <c r="B23" s="9" t="s">
        <v>9</v>
      </c>
      <c r="C23" s="20">
        <f t="shared" si="6"/>
        <v>1700</v>
      </c>
      <c r="D23" s="8">
        <v>0</v>
      </c>
      <c r="E23" s="9">
        <f>200</f>
        <v>200</v>
      </c>
      <c r="F23" s="9">
        <v>0</v>
      </c>
      <c r="G23" s="9">
        <f>1500</f>
        <v>1500</v>
      </c>
      <c r="H23" s="10">
        <v>0</v>
      </c>
    </row>
    <row r="24" spans="1:8" ht="15.75" thickBot="1" x14ac:dyDescent="0.3">
      <c r="A24" s="26"/>
      <c r="B24" s="13" t="s">
        <v>10</v>
      </c>
      <c r="C24" s="18">
        <f t="shared" si="6"/>
        <v>15497</v>
      </c>
      <c r="D24" s="12">
        <v>0</v>
      </c>
      <c r="E24" s="13">
        <f>700+1500+250+147</f>
        <v>2597</v>
      </c>
      <c r="F24" s="13">
        <f>2500+1600+3000+800+3000+1000+1000</f>
        <v>12900</v>
      </c>
      <c r="G24" s="13">
        <v>0</v>
      </c>
      <c r="H24" s="14">
        <v>0</v>
      </c>
    </row>
    <row r="25" spans="1:8" ht="15.75" thickBot="1" x14ac:dyDescent="0.3">
      <c r="A25" s="27"/>
      <c r="B25" s="15" t="s">
        <v>11</v>
      </c>
      <c r="C25" s="15"/>
      <c r="D25" s="15">
        <f t="shared" ref="D25" si="13">SUM(D22:D24)</f>
        <v>7000</v>
      </c>
      <c r="E25" s="15">
        <f>SUM(E22:E24)</f>
        <v>7837</v>
      </c>
      <c r="F25" s="15">
        <f t="shared" ref="F25:H25" si="14">SUM(F22:F24)</f>
        <v>18433</v>
      </c>
      <c r="G25" s="15">
        <f t="shared" si="14"/>
        <v>2833</v>
      </c>
      <c r="H25" s="16">
        <f t="shared" si="14"/>
        <v>3144</v>
      </c>
    </row>
    <row r="26" spans="1:8" x14ac:dyDescent="0.25">
      <c r="A26" s="25">
        <v>8</v>
      </c>
      <c r="B26" s="5" t="s">
        <v>8</v>
      </c>
      <c r="C26" s="3">
        <f t="shared" si="6"/>
        <v>23960</v>
      </c>
      <c r="D26" s="4">
        <f>1000+3000+200+3000</f>
        <v>7200</v>
      </c>
      <c r="E26" s="5">
        <f>1500+400+70+230+800+500+1200+1000+180+340+800</f>
        <v>7020</v>
      </c>
      <c r="F26" s="5">
        <f>1500+2500+780+500+500</f>
        <v>5780</v>
      </c>
      <c r="G26" s="5">
        <f>600</f>
        <v>600</v>
      </c>
      <c r="H26" s="6">
        <f>800+260+500+1800</f>
        <v>3360</v>
      </c>
    </row>
    <row r="27" spans="1:8" x14ac:dyDescent="0.25">
      <c r="A27" s="26"/>
      <c r="B27" s="9" t="s">
        <v>9</v>
      </c>
      <c r="C27" s="20">
        <f t="shared" si="6"/>
        <v>9420</v>
      </c>
      <c r="D27" s="8">
        <v>0</v>
      </c>
      <c r="E27" s="9">
        <f>150+450+120+1000+200+700</f>
        <v>2620</v>
      </c>
      <c r="F27" s="9">
        <v>0</v>
      </c>
      <c r="G27" s="9">
        <f>1000+3500+2300</f>
        <v>6800</v>
      </c>
      <c r="H27" s="10">
        <v>0</v>
      </c>
    </row>
    <row r="28" spans="1:8" ht="15.75" thickBot="1" x14ac:dyDescent="0.3">
      <c r="A28" s="26"/>
      <c r="B28" s="13" t="s">
        <v>10</v>
      </c>
      <c r="C28" s="18">
        <f t="shared" si="6"/>
        <v>14250</v>
      </c>
      <c r="D28" s="12">
        <v>0</v>
      </c>
      <c r="E28" s="13">
        <f>2000+400</f>
        <v>2400</v>
      </c>
      <c r="F28" s="13">
        <f>1500+800+3000+4000+600+350+600+1000</f>
        <v>11850</v>
      </c>
      <c r="G28" s="13">
        <v>0</v>
      </c>
      <c r="H28" s="14">
        <v>0</v>
      </c>
    </row>
    <row r="29" spans="1:8" ht="15.75" thickBot="1" x14ac:dyDescent="0.3">
      <c r="A29" s="27"/>
      <c r="B29" s="15" t="s">
        <v>11</v>
      </c>
      <c r="C29" s="15"/>
      <c r="D29" s="15">
        <f t="shared" ref="D29" si="15">SUM(D26:D28)</f>
        <v>7200</v>
      </c>
      <c r="E29" s="15">
        <f>SUM(E26:E28)</f>
        <v>12040</v>
      </c>
      <c r="F29" s="15">
        <f t="shared" ref="F29:H29" si="16">SUM(F26:F28)</f>
        <v>17630</v>
      </c>
      <c r="G29" s="15">
        <f t="shared" si="16"/>
        <v>7400</v>
      </c>
      <c r="H29" s="16">
        <f t="shared" si="16"/>
        <v>3360</v>
      </c>
    </row>
    <row r="30" spans="1:8" x14ac:dyDescent="0.25">
      <c r="A30" s="25">
        <v>9</v>
      </c>
      <c r="B30" s="5" t="s">
        <v>8</v>
      </c>
      <c r="C30" s="3">
        <f t="shared" si="6"/>
        <v>23197</v>
      </c>
      <c r="D30" s="4">
        <f>2000+600+3000+500+500</f>
        <v>6600</v>
      </c>
      <c r="E30" s="5">
        <f>300+440+500+200+1800+600+1000+1000+350</f>
        <v>6190</v>
      </c>
      <c r="F30" s="5">
        <f>600+2500+1800+330+500+500</f>
        <v>6230</v>
      </c>
      <c r="G30" s="5">
        <f>1333</f>
        <v>1333</v>
      </c>
      <c r="H30" s="6">
        <f>2000+444+400</f>
        <v>2844</v>
      </c>
    </row>
    <row r="31" spans="1:8" x14ac:dyDescent="0.25">
      <c r="A31" s="26"/>
      <c r="B31" s="9" t="s">
        <v>9</v>
      </c>
      <c r="C31" s="20">
        <f t="shared" si="6"/>
        <v>5000</v>
      </c>
      <c r="D31" s="8">
        <v>0</v>
      </c>
      <c r="E31" s="9">
        <f>450+650+200+700</f>
        <v>2000</v>
      </c>
      <c r="F31" s="9">
        <v>0</v>
      </c>
      <c r="G31" s="9">
        <f>1000+2000</f>
        <v>3000</v>
      </c>
      <c r="H31" s="10">
        <v>0</v>
      </c>
    </row>
    <row r="32" spans="1:8" ht="15.75" thickBot="1" x14ac:dyDescent="0.3">
      <c r="A32" s="26"/>
      <c r="B32" s="13" t="s">
        <v>10</v>
      </c>
      <c r="C32" s="18">
        <f t="shared" si="6"/>
        <v>14050</v>
      </c>
      <c r="D32" s="12">
        <v>0</v>
      </c>
      <c r="E32" s="13">
        <f>600+1500+500+500+200</f>
        <v>3300</v>
      </c>
      <c r="F32" s="13">
        <f>2000+1500+200+150+1000+3000+2500+400</f>
        <v>10750</v>
      </c>
      <c r="G32" s="13">
        <v>0</v>
      </c>
      <c r="H32" s="14">
        <v>0</v>
      </c>
    </row>
    <row r="33" spans="1:8" ht="15.75" thickBot="1" x14ac:dyDescent="0.3">
      <c r="A33" s="27"/>
      <c r="B33" s="15" t="s">
        <v>11</v>
      </c>
      <c r="C33" s="15"/>
      <c r="D33" s="15">
        <f t="shared" ref="D33" si="17">SUM(D30:D32)</f>
        <v>6600</v>
      </c>
      <c r="E33" s="15">
        <f>SUM(E30:E32)</f>
        <v>11490</v>
      </c>
      <c r="F33" s="15">
        <f t="shared" ref="F33:H33" si="18">SUM(F30:F32)</f>
        <v>16980</v>
      </c>
      <c r="G33" s="15">
        <f t="shared" si="18"/>
        <v>4333</v>
      </c>
      <c r="H33" s="16">
        <f t="shared" si="18"/>
        <v>2844</v>
      </c>
    </row>
    <row r="34" spans="1:8" x14ac:dyDescent="0.25">
      <c r="A34" s="25">
        <v>10</v>
      </c>
      <c r="B34" s="5" t="s">
        <v>8</v>
      </c>
      <c r="C34" s="3">
        <f t="shared" si="6"/>
        <v>27315</v>
      </c>
      <c r="D34" s="4">
        <f>1300+2000+700+2000+400+600+400</f>
        <v>7400</v>
      </c>
      <c r="E34" s="5">
        <f>500+400+150+200+800+1000+1000+600+800</f>
        <v>5450</v>
      </c>
      <c r="F34" s="5">
        <f>1500+1900+150+100+200+300+1200</f>
        <v>5350</v>
      </c>
      <c r="G34" s="5">
        <f>3400+2815</f>
        <v>6215</v>
      </c>
      <c r="H34" s="6">
        <f>1800+400+700</f>
        <v>2900</v>
      </c>
    </row>
    <row r="35" spans="1:8" x14ac:dyDescent="0.25">
      <c r="A35" s="26"/>
      <c r="B35" s="9" t="s">
        <v>9</v>
      </c>
      <c r="C35" s="20">
        <f t="shared" si="6"/>
        <v>5840</v>
      </c>
      <c r="D35" s="8">
        <v>0</v>
      </c>
      <c r="E35" s="9">
        <f>470+370+500</f>
        <v>1340</v>
      </c>
      <c r="F35" s="9">
        <v>0</v>
      </c>
      <c r="G35" s="9">
        <f>1000+3500</f>
        <v>4500</v>
      </c>
      <c r="H35" s="10">
        <v>0</v>
      </c>
    </row>
    <row r="36" spans="1:8" ht="15.75" thickBot="1" x14ac:dyDescent="0.3">
      <c r="A36" s="26"/>
      <c r="B36" s="13" t="s">
        <v>10</v>
      </c>
      <c r="C36" s="18">
        <f t="shared" si="6"/>
        <v>13700</v>
      </c>
      <c r="D36" s="12">
        <v>0</v>
      </c>
      <c r="E36" s="13">
        <f>300+1500+400+500</f>
        <v>2700</v>
      </c>
      <c r="F36" s="13">
        <f>2000+800+400+800+1000+600+3000+600+400+400+1000</f>
        <v>11000</v>
      </c>
      <c r="G36" s="13">
        <v>0</v>
      </c>
      <c r="H36" s="14">
        <v>0</v>
      </c>
    </row>
    <row r="37" spans="1:8" ht="15.75" thickBot="1" x14ac:dyDescent="0.3">
      <c r="A37" s="27"/>
      <c r="B37" s="15" t="s">
        <v>11</v>
      </c>
      <c r="C37" s="15"/>
      <c r="D37" s="15">
        <f t="shared" ref="D37" si="19">SUM(D34:D36)</f>
        <v>7400</v>
      </c>
      <c r="E37" s="15">
        <f>SUM(E34:E36)</f>
        <v>9490</v>
      </c>
      <c r="F37" s="15">
        <f t="shared" ref="F37:H37" si="20">SUM(F34:F36)</f>
        <v>16350</v>
      </c>
      <c r="G37" s="15">
        <f t="shared" si="20"/>
        <v>10715</v>
      </c>
      <c r="H37" s="16">
        <f t="shared" si="20"/>
        <v>2900</v>
      </c>
    </row>
    <row r="38" spans="1:8" x14ac:dyDescent="0.25">
      <c r="A38" s="25">
        <v>11</v>
      </c>
      <c r="B38" s="5" t="s">
        <v>8</v>
      </c>
      <c r="C38" s="3">
        <f t="shared" si="6"/>
        <v>26000</v>
      </c>
      <c r="D38" s="4">
        <f>1300+3000+700+2000+400+2000+600+1100</f>
        <v>11100</v>
      </c>
      <c r="E38" s="5">
        <f>450+1000+400+850+2500+1000+100+1000</f>
        <v>7300</v>
      </c>
      <c r="F38" s="5">
        <f>500+1000+600</f>
        <v>2100</v>
      </c>
      <c r="G38" s="5">
        <v>0</v>
      </c>
      <c r="H38" s="6">
        <f>2000+800+450+350+400+1500</f>
        <v>5500</v>
      </c>
    </row>
    <row r="39" spans="1:8" x14ac:dyDescent="0.25">
      <c r="A39" s="26"/>
      <c r="B39" s="9" t="s">
        <v>9</v>
      </c>
      <c r="C39" s="20">
        <f t="shared" si="6"/>
        <v>9000</v>
      </c>
      <c r="D39" s="8">
        <v>0</v>
      </c>
      <c r="E39" s="9">
        <f>200+230+470+700</f>
        <v>1600</v>
      </c>
      <c r="F39" s="9">
        <v>0</v>
      </c>
      <c r="G39" s="9">
        <f>1000+800+3500+2100</f>
        <v>7400</v>
      </c>
      <c r="H39" s="10">
        <v>0</v>
      </c>
    </row>
    <row r="40" spans="1:8" ht="15.75" thickBot="1" x14ac:dyDescent="0.3">
      <c r="A40" s="26"/>
      <c r="B40" s="13" t="s">
        <v>10</v>
      </c>
      <c r="C40" s="18">
        <f t="shared" si="6"/>
        <v>16100</v>
      </c>
      <c r="D40" s="12">
        <v>0</v>
      </c>
      <c r="E40" s="13">
        <f>400+1000+200+100+400+1000</f>
        <v>3100</v>
      </c>
      <c r="F40" s="13">
        <f>2000+800+500+1500+2500+500+3000+600+400+1200</f>
        <v>13000</v>
      </c>
      <c r="G40" s="13">
        <v>0</v>
      </c>
      <c r="H40" s="14">
        <v>0</v>
      </c>
    </row>
    <row r="41" spans="1:8" ht="15.75" thickBot="1" x14ac:dyDescent="0.3">
      <c r="A41" s="27"/>
      <c r="B41" s="15" t="s">
        <v>11</v>
      </c>
      <c r="C41" s="15"/>
      <c r="D41" s="15">
        <f t="shared" ref="D41" si="21">SUM(D38:D40)</f>
        <v>11100</v>
      </c>
      <c r="E41" s="15">
        <f>SUM(E38:E40)</f>
        <v>12000</v>
      </c>
      <c r="F41" s="15">
        <f t="shared" ref="F41:H41" si="22">SUM(F38:F40)</f>
        <v>15100</v>
      </c>
      <c r="G41" s="15">
        <f t="shared" si="22"/>
        <v>7400</v>
      </c>
      <c r="H41" s="16">
        <f t="shared" si="22"/>
        <v>5500</v>
      </c>
    </row>
    <row r="42" spans="1:8" x14ac:dyDescent="0.25">
      <c r="A42" s="25">
        <v>12</v>
      </c>
      <c r="B42" s="5" t="s">
        <v>8</v>
      </c>
      <c r="C42" s="3">
        <f t="shared" si="6"/>
        <v>5900</v>
      </c>
      <c r="D42" s="4">
        <f>1000</f>
        <v>1000</v>
      </c>
      <c r="E42" s="5">
        <v>0</v>
      </c>
      <c r="F42" s="5">
        <f>2400+1500</f>
        <v>3900</v>
      </c>
      <c r="G42" s="5">
        <v>0</v>
      </c>
      <c r="H42" s="6">
        <f>1000</f>
        <v>1000</v>
      </c>
    </row>
    <row r="43" spans="1:8" x14ac:dyDescent="0.25">
      <c r="A43" s="26"/>
      <c r="B43" s="9" t="s">
        <v>9</v>
      </c>
      <c r="C43" s="20">
        <f t="shared" si="6"/>
        <v>0</v>
      </c>
      <c r="D43" s="8">
        <v>0</v>
      </c>
      <c r="E43" s="9">
        <v>0</v>
      </c>
      <c r="F43" s="9">
        <v>0</v>
      </c>
      <c r="G43" s="9">
        <v>0</v>
      </c>
      <c r="H43" s="10">
        <v>0</v>
      </c>
    </row>
    <row r="44" spans="1:8" ht="15.75" thickBot="1" x14ac:dyDescent="0.3">
      <c r="A44" s="26"/>
      <c r="B44" s="13" t="s">
        <v>10</v>
      </c>
      <c r="C44" s="18">
        <f t="shared" si="6"/>
        <v>4300</v>
      </c>
      <c r="D44" s="12">
        <v>0</v>
      </c>
      <c r="E44" s="13">
        <v>300</v>
      </c>
      <c r="F44" s="13">
        <f>1000+500+2500</f>
        <v>4000</v>
      </c>
      <c r="G44" s="13">
        <v>0</v>
      </c>
      <c r="H44" s="14">
        <v>0</v>
      </c>
    </row>
    <row r="45" spans="1:8" ht="15.75" thickBot="1" x14ac:dyDescent="0.3">
      <c r="A45" s="27"/>
      <c r="B45" s="15" t="s">
        <v>11</v>
      </c>
      <c r="C45" s="15"/>
      <c r="D45" s="15">
        <f t="shared" ref="D45" si="23">SUM(D42:D44)</f>
        <v>1000</v>
      </c>
      <c r="E45" s="15">
        <f>SUM(E42:E44)</f>
        <v>300</v>
      </c>
      <c r="F45" s="15">
        <f t="shared" ref="F45:H45" si="24">SUM(F42:F44)</f>
        <v>7900</v>
      </c>
      <c r="G45" s="15">
        <f t="shared" si="24"/>
        <v>0</v>
      </c>
      <c r="H45" s="16">
        <f t="shared" si="24"/>
        <v>1000</v>
      </c>
    </row>
    <row r="46" spans="1:8" x14ac:dyDescent="0.25">
      <c r="A46" s="25">
        <v>14</v>
      </c>
      <c r="B46" s="5" t="s">
        <v>8</v>
      </c>
      <c r="C46" s="3">
        <f t="shared" si="6"/>
        <v>22111</v>
      </c>
      <c r="D46" s="4">
        <f>1000+2000+3000+200+500+500</f>
        <v>7200</v>
      </c>
      <c r="E46" s="5">
        <f>700+65+190+850+4000</f>
        <v>5805</v>
      </c>
      <c r="F46" s="5">
        <f>2533+500+500+900+467</f>
        <v>4900</v>
      </c>
      <c r="G46" s="5">
        <f>1333</f>
        <v>1333</v>
      </c>
      <c r="H46" s="6">
        <f>1300+333+840+400</f>
        <v>2873</v>
      </c>
    </row>
    <row r="47" spans="1:8" x14ac:dyDescent="0.25">
      <c r="A47" s="26"/>
      <c r="B47" s="9" t="s">
        <v>9</v>
      </c>
      <c r="C47" s="20">
        <f t="shared" si="6"/>
        <v>2900</v>
      </c>
      <c r="D47" s="8">
        <v>0</v>
      </c>
      <c r="E47" s="9">
        <f>800</f>
        <v>800</v>
      </c>
      <c r="F47" s="9">
        <v>0</v>
      </c>
      <c r="G47" s="9">
        <f>1500+600</f>
        <v>2100</v>
      </c>
      <c r="H47" s="10">
        <v>0</v>
      </c>
    </row>
    <row r="48" spans="1:8" ht="15.75" thickBot="1" x14ac:dyDescent="0.3">
      <c r="A48" s="26"/>
      <c r="B48" s="13" t="s">
        <v>10</v>
      </c>
      <c r="C48" s="18">
        <f t="shared" si="6"/>
        <v>15369</v>
      </c>
      <c r="D48" s="12">
        <v>0</v>
      </c>
      <c r="E48" s="13">
        <f>1500+169</f>
        <v>1669</v>
      </c>
      <c r="F48" s="13">
        <f>1000+800+300+2000+3000+3000+2800+800</f>
        <v>13700</v>
      </c>
      <c r="G48" s="13">
        <v>0</v>
      </c>
      <c r="H48" s="14">
        <v>0</v>
      </c>
    </row>
    <row r="49" spans="1:8" ht="15.75" thickBot="1" x14ac:dyDescent="0.3">
      <c r="A49" s="27"/>
      <c r="B49" s="15" t="s">
        <v>11</v>
      </c>
      <c r="C49" s="15"/>
      <c r="D49" s="15">
        <f t="shared" ref="D49" si="25">SUM(D46:D48)</f>
        <v>7200</v>
      </c>
      <c r="E49" s="15">
        <f>SUM(E46:E48)</f>
        <v>8274</v>
      </c>
      <c r="F49" s="15">
        <f t="shared" ref="F49:H49" si="26">SUM(F46:F48)</f>
        <v>18600</v>
      </c>
      <c r="G49" s="15">
        <f t="shared" si="26"/>
        <v>3433</v>
      </c>
      <c r="H49" s="16">
        <f t="shared" si="26"/>
        <v>2873</v>
      </c>
    </row>
    <row r="50" spans="1:8" x14ac:dyDescent="0.25">
      <c r="A50" s="25">
        <v>15</v>
      </c>
      <c r="B50" s="5" t="s">
        <v>8</v>
      </c>
      <c r="C50" s="3">
        <f t="shared" si="6"/>
        <v>21740</v>
      </c>
      <c r="D50" s="4">
        <f>700+3000+3000+3000+500+450</f>
        <v>10650</v>
      </c>
      <c r="E50" s="5">
        <f>200+400+90+2000+200+200+800</f>
        <v>3890</v>
      </c>
      <c r="F50" s="5">
        <f>500+500+550+2850+900</f>
        <v>5300</v>
      </c>
      <c r="G50" s="5">
        <f>600</f>
        <v>600</v>
      </c>
      <c r="H50" s="6">
        <f>500+400+400</f>
        <v>1300</v>
      </c>
    </row>
    <row r="51" spans="1:8" x14ac:dyDescent="0.25">
      <c r="A51" s="26"/>
      <c r="B51" s="9" t="s">
        <v>9</v>
      </c>
      <c r="C51" s="20">
        <f t="shared" si="6"/>
        <v>5470</v>
      </c>
      <c r="D51" s="8">
        <v>0</v>
      </c>
      <c r="E51" s="9">
        <f>450+120+750+550</f>
        <v>1870</v>
      </c>
      <c r="F51" s="9">
        <v>0</v>
      </c>
      <c r="G51" s="9">
        <f>600+3000</f>
        <v>3600</v>
      </c>
      <c r="H51" s="10">
        <v>0</v>
      </c>
    </row>
    <row r="52" spans="1:8" ht="15.75" thickBot="1" x14ac:dyDescent="0.3">
      <c r="A52" s="26"/>
      <c r="B52" s="13" t="s">
        <v>10</v>
      </c>
      <c r="C52" s="18">
        <f t="shared" si="6"/>
        <v>21030</v>
      </c>
      <c r="D52" s="12">
        <v>0</v>
      </c>
      <c r="E52" s="13">
        <f>500+580+1500+1000</f>
        <v>3580</v>
      </c>
      <c r="F52" s="13">
        <f>1500+800+2500+3000+400+4000+600+350+600+3000+700</f>
        <v>17450</v>
      </c>
      <c r="G52" s="13">
        <v>0</v>
      </c>
      <c r="H52" s="14">
        <v>0</v>
      </c>
    </row>
    <row r="53" spans="1:8" ht="15.75" thickBot="1" x14ac:dyDescent="0.3">
      <c r="A53" s="27"/>
      <c r="B53" s="15" t="s">
        <v>11</v>
      </c>
      <c r="C53" s="15"/>
      <c r="D53" s="15">
        <f t="shared" ref="D53" si="27">SUM(D50:D52)</f>
        <v>10650</v>
      </c>
      <c r="E53" s="15">
        <f>SUM(E50:E52)</f>
        <v>9340</v>
      </c>
      <c r="F53" s="15">
        <f t="shared" ref="F53:H53" si="28">SUM(F50:F52)</f>
        <v>22750</v>
      </c>
      <c r="G53" s="15">
        <f t="shared" si="28"/>
        <v>4200</v>
      </c>
      <c r="H53" s="16">
        <f t="shared" si="28"/>
        <v>1300</v>
      </c>
    </row>
    <row r="54" spans="1:8" x14ac:dyDescent="0.25">
      <c r="A54" s="25">
        <v>16</v>
      </c>
      <c r="B54" s="5" t="s">
        <v>8</v>
      </c>
      <c r="C54" s="3">
        <f t="shared" si="6"/>
        <v>17672</v>
      </c>
      <c r="D54" s="4">
        <f>700+2000+3000+200+700+500</f>
        <v>7100</v>
      </c>
      <c r="E54" s="5">
        <f>350+400+1289+1300+800</f>
        <v>4139</v>
      </c>
      <c r="F54" s="5">
        <f>500+500+1800+900</f>
        <v>3700</v>
      </c>
      <c r="G54" s="5">
        <f>1333</f>
        <v>1333</v>
      </c>
      <c r="H54" s="6">
        <f>800+600</f>
        <v>1400</v>
      </c>
    </row>
    <row r="55" spans="1:8" x14ac:dyDescent="0.25">
      <c r="A55" s="26"/>
      <c r="B55" s="9" t="s">
        <v>9</v>
      </c>
      <c r="C55" s="20">
        <f t="shared" si="6"/>
        <v>7875</v>
      </c>
      <c r="D55" s="8">
        <v>0</v>
      </c>
      <c r="E55" s="9">
        <f>700+750+600+525</f>
        <v>2575</v>
      </c>
      <c r="F55" s="9">
        <v>0</v>
      </c>
      <c r="G55" s="9">
        <f>2500+600+2200</f>
        <v>5300</v>
      </c>
      <c r="H55" s="10">
        <v>0</v>
      </c>
    </row>
    <row r="56" spans="1:8" ht="15.75" thickBot="1" x14ac:dyDescent="0.3">
      <c r="A56" s="26"/>
      <c r="B56" s="13" t="s">
        <v>10</v>
      </c>
      <c r="C56" s="18">
        <f t="shared" si="6"/>
        <v>20580</v>
      </c>
      <c r="D56" s="12">
        <v>0</v>
      </c>
      <c r="E56" s="13">
        <f>1500+380+500+200</f>
        <v>2580</v>
      </c>
      <c r="F56" s="13">
        <f>2000+800+300+3000+3000+500+4000+400+3000+1000</f>
        <v>18000</v>
      </c>
      <c r="G56" s="13">
        <v>0</v>
      </c>
      <c r="H56" s="14">
        <v>0</v>
      </c>
    </row>
    <row r="57" spans="1:8" ht="15.75" thickBot="1" x14ac:dyDescent="0.3">
      <c r="A57" s="27"/>
      <c r="B57" s="15" t="s">
        <v>11</v>
      </c>
      <c r="C57" s="15"/>
      <c r="D57" s="15">
        <f t="shared" ref="D57" si="29">SUM(D54:D56)</f>
        <v>7100</v>
      </c>
      <c r="E57" s="15">
        <f>SUM(E54:E56)</f>
        <v>9294</v>
      </c>
      <c r="F57" s="15">
        <f t="shared" ref="F57:H57" si="30">SUM(F54:F56)</f>
        <v>21700</v>
      </c>
      <c r="G57" s="15">
        <f t="shared" si="30"/>
        <v>6633</v>
      </c>
      <c r="H57" s="16">
        <f t="shared" si="30"/>
        <v>1400</v>
      </c>
    </row>
    <row r="58" spans="1:8" x14ac:dyDescent="0.25">
      <c r="A58" s="25">
        <v>17</v>
      </c>
      <c r="B58" s="5" t="s">
        <v>8</v>
      </c>
      <c r="C58" s="3">
        <f t="shared" si="6"/>
        <v>24955</v>
      </c>
      <c r="D58" s="4">
        <f>800+2000+700+2500+300+500</f>
        <v>6800</v>
      </c>
      <c r="E58" s="5">
        <f>30+400+140+300+220+100+440+1500+200+300+300+1000</f>
        <v>4930</v>
      </c>
      <c r="F58" s="5">
        <f>1200+270+80+80+1500+450+1500</f>
        <v>5080</v>
      </c>
      <c r="G58" s="5">
        <f>2815+3400</f>
        <v>6215</v>
      </c>
      <c r="H58" s="6">
        <f>800+200+330+600</f>
        <v>1930</v>
      </c>
    </row>
    <row r="59" spans="1:8" x14ac:dyDescent="0.25">
      <c r="A59" s="26"/>
      <c r="B59" s="9" t="s">
        <v>9</v>
      </c>
      <c r="C59" s="20">
        <f t="shared" si="6"/>
        <v>8270</v>
      </c>
      <c r="D59" s="8">
        <v>0</v>
      </c>
      <c r="E59" s="9">
        <f>450+620+850+150</f>
        <v>2070</v>
      </c>
      <c r="F59" s="9">
        <v>0</v>
      </c>
      <c r="G59" s="9">
        <f>2900+1500+800+1000</f>
        <v>6200</v>
      </c>
      <c r="H59" s="10">
        <v>0</v>
      </c>
    </row>
    <row r="60" spans="1:8" ht="15.75" thickBot="1" x14ac:dyDescent="0.3">
      <c r="A60" s="26"/>
      <c r="B60" s="13" t="s">
        <v>10</v>
      </c>
      <c r="C60" s="18">
        <f t="shared" si="6"/>
        <v>20230</v>
      </c>
      <c r="D60" s="12">
        <v>0</v>
      </c>
      <c r="E60" s="13">
        <f>900+600+1500+380+200+150+500</f>
        <v>4230</v>
      </c>
      <c r="F60" s="13">
        <f>2000+400+300+400+3000+1000+500+2500+600+400+400+3000+1500</f>
        <v>16000</v>
      </c>
      <c r="G60" s="13">
        <v>0</v>
      </c>
      <c r="H60" s="14">
        <v>0</v>
      </c>
    </row>
    <row r="61" spans="1:8" ht="15.75" thickBot="1" x14ac:dyDescent="0.3">
      <c r="A61" s="27"/>
      <c r="B61" s="15" t="s">
        <v>11</v>
      </c>
      <c r="C61" s="15"/>
      <c r="D61" s="15">
        <f t="shared" ref="D61" si="31">SUM(D58:D60)</f>
        <v>6800</v>
      </c>
      <c r="E61" s="15">
        <f>SUM(E58:E60)</f>
        <v>11230</v>
      </c>
      <c r="F61" s="15">
        <f t="shared" ref="F61:H61" si="32">SUM(F58:F60)</f>
        <v>21080</v>
      </c>
      <c r="G61" s="15">
        <f t="shared" si="32"/>
        <v>12415</v>
      </c>
      <c r="H61" s="16">
        <f t="shared" si="32"/>
        <v>1930</v>
      </c>
    </row>
    <row r="62" spans="1:8" x14ac:dyDescent="0.25">
      <c r="A62" s="25">
        <v>18</v>
      </c>
      <c r="B62" s="5" t="s">
        <v>8</v>
      </c>
      <c r="C62" s="3">
        <f t="shared" si="6"/>
        <v>20253</v>
      </c>
      <c r="D62" s="4">
        <f>800+2000+700+1500+200+2000+700+900</f>
        <v>8800</v>
      </c>
      <c r="E62" s="5">
        <f>400+290+900+300+450+1200+1200+1000</f>
        <v>5740</v>
      </c>
      <c r="F62" s="5">
        <f>2000+800+600</f>
        <v>3400</v>
      </c>
      <c r="G62" s="5">
        <v>0</v>
      </c>
      <c r="H62" s="6">
        <f>800+333+450+330+400</f>
        <v>2313</v>
      </c>
    </row>
    <row r="63" spans="1:8" x14ac:dyDescent="0.25">
      <c r="A63" s="26"/>
      <c r="B63" s="9" t="s">
        <v>9</v>
      </c>
      <c r="C63" s="20">
        <f t="shared" si="6"/>
        <v>4550</v>
      </c>
      <c r="D63" s="8">
        <v>0</v>
      </c>
      <c r="E63" s="9">
        <f>450+500+700+700</f>
        <v>2350</v>
      </c>
      <c r="F63" s="9">
        <v>0</v>
      </c>
      <c r="G63" s="9">
        <f>800+500+900</f>
        <v>2200</v>
      </c>
      <c r="H63" s="10">
        <v>0</v>
      </c>
    </row>
    <row r="64" spans="1:8" ht="15.75" thickBot="1" x14ac:dyDescent="0.3">
      <c r="A64" s="26"/>
      <c r="B64" s="13" t="s">
        <v>10</v>
      </c>
      <c r="C64" s="18">
        <f t="shared" si="6"/>
        <v>21450</v>
      </c>
      <c r="D64" s="12"/>
      <c r="E64" s="13">
        <f>300+1500+200+200+150+800</f>
        <v>3150</v>
      </c>
      <c r="F64" s="13">
        <f>2000+500+300+200+2500+2500+800+4000+600+400+3000+1500</f>
        <v>18300</v>
      </c>
      <c r="G64" s="13"/>
      <c r="H64" s="14"/>
    </row>
    <row r="65" spans="1:8" ht="15.75" thickBot="1" x14ac:dyDescent="0.3">
      <c r="A65" s="27"/>
      <c r="B65" s="15" t="s">
        <v>11</v>
      </c>
      <c r="C65" s="15"/>
      <c r="D65" s="15">
        <f t="shared" ref="D65" si="33">SUM(D62:D64)</f>
        <v>8800</v>
      </c>
      <c r="E65" s="15">
        <f>SUM(E62:E64)</f>
        <v>11240</v>
      </c>
      <c r="F65" s="15">
        <f t="shared" ref="F65:H65" si="34">SUM(F62:F64)</f>
        <v>21700</v>
      </c>
      <c r="G65" s="15">
        <f t="shared" si="34"/>
        <v>2200</v>
      </c>
      <c r="H65" s="16">
        <f t="shared" si="34"/>
        <v>2313</v>
      </c>
    </row>
    <row r="66" spans="1:8" x14ac:dyDescent="0.25">
      <c r="A66" s="25">
        <v>19</v>
      </c>
      <c r="B66" s="5" t="s">
        <v>8</v>
      </c>
      <c r="C66" s="3">
        <f t="shared" si="6"/>
        <v>3930</v>
      </c>
      <c r="D66" s="4">
        <f>200</f>
        <v>200</v>
      </c>
      <c r="E66" s="5">
        <f>100</f>
        <v>100</v>
      </c>
      <c r="F66" s="5">
        <f>2400</f>
        <v>2400</v>
      </c>
      <c r="G66" s="5">
        <v>0</v>
      </c>
      <c r="H66" s="6">
        <f>600+300+330</f>
        <v>1230</v>
      </c>
    </row>
    <row r="67" spans="1:8" x14ac:dyDescent="0.25">
      <c r="A67" s="26"/>
      <c r="B67" s="9" t="s">
        <v>9</v>
      </c>
      <c r="C67" s="20">
        <f t="shared" si="6"/>
        <v>0</v>
      </c>
      <c r="D67" s="8">
        <v>0</v>
      </c>
      <c r="E67" s="9">
        <v>0</v>
      </c>
      <c r="F67" s="9">
        <v>0</v>
      </c>
      <c r="G67" s="9">
        <v>0</v>
      </c>
      <c r="H67" s="10">
        <v>0</v>
      </c>
    </row>
    <row r="68" spans="1:8" ht="15.75" thickBot="1" x14ac:dyDescent="0.3">
      <c r="A68" s="26"/>
      <c r="B68" s="13" t="s">
        <v>10</v>
      </c>
      <c r="C68" s="18">
        <f t="shared" si="6"/>
        <v>4900</v>
      </c>
      <c r="D68" s="12">
        <v>0</v>
      </c>
      <c r="E68" s="13">
        <f>400</f>
        <v>400</v>
      </c>
      <c r="F68" s="13">
        <f>2000+2500</f>
        <v>4500</v>
      </c>
      <c r="G68" s="13">
        <v>0</v>
      </c>
      <c r="H68" s="14">
        <v>0</v>
      </c>
    </row>
    <row r="69" spans="1:8" ht="15.75" thickBot="1" x14ac:dyDescent="0.3">
      <c r="A69" s="27"/>
      <c r="B69" s="15" t="s">
        <v>11</v>
      </c>
      <c r="C69" s="15"/>
      <c r="D69" s="15">
        <f t="shared" ref="D69" si="35">SUM(D66:D68)</f>
        <v>200</v>
      </c>
      <c r="E69" s="15">
        <f>SUM(E66:E68)</f>
        <v>500</v>
      </c>
      <c r="F69" s="15">
        <f t="shared" ref="F69:H69" si="36">SUM(F66:F68)</f>
        <v>6900</v>
      </c>
      <c r="G69" s="15">
        <f t="shared" si="36"/>
        <v>0</v>
      </c>
      <c r="H69" s="16">
        <f t="shared" si="36"/>
        <v>1230</v>
      </c>
    </row>
    <row r="70" spans="1:8" x14ac:dyDescent="0.25">
      <c r="A70" s="25">
        <v>21</v>
      </c>
      <c r="B70" s="5" t="s">
        <v>8</v>
      </c>
      <c r="C70" s="3">
        <f t="shared" si="6"/>
        <v>18840</v>
      </c>
      <c r="D70" s="4">
        <f>500+1000+600+2000+200+1000+750</f>
        <v>6050</v>
      </c>
      <c r="E70" s="5">
        <f>200+600+100+150+311+500+400+2000</f>
        <v>4261</v>
      </c>
      <c r="F70" s="5">
        <f>2533+500+500+1500+600</f>
        <v>5633</v>
      </c>
      <c r="G70" s="5">
        <f>1333</f>
        <v>1333</v>
      </c>
      <c r="H70" s="6">
        <f>1000+563</f>
        <v>1563</v>
      </c>
    </row>
    <row r="71" spans="1:8" x14ac:dyDescent="0.25">
      <c r="A71" s="26"/>
      <c r="B71" s="9" t="s">
        <v>9</v>
      </c>
      <c r="C71" s="20">
        <f t="shared" si="6"/>
        <v>6270</v>
      </c>
      <c r="D71" s="8">
        <v>0</v>
      </c>
      <c r="E71" s="9">
        <f>320+950</f>
        <v>1270</v>
      </c>
      <c r="F71" s="9">
        <v>0</v>
      </c>
      <c r="G71" s="9">
        <f>5000</f>
        <v>5000</v>
      </c>
      <c r="H71" s="10">
        <v>0</v>
      </c>
    </row>
    <row r="72" spans="1:8" ht="15.75" thickBot="1" x14ac:dyDescent="0.3">
      <c r="A72" s="26"/>
      <c r="B72" s="13" t="s">
        <v>10</v>
      </c>
      <c r="C72" s="18">
        <f t="shared" si="6"/>
        <v>14116</v>
      </c>
      <c r="D72" s="12">
        <v>0</v>
      </c>
      <c r="E72" s="13">
        <f>600+200+400+116</f>
        <v>1316</v>
      </c>
      <c r="F72" s="13">
        <f>1000+800+600+400+3000+1000+4000+2000</f>
        <v>12800</v>
      </c>
      <c r="G72" s="13">
        <v>0</v>
      </c>
      <c r="H72" s="14">
        <v>0</v>
      </c>
    </row>
    <row r="73" spans="1:8" ht="15.75" thickBot="1" x14ac:dyDescent="0.3">
      <c r="A73" s="27"/>
      <c r="B73" s="15" t="s">
        <v>11</v>
      </c>
      <c r="C73" s="15"/>
      <c r="D73" s="15">
        <f t="shared" ref="D73" si="37">SUM(D70:D72)</f>
        <v>6050</v>
      </c>
      <c r="E73" s="15">
        <f>SUM(E70:E72)</f>
        <v>6847</v>
      </c>
      <c r="F73" s="15">
        <f t="shared" ref="F73:H73" si="38">SUM(F70:F72)</f>
        <v>18433</v>
      </c>
      <c r="G73" s="15">
        <f t="shared" si="38"/>
        <v>6333</v>
      </c>
      <c r="H73" s="16">
        <f t="shared" si="38"/>
        <v>1563</v>
      </c>
    </row>
    <row r="74" spans="1:8" x14ac:dyDescent="0.25">
      <c r="A74" s="25">
        <v>22</v>
      </c>
      <c r="B74" s="5" t="s">
        <v>8</v>
      </c>
      <c r="C74" s="3">
        <f t="shared" si="6"/>
        <v>29837</v>
      </c>
      <c r="D74" s="4">
        <f>700+3000+1000+4000+3000+1200+750</f>
        <v>13650</v>
      </c>
      <c r="E74" s="5">
        <f>400+400+400+800+150+844+4000+1000+100+1143</f>
        <v>9237</v>
      </c>
      <c r="F74" s="5">
        <f>500+500+1500+1500+550</f>
        <v>4550</v>
      </c>
      <c r="G74" s="5">
        <f>600</f>
        <v>600</v>
      </c>
      <c r="H74" s="6">
        <f>400+300+100+1000</f>
        <v>1800</v>
      </c>
    </row>
    <row r="75" spans="1:8" x14ac:dyDescent="0.25">
      <c r="A75" s="26"/>
      <c r="B75" s="9" t="s">
        <v>9</v>
      </c>
      <c r="C75" s="20">
        <f t="shared" si="6"/>
        <v>1520</v>
      </c>
      <c r="D75" s="8">
        <v>0</v>
      </c>
      <c r="E75" s="9">
        <f>120+650+750</f>
        <v>1520</v>
      </c>
      <c r="F75" s="9">
        <v>0</v>
      </c>
      <c r="G75" s="9">
        <v>0</v>
      </c>
      <c r="H75" s="10">
        <v>0</v>
      </c>
    </row>
    <row r="76" spans="1:8" ht="15.75" thickBot="1" x14ac:dyDescent="0.3">
      <c r="A76" s="26"/>
      <c r="B76" s="13" t="s">
        <v>10</v>
      </c>
      <c r="C76" s="18">
        <f t="shared" si="6"/>
        <v>21800</v>
      </c>
      <c r="D76" s="12">
        <v>0</v>
      </c>
      <c r="E76" s="13">
        <f>1500+50+1000</f>
        <v>2550</v>
      </c>
      <c r="F76" s="13">
        <f>4000+200+3000+3000+500+4000+600+350+600+2000+1000</f>
        <v>19250</v>
      </c>
      <c r="G76" s="13">
        <v>0</v>
      </c>
      <c r="H76" s="14">
        <v>0</v>
      </c>
    </row>
    <row r="77" spans="1:8" ht="15.75" thickBot="1" x14ac:dyDescent="0.3">
      <c r="A77" s="27"/>
      <c r="B77" s="15" t="s">
        <v>11</v>
      </c>
      <c r="C77" s="15"/>
      <c r="D77" s="15">
        <f t="shared" ref="D77" si="39">SUM(D74:D76)</f>
        <v>13650</v>
      </c>
      <c r="E77" s="15">
        <f>SUM(E74:E76)</f>
        <v>13307</v>
      </c>
      <c r="F77" s="15">
        <f t="shared" ref="F77:H77" si="40">SUM(F74:F76)</f>
        <v>23800</v>
      </c>
      <c r="G77" s="15">
        <f t="shared" si="40"/>
        <v>600</v>
      </c>
      <c r="H77" s="16">
        <f t="shared" si="40"/>
        <v>1800</v>
      </c>
    </row>
    <row r="78" spans="1:8" x14ac:dyDescent="0.25">
      <c r="A78" s="25">
        <v>23</v>
      </c>
      <c r="B78" s="5" t="s">
        <v>8</v>
      </c>
      <c r="C78" s="3">
        <f t="shared" si="6"/>
        <v>21980</v>
      </c>
      <c r="D78" s="4">
        <f>1000+4000+4000</f>
        <v>9000</v>
      </c>
      <c r="E78" s="5">
        <f>500+200+400+844+2000+800</f>
        <v>4744</v>
      </c>
      <c r="F78" s="5">
        <f>500+500+4103+800</f>
        <v>5903</v>
      </c>
      <c r="G78" s="5">
        <f>1333</f>
        <v>1333</v>
      </c>
      <c r="H78" s="6">
        <f>1000</f>
        <v>1000</v>
      </c>
    </row>
    <row r="79" spans="1:8" x14ac:dyDescent="0.25">
      <c r="A79" s="26"/>
      <c r="B79" s="9" t="s">
        <v>9</v>
      </c>
      <c r="C79" s="20">
        <f t="shared" si="6"/>
        <v>5225</v>
      </c>
      <c r="D79" s="8">
        <v>0</v>
      </c>
      <c r="E79" s="9">
        <f>175+400+950+700</f>
        <v>2225</v>
      </c>
      <c r="F79" s="9">
        <v>0</v>
      </c>
      <c r="G79" s="9">
        <f>3000</f>
        <v>3000</v>
      </c>
      <c r="H79" s="10">
        <v>0</v>
      </c>
    </row>
    <row r="80" spans="1:8" ht="15.75" thickBot="1" x14ac:dyDescent="0.3">
      <c r="A80" s="26"/>
      <c r="B80" s="13" t="s">
        <v>10</v>
      </c>
      <c r="C80" s="18">
        <f t="shared" si="6"/>
        <v>19847</v>
      </c>
      <c r="D80" s="12">
        <v>0</v>
      </c>
      <c r="E80" s="13">
        <f>567+1500+380+500+1000+200</f>
        <v>4147</v>
      </c>
      <c r="F80" s="13">
        <f>4000+300+3000+500+4000+400+2000+1500</f>
        <v>15700</v>
      </c>
      <c r="G80" s="13">
        <v>0</v>
      </c>
      <c r="H80" s="14">
        <v>0</v>
      </c>
    </row>
    <row r="81" spans="1:8" ht="15.75" thickBot="1" x14ac:dyDescent="0.3">
      <c r="A81" s="27"/>
      <c r="B81" s="15" t="s">
        <v>11</v>
      </c>
      <c r="C81" s="15"/>
      <c r="D81" s="15">
        <f t="shared" ref="D81" si="41">SUM(D78:D80)</f>
        <v>9000</v>
      </c>
      <c r="E81" s="15">
        <f>SUM(E78:E80)</f>
        <v>11116</v>
      </c>
      <c r="F81" s="15">
        <f t="shared" ref="F81:H81" si="42">SUM(F78:F80)</f>
        <v>21603</v>
      </c>
      <c r="G81" s="15">
        <f t="shared" si="42"/>
        <v>4333</v>
      </c>
      <c r="H81" s="16">
        <f t="shared" si="42"/>
        <v>1000</v>
      </c>
    </row>
    <row r="82" spans="1:8" x14ac:dyDescent="0.25">
      <c r="A82" s="25">
        <v>24</v>
      </c>
      <c r="B82" s="5" t="s">
        <v>8</v>
      </c>
      <c r="C82" s="3">
        <f t="shared" si="6"/>
        <v>25225</v>
      </c>
      <c r="D82" s="4">
        <f>800+2000+700+2500+300+500</f>
        <v>6800</v>
      </c>
      <c r="E82" s="5">
        <f>300+400+140+300+220+100+440+1500+200+300+300+1000</f>
        <v>5200</v>
      </c>
      <c r="F82" s="5">
        <f>1200+270+80+80+1500+1500+450</f>
        <v>5080</v>
      </c>
      <c r="G82" s="5">
        <f>2815+3400</f>
        <v>6215</v>
      </c>
      <c r="H82" s="6">
        <f>800+200+330+600</f>
        <v>1930</v>
      </c>
    </row>
    <row r="83" spans="1:8" x14ac:dyDescent="0.25">
      <c r="A83" s="26"/>
      <c r="B83" s="9" t="s">
        <v>9</v>
      </c>
      <c r="C83" s="20">
        <f t="shared" si="6"/>
        <v>8270</v>
      </c>
      <c r="D83" s="8">
        <v>0</v>
      </c>
      <c r="E83" s="9">
        <f>450+620+850+150</f>
        <v>2070</v>
      </c>
      <c r="F83" s="9">
        <v>0</v>
      </c>
      <c r="G83" s="9">
        <f>1000+800+1500+2900</f>
        <v>6200</v>
      </c>
      <c r="H83" s="10">
        <v>0</v>
      </c>
    </row>
    <row r="84" spans="1:8" ht="15.75" thickBot="1" x14ac:dyDescent="0.3">
      <c r="A84" s="26"/>
      <c r="B84" s="13" t="s">
        <v>10</v>
      </c>
      <c r="C84" s="18">
        <f t="shared" si="6"/>
        <v>20230</v>
      </c>
      <c r="D84" s="12">
        <v>0</v>
      </c>
      <c r="E84" s="13">
        <f>600+900+1500+380+200+150+500</f>
        <v>4230</v>
      </c>
      <c r="F84" s="13">
        <f>2000+400+300+400+3000+1000+500+2500+600+400+400+3000+1500</f>
        <v>16000</v>
      </c>
      <c r="G84" s="13">
        <v>0</v>
      </c>
      <c r="H84" s="14">
        <v>0</v>
      </c>
    </row>
    <row r="85" spans="1:8" ht="15.75" thickBot="1" x14ac:dyDescent="0.3">
      <c r="A85" s="27"/>
      <c r="B85" s="15" t="s">
        <v>11</v>
      </c>
      <c r="C85" s="15"/>
      <c r="D85" s="15">
        <f t="shared" ref="D85" si="43">SUM(D82:D84)</f>
        <v>6800</v>
      </c>
      <c r="E85" s="15">
        <f>SUM(E82:E84)</f>
        <v>11500</v>
      </c>
      <c r="F85" s="15">
        <f t="shared" ref="F85:H85" si="44">SUM(F82:F84)</f>
        <v>21080</v>
      </c>
      <c r="G85" s="15">
        <f t="shared" si="44"/>
        <v>12415</v>
      </c>
      <c r="H85" s="16">
        <f t="shared" si="44"/>
        <v>1930</v>
      </c>
    </row>
    <row r="86" spans="1:8" x14ac:dyDescent="0.25">
      <c r="A86" s="25">
        <v>25</v>
      </c>
      <c r="B86" s="5" t="s">
        <v>8</v>
      </c>
      <c r="C86" s="3">
        <f t="shared" si="6"/>
        <v>36868</v>
      </c>
      <c r="D86" s="4">
        <f>1000+2000+1000+3000+600+2000+600+500+900</f>
        <v>11600</v>
      </c>
      <c r="E86" s="5">
        <f>400+200+120+250+400+450+350+800+150+450+14700+1500+200+440</f>
        <v>20410</v>
      </c>
      <c r="F86" s="5">
        <f>650+1500+600</f>
        <v>2750</v>
      </c>
      <c r="G86" s="5">
        <v>0</v>
      </c>
      <c r="H86" s="6">
        <f>800+333+400+200+375</f>
        <v>2108</v>
      </c>
    </row>
    <row r="87" spans="1:8" x14ac:dyDescent="0.25">
      <c r="A87" s="26"/>
      <c r="B87" s="9" t="s">
        <v>9</v>
      </c>
      <c r="C87" s="20">
        <f t="shared" si="6"/>
        <v>9410</v>
      </c>
      <c r="D87" s="8">
        <v>0</v>
      </c>
      <c r="E87" s="9">
        <f>400+460+450+700</f>
        <v>2010</v>
      </c>
      <c r="F87" s="9">
        <v>0</v>
      </c>
      <c r="G87" s="9">
        <f>4400+2000+1000</f>
        <v>7400</v>
      </c>
      <c r="H87" s="10">
        <v>0</v>
      </c>
    </row>
    <row r="88" spans="1:8" ht="15.75" thickBot="1" x14ac:dyDescent="0.3">
      <c r="A88" s="26"/>
      <c r="B88" s="13" t="s">
        <v>10</v>
      </c>
      <c r="C88" s="18">
        <f t="shared" si="6"/>
        <v>20040</v>
      </c>
      <c r="D88" s="12">
        <v>0</v>
      </c>
      <c r="E88" s="13">
        <f>200+2000+380+60+200+800</f>
        <v>3640</v>
      </c>
      <c r="F88" s="13">
        <f>4000+1000+300+150+150+2500+800+5000+600+400+1500</f>
        <v>16400</v>
      </c>
      <c r="G88" s="13">
        <v>0</v>
      </c>
      <c r="H88" s="14">
        <v>0</v>
      </c>
    </row>
    <row r="89" spans="1:8" ht="15.75" thickBot="1" x14ac:dyDescent="0.3">
      <c r="A89" s="27"/>
      <c r="B89" s="15" t="s">
        <v>11</v>
      </c>
      <c r="C89" s="15"/>
      <c r="D89" s="15">
        <f t="shared" ref="D89" si="45">SUM(D86:D88)</f>
        <v>11600</v>
      </c>
      <c r="E89" s="15">
        <f>SUM(E86:E88)</f>
        <v>26060</v>
      </c>
      <c r="F89" s="15">
        <f t="shared" ref="F89:H89" si="46">SUM(F86:F88)</f>
        <v>19150</v>
      </c>
      <c r="G89" s="15">
        <f t="shared" si="46"/>
        <v>7400</v>
      </c>
      <c r="H89" s="16">
        <f t="shared" si="46"/>
        <v>2108</v>
      </c>
    </row>
    <row r="90" spans="1:8" x14ac:dyDescent="0.25">
      <c r="A90" s="25">
        <v>26</v>
      </c>
      <c r="B90" s="5" t="s">
        <v>8</v>
      </c>
      <c r="C90" s="3">
        <f t="shared" si="6"/>
        <v>7644</v>
      </c>
      <c r="D90" s="4">
        <f>1000+1000+1000</f>
        <v>3000</v>
      </c>
      <c r="E90" s="5">
        <f>400+514</f>
        <v>914</v>
      </c>
      <c r="F90" s="5">
        <f>2400</f>
        <v>2400</v>
      </c>
      <c r="G90" s="5">
        <v>0</v>
      </c>
      <c r="H90" s="6">
        <f>600+200+200+330</f>
        <v>1330</v>
      </c>
    </row>
    <row r="91" spans="1:8" x14ac:dyDescent="0.25">
      <c r="A91" s="26"/>
      <c r="B91" s="9" t="s">
        <v>9</v>
      </c>
      <c r="C91" s="20">
        <f t="shared" si="6"/>
        <v>0</v>
      </c>
      <c r="D91" s="8">
        <v>0</v>
      </c>
      <c r="E91" s="9">
        <v>0</v>
      </c>
      <c r="F91" s="9">
        <v>0</v>
      </c>
      <c r="G91" s="9">
        <v>0</v>
      </c>
      <c r="H91" s="10">
        <v>0</v>
      </c>
    </row>
    <row r="92" spans="1:8" ht="15.75" thickBot="1" x14ac:dyDescent="0.3">
      <c r="A92" s="26"/>
      <c r="B92" s="13" t="s">
        <v>10</v>
      </c>
      <c r="C92" s="18">
        <f t="shared" si="6"/>
        <v>8750</v>
      </c>
      <c r="D92" s="12">
        <v>0</v>
      </c>
      <c r="E92" s="13">
        <f>200+200+200</f>
        <v>600</v>
      </c>
      <c r="F92" s="13">
        <f>1000+150+4000+2500+500</f>
        <v>8150</v>
      </c>
      <c r="G92" s="13">
        <v>0</v>
      </c>
      <c r="H92" s="14">
        <v>0</v>
      </c>
    </row>
    <row r="93" spans="1:8" ht="15.75" thickBot="1" x14ac:dyDescent="0.3">
      <c r="A93" s="27"/>
      <c r="B93" s="15" t="s">
        <v>11</v>
      </c>
      <c r="C93" s="15"/>
      <c r="D93" s="15">
        <f t="shared" ref="D93" si="47">SUM(D90:D92)</f>
        <v>3000</v>
      </c>
      <c r="E93" s="15">
        <f>SUM(E90:E92)</f>
        <v>1514</v>
      </c>
      <c r="F93" s="15">
        <f t="shared" ref="F93:H93" si="48">SUM(F90:F92)</f>
        <v>10550</v>
      </c>
      <c r="G93" s="15">
        <f t="shared" si="48"/>
        <v>0</v>
      </c>
      <c r="H93" s="16">
        <f t="shared" si="48"/>
        <v>1330</v>
      </c>
    </row>
    <row r="94" spans="1:8" x14ac:dyDescent="0.25">
      <c r="A94" s="25">
        <v>28</v>
      </c>
      <c r="B94" s="5" t="s">
        <v>8</v>
      </c>
      <c r="C94" s="3">
        <f t="shared" ref="C94:C96" si="49">SUM(D94:H94)</f>
        <v>21878</v>
      </c>
      <c r="D94" s="4">
        <f>1500+5000+1500+200+500+500+1000</f>
        <v>10200</v>
      </c>
      <c r="E94" s="5">
        <f>600+220+1000+150+1500+571</f>
        <v>4041</v>
      </c>
      <c r="F94" s="5">
        <f>600+1300+500+500+2533</f>
        <v>5433</v>
      </c>
      <c r="G94" s="5">
        <v>1333</v>
      </c>
      <c r="H94" s="6">
        <f>238+333+300</f>
        <v>871</v>
      </c>
    </row>
    <row r="95" spans="1:8" x14ac:dyDescent="0.25">
      <c r="A95" s="26"/>
      <c r="B95" s="9" t="s">
        <v>9</v>
      </c>
      <c r="C95" s="7">
        <f t="shared" si="49"/>
        <v>3800</v>
      </c>
      <c r="D95" s="8">
        <v>0</v>
      </c>
      <c r="E95" s="9">
        <f>1000</f>
        <v>1000</v>
      </c>
      <c r="F95" s="9">
        <v>0</v>
      </c>
      <c r="G95" s="9">
        <f>2000+800</f>
        <v>2800</v>
      </c>
      <c r="H95" s="10">
        <v>0</v>
      </c>
    </row>
    <row r="96" spans="1:8" ht="15.75" thickBot="1" x14ac:dyDescent="0.3">
      <c r="A96" s="26"/>
      <c r="B96" s="13" t="s">
        <v>10</v>
      </c>
      <c r="C96" s="11">
        <f t="shared" si="49"/>
        <v>17103</v>
      </c>
      <c r="D96" s="12">
        <v>0</v>
      </c>
      <c r="E96" s="13">
        <f>2000+203</f>
        <v>2203</v>
      </c>
      <c r="F96" s="13">
        <f>2000+1000+3000+800+3000+1500+600+3000</f>
        <v>14900</v>
      </c>
      <c r="G96" s="13">
        <v>0</v>
      </c>
      <c r="H96" s="14">
        <v>0</v>
      </c>
    </row>
    <row r="97" spans="1:8" ht="15.75" thickBot="1" x14ac:dyDescent="0.3">
      <c r="A97" s="27"/>
      <c r="B97" s="15" t="s">
        <v>11</v>
      </c>
      <c r="C97" s="15"/>
      <c r="D97" s="15">
        <f t="shared" ref="D97" si="50">SUM(D94:D96)</f>
        <v>10200</v>
      </c>
      <c r="E97" s="15">
        <f>SUM(E94:E96)</f>
        <v>7244</v>
      </c>
      <c r="F97" s="15">
        <f t="shared" ref="F97:H97" si="51">SUM(F94:F96)</f>
        <v>20333</v>
      </c>
      <c r="G97" s="15">
        <f t="shared" si="51"/>
        <v>4133</v>
      </c>
      <c r="H97" s="16">
        <f t="shared" si="51"/>
        <v>871</v>
      </c>
    </row>
    <row r="98" spans="1:8" x14ac:dyDescent="0.25">
      <c r="A98" s="28">
        <v>29</v>
      </c>
      <c r="B98" s="29" t="s">
        <v>8</v>
      </c>
      <c r="C98" s="3">
        <f t="shared" ref="C98:C108" si="52">SUM(D98:H98)</f>
        <v>20171</v>
      </c>
      <c r="D98" s="5">
        <f>1000+2000+2000+600+750</f>
        <v>6350</v>
      </c>
      <c r="E98" s="5">
        <f>800+100+400+47+500+150+844+2000+280+1100</f>
        <v>6221</v>
      </c>
      <c r="F98" s="5">
        <f>800+3800+800+800</f>
        <v>6200</v>
      </c>
      <c r="G98" s="5">
        <v>0</v>
      </c>
      <c r="H98" s="6">
        <f>1000+400</f>
        <v>1400</v>
      </c>
    </row>
    <row r="99" spans="1:8" x14ac:dyDescent="0.25">
      <c r="A99" s="30"/>
      <c r="B99" s="31" t="s">
        <v>9</v>
      </c>
      <c r="C99" s="7">
        <f t="shared" si="52"/>
        <v>8650</v>
      </c>
      <c r="D99" s="9">
        <v>0</v>
      </c>
      <c r="E99" s="9">
        <f>400+950</f>
        <v>1350</v>
      </c>
      <c r="F99" s="9">
        <v>0</v>
      </c>
      <c r="G99" s="9">
        <f>2000+2000+3300</f>
        <v>7300</v>
      </c>
      <c r="H99" s="10">
        <v>0</v>
      </c>
    </row>
    <row r="100" spans="1:8" ht="15.75" thickBot="1" x14ac:dyDescent="0.3">
      <c r="A100" s="30"/>
      <c r="B100" s="32" t="s">
        <v>10</v>
      </c>
      <c r="C100" s="11">
        <f t="shared" si="52"/>
        <v>14200</v>
      </c>
      <c r="D100" s="13">
        <v>0</v>
      </c>
      <c r="E100" s="13">
        <f>600+2000+500+1000</f>
        <v>4100</v>
      </c>
      <c r="F100" s="13">
        <f>1000+600+200+1500+800+3000+1000+2000</f>
        <v>10100</v>
      </c>
      <c r="G100" s="13">
        <v>0</v>
      </c>
      <c r="H100" s="14">
        <v>0</v>
      </c>
    </row>
    <row r="101" spans="1:8" ht="15.75" thickBot="1" x14ac:dyDescent="0.3">
      <c r="A101" s="33"/>
      <c r="B101" s="34" t="s">
        <v>11</v>
      </c>
      <c r="C101" s="15"/>
      <c r="D101" s="15">
        <f t="shared" ref="D101" si="53">SUM(D98:D100)</f>
        <v>6350</v>
      </c>
      <c r="E101" s="15">
        <f>SUM(E98:E100)</f>
        <v>11671</v>
      </c>
      <c r="F101" s="15">
        <f t="shared" ref="F101:H101" si="54">SUM(F98:F100)</f>
        <v>16300</v>
      </c>
      <c r="G101" s="15">
        <f t="shared" si="54"/>
        <v>7300</v>
      </c>
      <c r="H101" s="16">
        <f t="shared" si="54"/>
        <v>1400</v>
      </c>
    </row>
    <row r="102" spans="1:8" x14ac:dyDescent="0.25">
      <c r="A102" s="25">
        <v>30</v>
      </c>
      <c r="B102" s="22" t="s">
        <v>8</v>
      </c>
      <c r="C102" s="20">
        <f t="shared" si="52"/>
        <v>19124</v>
      </c>
      <c r="D102" s="21">
        <f>1000+2000+2000+600+750</f>
        <v>6350</v>
      </c>
      <c r="E102" s="22">
        <f>800+100+400+500+150+844+2000+280+1100</f>
        <v>6174</v>
      </c>
      <c r="F102" s="22">
        <f>800+3800+800+800</f>
        <v>6200</v>
      </c>
      <c r="G102" s="22">
        <v>0</v>
      </c>
      <c r="H102" s="23">
        <v>400</v>
      </c>
    </row>
    <row r="103" spans="1:8" x14ac:dyDescent="0.25">
      <c r="A103" s="26"/>
      <c r="B103" s="9" t="s">
        <v>9</v>
      </c>
      <c r="C103" s="7">
        <f t="shared" si="52"/>
        <v>8650</v>
      </c>
      <c r="D103" s="8">
        <v>0</v>
      </c>
      <c r="E103" s="9">
        <f>400+950</f>
        <v>1350</v>
      </c>
      <c r="F103" s="9">
        <v>0</v>
      </c>
      <c r="G103" s="9">
        <f>2000+2000+3300</f>
        <v>7300</v>
      </c>
      <c r="H103" s="10">
        <v>0</v>
      </c>
    </row>
    <row r="104" spans="1:8" ht="15.75" thickBot="1" x14ac:dyDescent="0.3">
      <c r="A104" s="26"/>
      <c r="B104" s="13" t="s">
        <v>10</v>
      </c>
      <c r="C104" s="11">
        <f t="shared" si="52"/>
        <v>14200</v>
      </c>
      <c r="D104" s="12">
        <v>0</v>
      </c>
      <c r="E104" s="13">
        <f>1000+500+2000+600</f>
        <v>4100</v>
      </c>
      <c r="F104" s="13">
        <f>1000+600+200+1500+800+3000+1000+2000</f>
        <v>10100</v>
      </c>
      <c r="G104" s="13">
        <v>0</v>
      </c>
      <c r="H104" s="14">
        <v>0</v>
      </c>
    </row>
    <row r="105" spans="1:8" ht="15.75" thickBot="1" x14ac:dyDescent="0.3">
      <c r="A105" s="27"/>
      <c r="B105" s="34" t="s">
        <v>11</v>
      </c>
      <c r="C105" s="15"/>
      <c r="D105" s="15">
        <f t="shared" ref="D105" si="55">SUM(D102:D104)</f>
        <v>6350</v>
      </c>
      <c r="E105" s="15">
        <f>SUM(E102:E104)</f>
        <v>11624</v>
      </c>
      <c r="F105" s="15">
        <f t="shared" ref="F105:H105" si="56">SUM(F102:F104)</f>
        <v>16300</v>
      </c>
      <c r="G105" s="15">
        <f t="shared" si="56"/>
        <v>7300</v>
      </c>
      <c r="H105" s="16">
        <f t="shared" si="56"/>
        <v>400</v>
      </c>
    </row>
    <row r="106" spans="1:8" x14ac:dyDescent="0.25">
      <c r="A106" s="28">
        <v>31</v>
      </c>
      <c r="B106" s="29" t="s">
        <v>8</v>
      </c>
      <c r="C106" s="3">
        <f t="shared" si="52"/>
        <v>21590</v>
      </c>
      <c r="D106" s="4">
        <f>3000+3000+750</f>
        <v>6750</v>
      </c>
      <c r="E106" s="5">
        <f>600+1000+400+600+100+840+1600+1000+1000</f>
        <v>7140</v>
      </c>
      <c r="F106" s="5">
        <f>1000+3800+500+800+800</f>
        <v>6900</v>
      </c>
      <c r="G106" s="5">
        <v>0</v>
      </c>
      <c r="H106" s="6">
        <f>800</f>
        <v>800</v>
      </c>
    </row>
    <row r="107" spans="1:8" x14ac:dyDescent="0.25">
      <c r="A107" s="30"/>
      <c r="B107" s="31" t="s">
        <v>9</v>
      </c>
      <c r="C107" s="7">
        <f t="shared" si="52"/>
        <v>5500</v>
      </c>
      <c r="D107" s="8">
        <v>0</v>
      </c>
      <c r="E107" s="9">
        <f>250+350+1050+200+950</f>
        <v>2800</v>
      </c>
      <c r="F107" s="9">
        <v>0</v>
      </c>
      <c r="G107" s="9">
        <f>2700</f>
        <v>2700</v>
      </c>
      <c r="H107" s="10">
        <v>0</v>
      </c>
    </row>
    <row r="108" spans="1:8" ht="15.75" thickBot="1" x14ac:dyDescent="0.3">
      <c r="A108" s="30"/>
      <c r="B108" s="32" t="s">
        <v>10</v>
      </c>
      <c r="C108" s="11">
        <f t="shared" si="52"/>
        <v>14668</v>
      </c>
      <c r="D108" s="12">
        <v>0</v>
      </c>
      <c r="E108" s="13">
        <f>68+4000</f>
        <v>4068</v>
      </c>
      <c r="F108" s="13">
        <f>3000+600+7000</f>
        <v>10600</v>
      </c>
      <c r="G108" s="13">
        <v>0</v>
      </c>
      <c r="H108" s="14">
        <v>0</v>
      </c>
    </row>
    <row r="109" spans="1:8" ht="15.75" thickBot="1" x14ac:dyDescent="0.3">
      <c r="A109" s="33"/>
      <c r="B109" s="34" t="s">
        <v>11</v>
      </c>
      <c r="C109" s="15"/>
      <c r="D109" s="15">
        <f t="shared" ref="D109" si="57">SUM(D106:D108)</f>
        <v>6750</v>
      </c>
      <c r="E109" s="15">
        <f>SUM(E106:E108)</f>
        <v>14008</v>
      </c>
      <c r="F109" s="15">
        <f t="shared" ref="F109:H109" si="58">SUM(F106:F108)</f>
        <v>17500</v>
      </c>
      <c r="G109" s="15">
        <f t="shared" si="58"/>
        <v>2700</v>
      </c>
      <c r="H109" s="16">
        <f t="shared" si="58"/>
        <v>800</v>
      </c>
    </row>
  </sheetData>
  <mergeCells count="27">
    <mergeCell ref="A98:A101"/>
    <mergeCell ref="A102:A105"/>
    <mergeCell ref="A106:A109"/>
    <mergeCell ref="A74:A77"/>
    <mergeCell ref="A78:A81"/>
    <mergeCell ref="A82:A85"/>
    <mergeCell ref="A86:A89"/>
    <mergeCell ref="A90:A93"/>
    <mergeCell ref="A94:A97"/>
    <mergeCell ref="A50:A53"/>
    <mergeCell ref="A54:A57"/>
    <mergeCell ref="A58:A61"/>
    <mergeCell ref="A62:A65"/>
    <mergeCell ref="A66:A69"/>
    <mergeCell ref="A70:A73"/>
    <mergeCell ref="A26:A29"/>
    <mergeCell ref="A30:A33"/>
    <mergeCell ref="A34:A37"/>
    <mergeCell ref="A38:A41"/>
    <mergeCell ref="A42:A45"/>
    <mergeCell ref="A46:A4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Data_Octubre2021</vt:lpstr>
      <vt:lpstr>Data_Marzo2022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kzuna</dc:creator>
  <cp:lastModifiedBy>kzuna</cp:lastModifiedBy>
  <dcterms:created xsi:type="dcterms:W3CDTF">2022-10-22T04:19:03Z</dcterms:created>
  <dcterms:modified xsi:type="dcterms:W3CDTF">2022-10-22T04:22:38Z</dcterms:modified>
</cp:coreProperties>
</file>