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DAD14C53-ADED-4FA8-BE18-915A10F6ED54}" xr6:coauthVersionLast="47" xr6:coauthVersionMax="47" xr10:uidLastSave="{00000000-0000-0000-0000-000000000000}"/>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7" i="6" l="1"/>
  <c r="F31" i="6"/>
  <c r="F20" i="6"/>
  <c r="F17" i="6"/>
  <c r="B26" i="8"/>
  <c r="B34" i="8"/>
  <c r="B31" i="8"/>
  <c r="B30" i="8"/>
  <c r="F9" i="6"/>
  <c r="F13" i="6"/>
  <c r="F12" i="6"/>
  <c r="F56" i="6"/>
  <c r="F37" i="6"/>
  <c r="F36" i="6"/>
  <c r="F35" i="6"/>
  <c r="F57" i="6"/>
  <c r="F55" i="6"/>
  <c r="F54" i="6"/>
  <c r="F53" i="6"/>
  <c r="F25" i="6"/>
  <c r="F24" i="6"/>
  <c r="F23" i="6"/>
  <c r="F11" i="6"/>
  <c r="F10" i="6"/>
  <c r="C9" i="6"/>
  <c r="B11" i="8"/>
  <c r="B18" i="8"/>
  <c r="B10" i="8"/>
  <c r="C35" i="6"/>
  <c r="C37" i="6"/>
  <c r="C36" i="6"/>
  <c r="C24" i="6"/>
  <c r="C12" i="6"/>
  <c r="C11" i="6"/>
  <c r="C13" i="6"/>
  <c r="C23" i="6"/>
  <c r="E12" i="8"/>
  <c r="B16" i="8"/>
  <c r="B14" i="8"/>
  <c r="B13" i="8"/>
  <c r="C48" i="6"/>
  <c r="C46" i="6"/>
  <c r="C43" i="6"/>
  <c r="C42" i="6"/>
  <c r="C31" i="6"/>
  <c r="B17" i="8"/>
  <c r="B15" i="8"/>
  <c r="C53" i="6"/>
  <c r="E14" i="8"/>
  <c r="E48" i="8"/>
  <c r="E49" i="8"/>
  <c r="E50" i="8"/>
  <c r="E51" i="8"/>
  <c r="E52" i="8"/>
  <c r="E27" i="8"/>
  <c r="E28" i="8"/>
  <c r="E29" i="8"/>
  <c r="E30" i="8"/>
  <c r="E31" i="8"/>
  <c r="E32" i="8"/>
  <c r="E33" i="8"/>
  <c r="E34" i="8"/>
  <c r="E35" i="8"/>
  <c r="E11"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C60" i="6" s="1"/>
  <c r="I60" i="6" l="1"/>
  <c r="J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<sst xmlns="http://schemas.openxmlformats.org/spreadsheetml/2006/main" count="297" uniqueCount="203">
  <si>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</si>
  <si>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</si>
  <si>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</si>
  <si>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</si>
  <si>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</si>
  <si>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</si>
  <si>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</si>
  <si>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</si>
  <si>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</si>
  <si>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</si>
  <si>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</si>
  <si>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</si>
  <si>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</si>
  <si>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</si>
  <si>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</si>
  <si>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</si>
  <si>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</si>
  <si>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</si>
  <si>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</si>
  <si>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</si>
  <si>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</si>
  <si>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SoloGameService
-0.5 VirtualPlayerService
-0.5 WordBuilderService
-0.5 ExchangeParams, CommandParams</t>
  </si>
  <si>
    <t>-1 Server:SocketManagerService</t>
  </si>
  <si>
    <t>1.2 Nom</t>
  </si>
  <si>
    <t>Le nom de la classe est approprié. 
Utilisation appropriée des suffixes ({..}Component,{..}Controller, {..}Service, etc.). 
Le format à utiliser est le PascalCase</t>
  </si>
  <si>
    <t>-0 Client:FormComponent - trouver un nom plus représentatif</t>
  </si>
  <si>
    <t>1.3 Attributs</t>
  </si>
  <si>
    <t>La classe ne comporte pas d'attributs inutiles (incluant des getter/setter inutiles). 
Les attributs ne représentent que des états de la classe. 
Un attribut utilisé seulement dans les tests ne devrait pas exister.</t>
  </si>
  <si>
    <t>-0.5 RackService:squareHeight
-0.5 ValidationService:updatePlayerScore</t>
  </si>
  <si>
    <t>-0.25 Client:ChatDisplayService:sendSystemMessageToServer
-0.25 Server:GameListService:getList
-0.25 Client:ManipulationRackService:letterSelectedPostion, firstOccurencePosition</t>
  </si>
  <si>
    <t>1.4 Accessibilité</t>
  </si>
  <si>
    <t>La classe minimise l'accessibilité des membres (public/private/protected)</t>
  </si>
  <si>
    <t>-0.25 ChatDisplayService:isActiveDebug
-0.25 ChatDisplayService.scrabbleLettersToString
-0.25 GridService:drawLetter
-0.25 SoloGameService:timerMs
-0.25 TextEntryService.commandsMap
-0.25 ValidationService:validateWordsAndCalculateScor
-0.25 VirtualPlayerService:movesWithGivenLetter
-0.25 WordBuilder.Service.completeWordInADirection</t>
  </si>
  <si>
    <t>Client:BonusService:useVerticalWordBonus
Client:ChatDisplayService: socketOnConnect
Client:CommandInvokerService:displayExecutionResultMessages
Client:GridService:drawSinglequareColor
Client:LetterStockService:addLettersToStock
Client:MouseWordPlacerService:findPlaceForLetter
Client:MultiPlayerGameService:updateBoard
Client:PlaceService:placeLetter</t>
  </si>
  <si>
    <t>1.5 Valeur par défaut</t>
  </si>
  <si>
    <t>Les valeurs par défaut des attributs de la classe sont initialisés de manière constante (soit dans le constructeur partout, soit à la définition)</t>
  </si>
  <si>
    <t>-0.5 ScrabbleBoard
-0.5 Square
-0.5 FormComponent
-0.5 SidebarComponent
-0.5 ChatDisplayService
-0.5 GridService
-0.5 RackService</t>
  </si>
  <si>
    <t>Client:ScrabbleBoard
Server:ScrabbleBoard</t>
  </si>
  <si>
    <t>Sous-total</t>
  </si>
  <si>
    <t>2. Qualité des fonctions</t>
  </si>
  <si>
    <t>KL</t>
  </si>
  <si>
    <t>2.1 Nom</t>
  </si>
  <si>
    <t>Les noms des fonctions sont précis et décrivent les tâches voulues. 
Le format à utiliser doit être uniforme dans tous les fichiers (camelCase, PascalCase, ...)</t>
  </si>
  <si>
    <t>-1 de nombreux typo dans le code</t>
  </si>
  <si>
    <t>2.2 Utilité</t>
  </si>
  <si>
    <t xml:space="preserve">Chaque fonction n'a qu'une seule utilité, elle ne peut pas être fragmentée en plusieurs fonctions et elle est facilement lisible. </t>
  </si>
  <si>
    <t>-0.5 virtual-player.service.ts:160</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</si>
  <si>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</si>
  <si>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</si>
  <si>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</si>
  <si>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</si>
  <si>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</si>
  <si>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</si>
  <si>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-0.5 word-builder-service.ts: 19</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</si>
  <si>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</si>
  <si>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</si>
  <si>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</si>
  <si>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-0.25 ValidationService:27</t>
  </si>
  <si>
    <t>3.2 Valeurs limites</t>
  </si>
  <si>
    <t>Toute fonction doit gérer les valeurs limites de leurs paramètres</t>
  </si>
  <si>
    <t>-0.25 RackService:drawLetter
-0.25 BonusService:UseHorizontaleWordBonus, useVerticalWordBonus</t>
  </si>
  <si>
    <t>3.3 Code asynchrone</t>
  </si>
  <si>
    <t>Tout code asynchrone (Promise, Observable ou Event) doit être géré adéquatement.</t>
  </si>
  <si>
    <t>Il faut unsubscribe lorsqu'un component est détruit. Voici un exemple pour Client:PlayAreaComponent:
playerSub = this.gameService.currentGameService...subscribe(...)
ngOnDestroy() { this.playerSub.unsubscribe() }
-0.25 PlayAreaComponent</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</si>
  <si>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</si>
  <si>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</si>
  <si>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</si>
  <si>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</si>
  <si>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</si>
  <si>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</si>
  <si>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</si>
  <si>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</si>
  <si>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</si>
  <si>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-0.25 chat-display.service.ts:46</t>
  </si>
  <si>
    <t>5. Expression booléennes</t>
  </si>
  <si>
    <t>5.1 Expressions</t>
  </si>
  <si>
    <t>Les expression booléennes ne sont pas comparées à true ou false</t>
  </si>
  <si>
    <t>-0.75 SoloGameService
-0.25 ValidationService</t>
  </si>
  <si>
    <t>-0.75 Client:FormComponent
-0.25 Client:ActivateGuardService</t>
  </si>
  <si>
    <t>5.2 Logique booléenne négative</t>
  </si>
  <si>
    <t>Minimiser la logique booléenne négative (ex: éviter "if (!notFound(...))")</t>
  </si>
  <si>
    <t>-0.25 RackService:43
-0.25 ValidationService</t>
  </si>
  <si>
    <t>Attention à "(!A &amp;&amp; !B)"</t>
  </si>
  <si>
    <t>5.3 Opérateurs ternaires</t>
  </si>
  <si>
    <t>Utilisation des opérateurs ternaires dans les bon scénario</t>
  </si>
  <si>
    <t>-0.5 ChatDisplayComponent:31
-0.5 SoloGameService:308
-0.5 SidebarComponent:61</t>
  </si>
  <si>
    <t>-0.25 Client:ActivateGuardService:17
-0.25 Client:SidebarComponent:83
-0.25 Client:ChatDisplayComponent:32
-0.25 Client:FormComponent:43
-0 Server:PlayerManagerService:18
-0.25 Client:ScrabbleBoard:isWordPassingInCenter
-0.25 Client:PlaceService:canPlaceWord</t>
  </si>
  <si>
    <t>5.4 Prédicats</t>
  </si>
  <si>
    <t>Pas d'expressions booléennes complexes. 
Des prédicats sont utilisés pour simplifier les conditions complexes</t>
  </si>
  <si>
    <t>-0.25 ScrabbleBoard:generate...
-0.25 SoloGameService:308</t>
  </si>
  <si>
    <t>-0.25 Client:MouseWordPlacerService:44, 130
-0.25 Client:PlaceService:94
-0 Client:VirtualPlayerService:210
-0.25 Client:VirtualPlayerService:280</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</si>
  <si>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</si>
  <si>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</si>
  <si>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</si>
  <si>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</si>
  <si>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</si>
  <si>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</si>
  <si>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</si>
  <si>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-0.5 scrabble-letter.ts espacement
-0.5 virtual-player.service.ts</t>
  </si>
  <si>
    <t>-0.5 game-list.service.ts: espacement
-0.5 mouse-word-placer-compagnion.ts: espacement
-0.5 mouse-word-placer.ts: espacement
-0.5 place-service.ts: espacement
-0.5 solo-game-service.ts: espacement
-0.5 game-list-manager-service.ts: espacement</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</si>
  <si>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</si>
  <si>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</si>
  <si>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-0.5 validation.service.ts:35,88</t>
  </si>
  <si>
    <t xml:space="preserve">-0.5 game-parameter.ts:14 : Francais / Anglais ?
-0.5 place-service.ts: 144 </t>
  </si>
  <si>
    <t>6.5 Commentaires</t>
  </si>
  <si>
    <t>Les commentaires, lorsque présents sont pertinents</t>
  </si>
  <si>
    <t>-0.5 player.ts:25
-0.5 letter-stock.service.ts
-0.25 solo-game.service.ts:88
-0.25 validation.service.ts:88
-0.5 virtual.player.service:37</t>
  </si>
  <si>
    <t>-0.25 pass-command.ts:5
-1 sidebar-compoenent.ts
-0.25 mouse-word-placer-compagnion.ts: 15
-0.5 place-service.ts: 145,146</t>
  </si>
  <si>
    <t>6.6 Enums</t>
  </si>
  <si>
    <t>Le programme utilise des enums lorsqu'elles sont nécessaires</t>
  </si>
  <si>
    <t>-0.5 scrabble-board.ts: orientation doit etre un enum
-0.5 mouse-word-placer.ts: keyPressed doit etre un enum
-0.5 mouse-word-placer.ts: orientation doit etre un enum</t>
  </si>
  <si>
    <t>6.7 Utilisation des classes et interfaces</t>
  </si>
  <si>
    <t>Les objets anonymes Javascript ne sont pas utilisés, des classes ou des interfaces sont utilisés</t>
  </si>
  <si>
    <t>-0.5 command.ts:22,21</t>
  </si>
  <si>
    <t>6.8 Duplication</t>
  </si>
  <si>
    <t>Il n'y a pas de duplication de code.</t>
  </si>
  <si>
    <t>-2 bonus.service.ts:70,90
-4 grid.service.ts:92,168,211,225</t>
  </si>
  <si>
    <t>-1.5 scrabble-board.ts:236-241, 248-262
-1 grid.service.ts:101
-1 mouse-word-placer-compagnion.ts: 21-33
-1 mouse-word-placer.ts: 140-150</t>
  </si>
  <si>
    <t>6.9 ESLint</t>
  </si>
  <si>
    <t>Aucune erreur ESLint non justifiée. (Des commentaires TODO sont acceptables). (25% de la note sera retirée par type d'erreur présente)
L'utilisation raisonnable de eslint:disable est tolérée dans les fichiers spec.ts.</t>
  </si>
  <si>
    <t>-2 eslint error
-0.5 form.component.ts:66 
-0.5 sidebar.component.ts:13
-0.5 text-entry.service.ts
-0.5 validation.service.ts</t>
  </si>
  <si>
    <t>-2 form-service.component.ts: eslint:disable
-2 play-area.component.ts: eslint:disable
-4 multiple eslint error</t>
  </si>
  <si>
    <t xml:space="preserve">6.10 Imbrication </t>
  </si>
  <si>
    <t>Les structures conditionnelles réduisent l'imbrication lorsque possible (reduce nesting).</t>
  </si>
  <si>
    <t>-3 text-entry.service.ts:148,179,199,215
-1 validation.service.ts:38
-3 virtual.player.service.ts:109</t>
  </si>
  <si>
    <t>Note: Toujour utiliser une structure: if (condition) {code; return } si possible. 
-0.5 scrabble-board.ts:210
-1 rack-component.ts:88,109
-0.5 exchange.service.ts:30
-0.5 grid.service.ts:171
-1 manipulation-rack.service.ts:57
-0.5 mouse-word-placer.ts: 316
-2 text-entry-service.ts: 71,162,193,229</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</si>
  <si>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</si>
  <si>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</si>
  <si>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</si>
  <si>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</si>
  <si>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</si>
  <si>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</si>
  <si>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</si>
  <si>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-0 - XX [dev] test</t>
  </si>
  <si>
    <t>7.3 Branches mortes</t>
  </si>
  <si>
    <t>Le repo git ne contient pas de branches mortes (stale branches).</t>
  </si>
  <si>
    <t>Attention, vous avez des vieilles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</si>
  <si>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</si>
  <si>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</si>
  <si>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-2 Vous n'avez (presque) pas utiliser les merge requests</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</si>
  <si>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</si>
  <si>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</si>
  <si>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</si>
  <si>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</si>
  <si>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</si>
  <si>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</si>
  <si>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</si>
  <si>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</si>
  <si>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</si>
  <si>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</si>
  <si>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</si>
  <si>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-0.5 le timer n'est pas proprement reinitialiser
-0.5 il est possible de faire des parties à plus de 1 minutes
-0.5 La réserve n'est pas mise à jour correctement.
-0.5 le chat n'est pas réinitialiser
-0.5 c'est toujour le joueur solo qui commence</t>
  </si>
  <si>
    <t>1.3 Mode de jeu classique - Joueur Virtuel débutant</t>
  </si>
  <si>
    <t>Fonctionnalité
-1 la personne qui débute n'est pas sélectionnée de manière aléatoire
-1 le temps descend trop vite lorsque je quitte et reviens
-1 je ne peux pas atteindre la fin d'une partie
-10 le JV ne joue pas
-1 problème avec les plages de points
-1 problème avec échange du JV
-1 je ne vois pas les actions du JV
-1 je ne vois pas les 3 alternatives de mots
-0.5 mauvaise format d'affichage en mode debug
Tests
VirtualPlayerService, WordBuilderService, SoloGameService</t>
  </si>
  <si>
    <t>1.4 Validation locale des mots</t>
  </si>
  <si>
    <t>Calcule pas les points, accepte des mots non existants, n'accepte pas de bon placements.</t>
  </si>
  <si>
    <t>1.5 Vue de jeu</t>
  </si>
  <si>
    <t xml:space="preserve">
-0.25 La case du milieu n'est pas une base bonus
-1 Le panneau informatif contient, pour chaque joueur, son nom, son score et le nombre de lettres dans son chevalet ssi moins que 7.
-0.5 si je quitte et reviens, le timer descend plus vite
Tests
ScrabbleBoard, ScrabbleLetter, SidebarComponent</t>
  </si>
  <si>
    <t>1.6 Boite de communication</t>
  </si>
  <si>
    <t>-0.5 la couleur de l'adversaire n'est pas visible</t>
  </si>
  <si>
    <t>1.7 Placer des lettres (commande seulement)</t>
  </si>
  <si>
    <t>Fonctionnalité
-4 Impossible de placer des mots après le 1er tour
-1 accepte des mots qui n'existent pa
Tests
SoloGameService: place, placeLetter, canPlaceWord</t>
  </si>
  <si>
    <t>1. Échanger des lettres (commande seulement)</t>
  </si>
  <si>
    <t>-1 aucune commande n'est lancé par l'adversaire</t>
  </si>
  <si>
    <t>1.9 Passer son tour</t>
  </si>
  <si>
    <t>1.10 Fin de partie</t>
  </si>
  <si>
    <t>-1 le joueur virtuel ne peux pas passer son tour
-1 pas de message de fin de jeux, pas d'information sur le winner</t>
  </si>
  <si>
    <t>1.11 Commandes débug</t>
  </si>
  <si>
    <t>Tests
ChatDisplayService:105</t>
  </si>
  <si>
    <t>Note finale pour le sprint</t>
  </si>
  <si>
    <t>Crash</t>
  </si>
  <si>
    <t>Erreur de build</t>
  </si>
  <si>
    <t>2.1 Mode multijoueur</t>
  </si>
  <si>
    <t>-1 Bug avec le nombre de lettre dans la réserve.
-1 le scrore du joeur adverse n'est pas mis à jour.</t>
  </si>
  <si>
    <t>2.2 Clavarder</t>
  </si>
  <si>
    <t>2.3 Validation des mots sur le serveur</t>
  </si>
  <si>
    <t>2.4 Paramètres de partie (minuterie et mode aléatoire)</t>
  </si>
  <si>
    <t>-0.5 le timer se décrémente parfois 2 fois plus vite.</t>
  </si>
  <si>
    <t>2.5 Initialisation d'une nouvelle partie (mode multijoueur)</t>
  </si>
  <si>
    <t>---FONCTIONNALITÉS---
1. Paramètres de partie: Oui
2. Changement multijoueur -&gt; solo
-0 pas une conversion
3. Salle d'attente pour la personne qui a créé la partie: Oui
4. Possible de rejoindre une salle d'attente: Oui
5. Retirer la partie de l'affichage lorsqu'elle commence: Oui
6. Retirer la partie de l'affichage si j'annule: Oui
---TESTS---
Client
- FormComponent
- WaitingAreaComponent
- GameListService
Serveur
- GameListManagerService</t>
  </si>
  <si>
    <t>2.6 Placer des lettres</t>
  </si>
  <si>
    <t>---FONCTIONNALITÉS---
1. Placer des lettres: Oui
2. Sélection de la case vide: Oui
3. Choisir une lettre avec le clavier: 
-0 La lettre blanche doit s'affichée comme la lettre désirée sur le plateau de jeu
4. Retirer une lettre: Oui
5. Confirmer un placement: Oui
6. Annuler un placement: Oui
7. Affichage dans la boite de communication: Oui
---TESTS---
Client: 
- MouseWordPlacerService
- PlaceService
- SoloGameService.place
Serveur: Oui</t>
  </si>
  <si>
    <t>2.7 Échanger des lettres</t>
  </si>
  <si>
    <t>---FONCTIONNALITÉS---
1. Sélection bouton droit: Oui
2. Annuler la sélection lors du changement de récepteur: Oui
3. Affichage du bouton échanger: Oui
4. Affichage du bouton annuler: Oui
5. Piger dans la réserve: Oui
6. Affichage dans la boite de communucation: Oui
---TESTS---
Client: 
- ExchangeService
- ExchangeCommand
- CommandInvokerService.executeCommand(command as ExchangeCmd)
- GameService.exchangeLetters
Server: 
- SocketManagerService.socket.on('exchange letters')</t>
  </si>
  <si>
    <t>2.8 Abandonner une partie</t>
  </si>
  <si>
    <t>---FONCTIONNALITÉS---
1. Bouton abandonner: Oui
2. Abandonner à tout moment: Oui
3. Message de confirmation: Oui
4. Redirection à la page d'accueil: Oui
5. Annuler l'abandon: Oui
6. Abandonner déclare l'adversaire gagnant: Oui
7. Fermeture du site web: Oui
---TESTS---
Client: 
- SidebarComponent.quitGame, EndGamePopupComponent
Server: 
- SocketManagerService.socket.on('leaveRoom'), leaveRoom()</t>
  </si>
  <si>
    <t>2.9 Manipuler les lettres du chevalet</t>
  </si>
  <si>
    <t>---FONCTIONNALITÉS---
1. Manipulation en tout temps avec bouton gauche: Oui
2. Manipulation: Oui
3. Un seul type de sélection: Oui
4. Annuler si une touche ne représente pas une lettre du chevalet: Oui
---TESTS---
Client: 
- RackComponent.onLeftClick .selectedLetterPosition .onKeyDown
- ManipulationRackService.handleSelection() .switchLeft() .switchRight() .selectByLetter()
- RackService
Server: N/A</t>
  </si>
  <si>
    <t>2.10 Commande réserve</t>
  </si>
  <si>
    <t>---FONCTIONNALITÉS---
1. Commande réserve: Oui
2. Affichage de la lettre blanche: Oui
3. Respect du format: Oui
4. Affichage seulement pour le joueur ayant envoyé la commande: Oui
5. Seulement accessible si débogage: Oui
---TESTS---
Client: 
- TextEntryService.handleInput() .createCommand()
- commandInvokerService.executeCommand</t>
  </si>
  <si>
    <t xml:space="preserve">GR - commentaires UI/UX
- changer le fond des lettres placées sur le plateau de jeu pour que ce soit plus facile à distinguer </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</si>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</sst>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rgb="FF000000"/>
      <name val="Calibri"/>
      <family val="2"/>
      <charset val="1"/>
    </font>
    <font>
      <sz val="11"/>
      <color theme="1"/>
      <name val="Calibri"/>
      <scheme val="minor"/>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7">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
      <patternFill patternType="solid">
        <fgColor rgb="FFFFE699"/>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5" fillId="0" borderId="0" applyBorder="0" applyProtection="0"/>
    <xf numFmtId="0" fontId="3" fillId="2" borderId="0" applyBorder="0" applyProtection="0"/>
    <xf numFmtId="0" fontId="10" fillId="3" borderId="26" applyNumberFormat="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06">
    <xf numFmtId="0" fontId="0" fillId="0" borderId="0" xfId="0"/>
    <xf numFmtId="0" fontId="0" fillId="0" borderId="0" xfId="0" applyAlignment="1">
      <alignment wrapText="1"/>
    </xf>
    <xf numFmtId="0" fontId="0" fillId="0" borderId="0" xfId="0" applyAlignment="1">
      <alignment horizontal="center"/>
    </xf>
    <xf numFmtId="0" fontId="4" fillId="0" borderId="0" xfId="0" applyFont="1" applyAlignment="1">
      <alignment horizontal="center" vertical="center" wrapText="1"/>
    </xf>
    <xf numFmtId="0" fontId="6"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vertical="center"/>
    </xf>
    <xf numFmtId="0" fontId="10"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4" fillId="0" borderId="0" xfId="0" applyFont="1"/>
    <xf numFmtId="0" fontId="11" fillId="0" borderId="0" xfId="0" applyFont="1"/>
    <xf numFmtId="0" fontId="0" fillId="0" borderId="0" xfId="0" applyAlignment="1">
      <alignment horizontal="left" wrapText="1"/>
    </xf>
    <xf numFmtId="0" fontId="4" fillId="0" borderId="4" xfId="0" applyFont="1" applyBorder="1" applyAlignment="1">
      <alignment horizontal="center" vertical="center" wrapText="1"/>
    </xf>
    <xf numFmtId="0" fontId="16" fillId="0" borderId="0" xfId="0" applyFont="1" applyAlignment="1">
      <alignment vertical="center" wrapText="1"/>
    </xf>
    <xf numFmtId="0" fontId="13" fillId="0" borderId="0" xfId="0" applyFont="1"/>
    <xf numFmtId="49" fontId="0" fillId="0" borderId="15" xfId="0" applyNumberFormat="1" applyBorder="1" applyAlignment="1">
      <alignment horizontal="left" vertical="center" wrapText="1"/>
    </xf>
    <xf numFmtId="0" fontId="4" fillId="8" borderId="24"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25" xfId="0" applyFont="1" applyFill="1" applyBorder="1" applyAlignment="1">
      <alignment horizontal="center" vertical="center" wrapText="1"/>
    </xf>
    <xf numFmtId="0" fontId="4" fillId="13" borderId="24" xfId="0" applyFont="1" applyFill="1" applyBorder="1" applyAlignment="1">
      <alignment horizontal="center" vertical="center" wrapText="1"/>
    </xf>
    <xf numFmtId="0" fontId="4" fillId="13" borderId="25" xfId="0" applyFont="1" applyFill="1" applyBorder="1" applyAlignment="1">
      <alignment horizontal="center" vertical="center" wrapText="1"/>
    </xf>
    <xf numFmtId="0" fontId="4" fillId="9" borderId="17" xfId="0" applyFont="1" applyFill="1" applyBorder="1" applyAlignment="1">
      <alignment horizontal="left" vertical="center" wrapText="1"/>
    </xf>
    <xf numFmtId="0" fontId="4" fillId="8" borderId="17" xfId="0" applyFont="1" applyFill="1" applyBorder="1" applyAlignment="1">
      <alignment horizontal="left" vertical="center" wrapText="1"/>
    </xf>
    <xf numFmtId="0" fontId="4"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4" fillId="8" borderId="34"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34" xfId="0" applyFont="1" applyFill="1" applyBorder="1" applyAlignment="1">
      <alignment horizontal="left" vertical="center" wrapText="1"/>
    </xf>
    <xf numFmtId="0" fontId="14" fillId="15" borderId="34" xfId="0" applyFont="1" applyFill="1" applyBorder="1" applyAlignment="1">
      <alignment horizontal="center" vertical="center" wrapText="1"/>
    </xf>
    <xf numFmtId="0" fontId="14" fillId="8"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1" xfId="0" applyFill="1" applyBorder="1" applyAlignment="1">
      <alignment horizontal="left"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4" fillId="16" borderId="9" xfId="0" applyFont="1" applyFill="1" applyBorder="1" applyAlignment="1">
      <alignment vertical="center"/>
    </xf>
    <xf numFmtId="0" fontId="14" fillId="16" borderId="19" xfId="0" applyFont="1" applyFill="1" applyBorder="1" applyAlignment="1">
      <alignment vertical="center" wrapText="1"/>
    </xf>
    <xf numFmtId="0" fontId="14" fillId="16" borderId="21" xfId="0" applyFont="1" applyFill="1" applyBorder="1" applyAlignment="1">
      <alignment vertical="center" wrapText="1"/>
    </xf>
    <xf numFmtId="0" fontId="14"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4" fillId="8" borderId="38" xfId="0" applyFont="1" applyFill="1" applyBorder="1" applyAlignment="1">
      <alignment horizontal="left" vertical="center" wrapText="1"/>
    </xf>
    <xf numFmtId="0" fontId="14" fillId="9" borderId="29" xfId="0" applyFont="1" applyFill="1" applyBorder="1" applyAlignment="1">
      <alignment horizontal="center" vertical="center" wrapText="1"/>
    </xf>
    <xf numFmtId="0" fontId="14"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4" fillId="9" borderId="16" xfId="0" applyFont="1" applyFill="1" applyBorder="1" applyAlignment="1">
      <alignment horizontal="center" vertical="center" wrapText="1"/>
    </xf>
    <xf numFmtId="0" fontId="14" fillId="9" borderId="38" xfId="0" applyFont="1" applyFill="1" applyBorder="1" applyAlignment="1">
      <alignment horizontal="left" vertical="center" wrapText="1"/>
    </xf>
    <xf numFmtId="0" fontId="14"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4"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4" fillId="8" borderId="10" xfId="0" applyFont="1" applyFill="1" applyBorder="1" applyAlignment="1">
      <alignment horizontal="center" vertical="center" wrapText="1"/>
    </xf>
    <xf numFmtId="0" fontId="14" fillId="8" borderId="33" xfId="0" applyFont="1" applyFill="1" applyBorder="1" applyAlignment="1">
      <alignment horizontal="center" vertical="center" wrapText="1"/>
    </xf>
    <xf numFmtId="0" fontId="14" fillId="8" borderId="42"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17" fillId="8" borderId="31" xfId="0" applyFont="1" applyFill="1" applyBorder="1" applyAlignment="1">
      <alignment horizontal="center" vertical="center" wrapText="1"/>
    </xf>
    <xf numFmtId="0" fontId="17" fillId="8" borderId="39" xfId="0" applyFont="1" applyFill="1" applyBorder="1" applyAlignment="1">
      <alignment horizontal="left" vertical="center" wrapText="1"/>
    </xf>
    <xf numFmtId="0" fontId="17" fillId="9" borderId="12" xfId="0" applyFont="1" applyFill="1" applyBorder="1" applyAlignment="1">
      <alignment horizontal="center" vertical="center" wrapText="1"/>
    </xf>
    <xf numFmtId="0" fontId="17" fillId="9" borderId="31" xfId="0" applyFont="1" applyFill="1" applyBorder="1" applyAlignment="1">
      <alignment horizontal="center" vertical="center" wrapText="1"/>
    </xf>
    <xf numFmtId="0" fontId="17" fillId="9" borderId="39" xfId="0" applyFont="1" applyFill="1" applyBorder="1" applyAlignment="1">
      <alignment horizontal="left" vertical="center" wrapText="1"/>
    </xf>
    <xf numFmtId="0" fontId="17" fillId="13" borderId="12" xfId="0" applyFont="1" applyFill="1" applyBorder="1" applyAlignment="1">
      <alignment horizontal="center" vertical="center" wrapText="1"/>
    </xf>
    <xf numFmtId="0" fontId="17" fillId="13" borderId="31" xfId="0" applyFont="1" applyFill="1" applyBorder="1" applyAlignment="1">
      <alignment horizontal="center" vertical="center" wrapText="1"/>
    </xf>
    <xf numFmtId="0" fontId="17" fillId="13" borderId="39" xfId="0" applyFont="1" applyFill="1" applyBorder="1" applyAlignment="1">
      <alignment horizontal="left" vertical="center" wrapText="1"/>
    </xf>
    <xf numFmtId="0" fontId="17" fillId="0" borderId="0" xfId="0" applyFont="1" applyAlignment="1">
      <alignment horizontal="center" vertical="center" wrapText="1"/>
    </xf>
    <xf numFmtId="0" fontId="17" fillId="0" borderId="0" xfId="0" applyFont="1"/>
    <xf numFmtId="0" fontId="17" fillId="8" borderId="11" xfId="0" applyFont="1" applyFill="1" applyBorder="1" applyAlignment="1">
      <alignment horizontal="center" vertical="center" wrapText="1"/>
    </xf>
    <xf numFmtId="0" fontId="17" fillId="8" borderId="30" xfId="0" applyFont="1" applyFill="1" applyBorder="1" applyAlignment="1">
      <alignment horizontal="center" vertical="center" wrapText="1"/>
    </xf>
    <xf numFmtId="0" fontId="17" fillId="8" borderId="35" xfId="0" applyFont="1" applyFill="1" applyBorder="1" applyAlignment="1">
      <alignment horizontal="left" vertical="center" wrapText="1"/>
    </xf>
    <xf numFmtId="0" fontId="17" fillId="9" borderId="11" xfId="0" applyFont="1" applyFill="1" applyBorder="1" applyAlignment="1">
      <alignment horizontal="center" vertical="center" wrapText="1"/>
    </xf>
    <xf numFmtId="0" fontId="17" fillId="9" borderId="30" xfId="0" applyFont="1" applyFill="1" applyBorder="1" applyAlignment="1">
      <alignment horizontal="center" vertical="center" wrapText="1"/>
    </xf>
    <xf numFmtId="0" fontId="17" fillId="9" borderId="35" xfId="0" applyFont="1" applyFill="1" applyBorder="1" applyAlignment="1">
      <alignment horizontal="left" vertical="center" wrapText="1"/>
    </xf>
    <xf numFmtId="0" fontId="17" fillId="13" borderId="11" xfId="0" applyFont="1" applyFill="1" applyBorder="1" applyAlignment="1">
      <alignment horizontal="center" vertical="center" wrapText="1"/>
    </xf>
    <xf numFmtId="0" fontId="17" fillId="13" borderId="30" xfId="0" applyFont="1" applyFill="1" applyBorder="1" applyAlignment="1">
      <alignment horizontal="center" vertical="center" wrapText="1"/>
    </xf>
    <xf numFmtId="0" fontId="17" fillId="13" borderId="35" xfId="0" applyFont="1" applyFill="1" applyBorder="1" applyAlignment="1">
      <alignment horizontal="left" vertical="center" wrapText="1"/>
    </xf>
    <xf numFmtId="0" fontId="14" fillId="9" borderId="40" xfId="0" applyFont="1" applyFill="1" applyBorder="1" applyAlignment="1">
      <alignment horizontal="center" vertical="center" wrapText="1"/>
    </xf>
    <xf numFmtId="0" fontId="14" fillId="9" borderId="41" xfId="0" applyFont="1" applyFill="1" applyBorder="1" applyAlignment="1">
      <alignment horizontal="left" vertical="center" wrapText="1"/>
    </xf>
    <xf numFmtId="0" fontId="14" fillId="9" borderId="10"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42" xfId="0" applyFont="1" applyFill="1" applyBorder="1" applyAlignment="1">
      <alignment horizontal="left" vertical="center" wrapText="1"/>
    </xf>
    <xf numFmtId="0" fontId="14" fillId="8" borderId="40" xfId="0" applyFont="1" applyFill="1" applyBorder="1" applyAlignment="1">
      <alignment horizontal="center" vertical="center" wrapText="1"/>
    </xf>
    <xf numFmtId="0" fontId="14" fillId="8" borderId="41" xfId="0" applyFont="1"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7" fillId="9" borderId="31" xfId="0" applyFont="1" applyFill="1" applyBorder="1" applyAlignment="1">
      <alignment horizontal="left" vertical="center" wrapText="1"/>
    </xf>
    <xf numFmtId="0" fontId="14" fillId="13" borderId="40" xfId="0" applyFont="1" applyFill="1" applyBorder="1" applyAlignment="1">
      <alignment horizontal="center" vertical="center" wrapText="1"/>
    </xf>
    <xf numFmtId="0" fontId="14"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7" fillId="8" borderId="12" xfId="0" applyNumberFormat="1" applyFont="1" applyFill="1" applyBorder="1" applyAlignment="1">
      <alignment horizontal="center" vertical="center" wrapText="1"/>
    </xf>
    <xf numFmtId="49" fontId="17" fillId="9" borderId="12" xfId="0" applyNumberFormat="1"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5" fillId="13" borderId="10" xfId="0" applyFont="1" applyFill="1" applyBorder="1" applyAlignment="1">
      <alignment horizontal="center" vertical="center" wrapText="1"/>
    </xf>
    <xf numFmtId="0" fontId="15" fillId="15" borderId="33" xfId="0" applyFont="1" applyFill="1" applyBorder="1" applyAlignment="1">
      <alignment horizontal="center" vertical="center" wrapText="1"/>
    </xf>
    <xf numFmtId="0" fontId="15" fillId="15" borderId="42" xfId="0" applyFont="1" applyFill="1" applyBorder="1" applyAlignment="1">
      <alignment horizontal="left" vertical="center" wrapText="1"/>
    </xf>
    <xf numFmtId="0" fontId="15" fillId="13" borderId="16" xfId="0" applyFont="1" applyFill="1" applyBorder="1" applyAlignment="1">
      <alignment horizontal="center" vertical="center" wrapText="1"/>
    </xf>
    <xf numFmtId="0" fontId="15" fillId="15" borderId="38" xfId="0" applyFont="1" applyFill="1" applyBorder="1" applyAlignment="1">
      <alignment horizontal="left" vertical="center" wrapText="1"/>
    </xf>
    <xf numFmtId="49" fontId="17"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7" fillId="0" borderId="0" xfId="1" applyFont="1" applyBorder="1" applyAlignment="1" applyProtection="1">
      <alignment vertical="center" wrapText="1"/>
    </xf>
    <xf numFmtId="0" fontId="7"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9" fillId="14" borderId="10" xfId="0" applyFont="1" applyFill="1" applyBorder="1" applyAlignment="1">
      <alignment horizontal="left" vertical="center"/>
    </xf>
    <xf numFmtId="0" fontId="9" fillId="14" borderId="33" xfId="0" applyFont="1" applyFill="1" applyBorder="1" applyAlignment="1">
      <alignment horizontal="left" vertical="center"/>
    </xf>
    <xf numFmtId="10" fontId="9"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9" fillId="12" borderId="10" xfId="0" applyFont="1" applyFill="1" applyBorder="1" applyAlignment="1">
      <alignment horizontal="left" vertical="center" wrapText="1"/>
    </xf>
    <xf numFmtId="0" fontId="9" fillId="12" borderId="33" xfId="0" applyFont="1" applyFill="1" applyBorder="1" applyAlignment="1">
      <alignment horizontal="left" vertical="center" wrapText="1"/>
    </xf>
    <xf numFmtId="10" fontId="9" fillId="12" borderId="33" xfId="1" applyNumberFormat="1" applyFont="1" applyFill="1" applyBorder="1" applyAlignment="1">
      <alignment horizontal="left" vertical="center" wrapText="1"/>
    </xf>
    <xf numFmtId="0" fontId="9" fillId="11" borderId="10" xfId="0" applyFont="1" applyFill="1" applyBorder="1" applyAlignment="1">
      <alignment horizontal="left" vertical="center"/>
    </xf>
    <xf numFmtId="10" fontId="9"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2"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9" fillId="18" borderId="6" xfId="0" applyFont="1" applyFill="1" applyBorder="1" applyAlignment="1">
      <alignment horizontal="left" vertical="center"/>
    </xf>
    <xf numFmtId="0" fontId="9" fillId="18" borderId="23" xfId="0" applyFont="1" applyFill="1" applyBorder="1" applyAlignment="1">
      <alignment horizontal="left" vertical="center"/>
    </xf>
    <xf numFmtId="0" fontId="12" fillId="18" borderId="23" xfId="0" applyFont="1" applyFill="1" applyBorder="1" applyAlignment="1">
      <alignment horizontal="left" vertical="center"/>
    </xf>
    <xf numFmtId="0" fontId="15"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2" fillId="19" borderId="23" xfId="0" applyFont="1" applyFill="1" applyBorder="1" applyAlignment="1">
      <alignment horizontal="left" vertical="center"/>
    </xf>
    <xf numFmtId="0" fontId="15"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5" fillId="20" borderId="23" xfId="0" applyFont="1" applyFill="1" applyBorder="1" applyAlignment="1">
      <alignment horizontal="left" vertical="center" wrapText="1"/>
    </xf>
    <xf numFmtId="0" fontId="15"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5" fillId="20" borderId="6" xfId="0" applyFont="1" applyFill="1" applyBorder="1" applyAlignment="1">
      <alignment horizontal="left" vertical="center" wrapText="1"/>
    </xf>
    <xf numFmtId="0" fontId="15" fillId="19" borderId="6" xfId="0" applyFont="1" applyFill="1" applyBorder="1" applyAlignment="1">
      <alignment horizontal="left" vertical="center" wrapText="1"/>
    </xf>
    <xf numFmtId="0" fontId="10" fillId="3" borderId="27" xfId="3" applyBorder="1" applyAlignment="1">
      <alignment horizontal="center" vertical="center" wrapText="1"/>
    </xf>
    <xf numFmtId="0" fontId="2" fillId="21" borderId="1" xfId="4" applyFill="1" applyBorder="1" applyAlignment="1">
      <alignment horizontal="center" vertical="center"/>
    </xf>
    <xf numFmtId="10" fontId="2" fillId="21" borderId="3" xfId="4" applyNumberFormat="1" applyFill="1" applyBorder="1" applyAlignment="1">
      <alignment horizontal="center" vertical="center"/>
    </xf>
    <xf numFmtId="10" fontId="2" fillId="21" borderId="8" xfId="4" applyNumberFormat="1" applyFill="1" applyBorder="1" applyAlignment="1">
      <alignment horizontal="center" vertical="center"/>
    </xf>
    <xf numFmtId="0" fontId="2" fillId="22" borderId="2" xfId="5" applyFill="1" applyBorder="1" applyAlignment="1">
      <alignment horizontal="center" vertical="center"/>
    </xf>
    <xf numFmtId="10" fontId="2" fillId="22" borderId="4" xfId="5" applyNumberFormat="1" applyFill="1" applyBorder="1" applyAlignment="1">
      <alignment horizontal="center" vertical="center"/>
    </xf>
    <xf numFmtId="10" fontId="2" fillId="22" borderId="0" xfId="5" applyNumberFormat="1" applyFill="1" applyAlignment="1">
      <alignment horizontal="center" vertical="center"/>
    </xf>
    <xf numFmtId="0" fontId="2" fillId="23" borderId="2" xfId="6" applyFill="1" applyBorder="1" applyAlignment="1">
      <alignment horizontal="center" vertical="center"/>
    </xf>
    <xf numFmtId="10" fontId="2" fillId="23" borderId="4" xfId="6" applyNumberFormat="1" applyFill="1" applyBorder="1" applyAlignment="1">
      <alignment horizontal="center" vertical="center"/>
    </xf>
    <xf numFmtId="10" fontId="2" fillId="23" borderId="0" xfId="6" applyNumberFormat="1" applyFill="1" applyAlignment="1">
      <alignment horizontal="center" vertical="center"/>
    </xf>
    <xf numFmtId="0" fontId="0" fillId="0" borderId="0" xfId="0" applyAlignment="1">
      <alignment horizontal="center" vertical="center"/>
    </xf>
    <xf numFmtId="0" fontId="4" fillId="0" borderId="0" xfId="0" applyFont="1" applyAlignment="1">
      <alignment horizontal="left" vertical="center" wrapText="1"/>
    </xf>
    <xf numFmtId="0" fontId="9" fillId="11" borderId="33" xfId="0" applyFont="1" applyFill="1" applyBorder="1" applyAlignment="1">
      <alignment horizontal="left" vertical="center"/>
    </xf>
    <xf numFmtId="0" fontId="0" fillId="24" borderId="34" xfId="0" applyFill="1" applyBorder="1"/>
    <xf numFmtId="0" fontId="0" fillId="25" borderId="34" xfId="0" applyFill="1" applyBorder="1"/>
    <xf numFmtId="2" fontId="0" fillId="8" borderId="40" xfId="0" applyNumberFormat="1" applyFill="1" applyBorder="1" applyAlignment="1">
      <alignment horizontal="center" vertical="center" wrapText="1"/>
    </xf>
    <xf numFmtId="0" fontId="0" fillId="11" borderId="38" xfId="0" applyFill="1" applyBorder="1" applyAlignment="1">
      <alignment horizontal="left" vertical="center" wrapText="1"/>
    </xf>
    <xf numFmtId="2" fontId="0" fillId="11" borderId="34" xfId="0" applyNumberFormat="1" applyFill="1" applyBorder="1" applyAlignment="1">
      <alignment horizontal="left" vertical="center"/>
    </xf>
    <xf numFmtId="2" fontId="0" fillId="19" borderId="34" xfId="0" applyNumberFormat="1" applyFill="1" applyBorder="1" applyAlignment="1">
      <alignment horizontal="left" vertical="center"/>
    </xf>
    <xf numFmtId="0" fontId="0" fillId="19" borderId="38" xfId="0" applyFill="1" applyBorder="1" applyAlignment="1">
      <alignment horizontal="left" vertical="center" wrapText="1"/>
    </xf>
    <xf numFmtId="0" fontId="0" fillId="25" borderId="34" xfId="0" applyFill="1" applyBorder="1" applyAlignment="1">
      <alignment horizontal="left" vertical="center"/>
    </xf>
    <xf numFmtId="2" fontId="0" fillId="8" borderId="16" xfId="0" applyNumberFormat="1" applyFill="1" applyBorder="1" applyAlignment="1">
      <alignment horizontal="center" vertical="center" wrapText="1"/>
    </xf>
    <xf numFmtId="2" fontId="14" fillId="8" borderId="16" xfId="0" applyNumberFormat="1" applyFont="1" applyFill="1" applyBorder="1" applyAlignment="1">
      <alignment horizontal="center" vertical="center" wrapText="1"/>
    </xf>
    <xf numFmtId="164" fontId="14" fillId="8" borderId="16" xfId="0" applyNumberFormat="1" applyFont="1" applyFill="1" applyBorder="1" applyAlignment="1">
      <alignment horizontal="center" vertical="center" wrapText="1"/>
    </xf>
    <xf numFmtId="2" fontId="0" fillId="9" borderId="16" xfId="0" applyNumberFormat="1" applyFill="1" applyBorder="1" applyAlignment="1">
      <alignment horizontal="center" vertical="center" wrapText="1"/>
    </xf>
    <xf numFmtId="2" fontId="14" fillId="8" borderId="10" xfId="0" applyNumberFormat="1" applyFont="1" applyFill="1" applyBorder="1" applyAlignment="1">
      <alignment horizontal="center" vertical="center" wrapText="1"/>
    </xf>
    <xf numFmtId="0" fontId="0" fillId="12" borderId="38" xfId="0" applyFill="1" applyBorder="1" applyAlignment="1">
      <alignment horizontal="left" vertical="center" wrapText="1"/>
    </xf>
    <xf numFmtId="0" fontId="0" fillId="26" borderId="16" xfId="0" applyFill="1" applyBorder="1" applyAlignment="1">
      <alignment horizontal="left" vertical="center" wrapText="1"/>
    </xf>
    <xf numFmtId="0" fontId="0" fillId="26" borderId="34" xfId="0" applyFill="1" applyBorder="1" applyAlignment="1">
      <alignment horizontal="left" vertical="center" wrapText="1"/>
    </xf>
    <xf numFmtId="2" fontId="0" fillId="9" borderId="40" xfId="0" applyNumberFormat="1" applyFill="1" applyBorder="1" applyAlignment="1">
      <alignment horizontal="center" vertical="center" wrapText="1"/>
    </xf>
    <xf numFmtId="0" fontId="0" fillId="20" borderId="38" xfId="0" applyFill="1" applyBorder="1" applyAlignment="1">
      <alignment horizontal="left" vertical="center" wrapText="1"/>
    </xf>
    <xf numFmtId="49" fontId="0" fillId="12" borderId="38" xfId="0" applyNumberFormat="1" applyFill="1" applyBorder="1" applyAlignment="1">
      <alignment horizontal="left" vertical="center" wrapText="1"/>
    </xf>
    <xf numFmtId="49" fontId="0" fillId="26" borderId="38" xfId="0" applyNumberFormat="1" applyFill="1" applyBorder="1" applyAlignment="1">
      <alignment horizontal="left" vertical="center" wrapText="1"/>
    </xf>
    <xf numFmtId="0" fontId="0" fillId="25" borderId="34" xfId="0" applyFill="1" applyBorder="1" applyAlignment="1">
      <alignment vertical="center"/>
    </xf>
    <xf numFmtId="0" fontId="14" fillId="16" borderId="9" xfId="0" applyFont="1" applyFill="1" applyBorder="1" applyAlignment="1">
      <alignment horizontal="center" vertical="center"/>
    </xf>
    <xf numFmtId="0" fontId="14" fillId="16" borderId="19" xfId="0" applyFont="1" applyFill="1" applyBorder="1" applyAlignment="1">
      <alignment horizontal="center" vertical="center"/>
    </xf>
    <xf numFmtId="49" fontId="17" fillId="0" borderId="14" xfId="0" applyNumberFormat="1" applyFont="1" applyBorder="1" applyAlignment="1">
      <alignment horizontal="right" vertical="center" wrapText="1"/>
    </xf>
    <xf numFmtId="49" fontId="17" fillId="0" borderId="30" xfId="0" applyNumberFormat="1" applyFont="1" applyBorder="1" applyAlignment="1">
      <alignment horizontal="right" vertical="center" wrapText="1"/>
    </xf>
    <xf numFmtId="0" fontId="13" fillId="16" borderId="9" xfId="0" applyFont="1" applyFill="1" applyBorder="1" applyAlignment="1">
      <alignment horizontal="left" vertical="center" wrapText="1"/>
    </xf>
    <xf numFmtId="0" fontId="13" fillId="16" borderId="21" xfId="0" applyFont="1" applyFill="1" applyBorder="1" applyAlignment="1">
      <alignment horizontal="left" vertical="center" wrapText="1"/>
    </xf>
    <xf numFmtId="0" fontId="13" fillId="16" borderId="19" xfId="0" applyFont="1" applyFill="1" applyBorder="1" applyAlignment="1">
      <alignment horizontal="left" vertical="center" wrapText="1"/>
    </xf>
    <xf numFmtId="49" fontId="17" fillId="0" borderId="12" xfId="0" applyNumberFormat="1" applyFont="1" applyBorder="1" applyAlignment="1">
      <alignment horizontal="right" vertical="center" wrapText="1"/>
    </xf>
    <xf numFmtId="49" fontId="17" fillId="0" borderId="39" xfId="0" applyNumberFormat="1" applyFont="1" applyBorder="1" applyAlignment="1">
      <alignment horizontal="right" vertical="center" wrapText="1"/>
    </xf>
    <xf numFmtId="0" fontId="13" fillId="16" borderId="9" xfId="0" applyFont="1" applyFill="1" applyBorder="1" applyAlignment="1">
      <alignment horizontal="left" vertical="center"/>
    </xf>
    <xf numFmtId="0" fontId="13" fillId="16" borderId="21" xfId="0" applyFont="1" applyFill="1" applyBorder="1" applyAlignment="1">
      <alignment horizontal="left" vertical="center"/>
    </xf>
    <xf numFmtId="49" fontId="17"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4" fillId="0" borderId="3"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0" fontId="4" fillId="8" borderId="3"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wrapText="1"/>
    </xf>
    <xf numFmtId="0" fontId="4" fillId="13" borderId="36" xfId="0" applyFont="1" applyFill="1" applyBorder="1" applyAlignment="1">
      <alignment horizontal="center" vertical="center" wrapText="1"/>
    </xf>
    <xf numFmtId="0" fontId="4" fillId="13" borderId="22" xfId="0" applyFont="1" applyFill="1" applyBorder="1" applyAlignment="1">
      <alignment horizontal="center" vertical="center" wrapText="1"/>
    </xf>
    <xf numFmtId="0" fontId="4" fillId="13" borderId="18" xfId="0" applyFont="1" applyFill="1" applyBorder="1" applyAlignment="1">
      <alignment horizontal="center" vertical="center" wrapText="1"/>
    </xf>
    <xf numFmtId="49" fontId="4" fillId="0" borderId="8" xfId="0" applyNumberFormat="1" applyFont="1" applyBorder="1" applyAlignment="1">
      <alignment horizontal="left" vertical="center" wrapText="1"/>
    </xf>
    <xf numFmtId="49" fontId="4" fillId="0" borderId="32" xfId="0" applyNumberFormat="1" applyFont="1" applyBorder="1" applyAlignment="1">
      <alignment horizontal="left" vertical="center" wrapText="1"/>
    </xf>
    <xf numFmtId="0" fontId="13" fillId="17" borderId="9" xfId="0" applyFont="1" applyFill="1" applyBorder="1" applyAlignment="1">
      <alignment horizontal="left" vertical="center" wrapText="1"/>
    </xf>
    <xf numFmtId="0" fontId="13" fillId="17" borderId="19" xfId="0" applyFont="1" applyFill="1" applyBorder="1" applyAlignment="1">
      <alignment horizontal="left" vertical="center" wrapText="1"/>
    </xf>
    <xf numFmtId="0" fontId="13"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7" fillId="0" borderId="12" xfId="0" applyFont="1" applyBorder="1" applyAlignment="1">
      <alignment horizontal="right" vertical="center" wrapText="1"/>
    </xf>
    <xf numFmtId="0" fontId="17" fillId="0" borderId="31" xfId="0" applyFont="1" applyBorder="1" applyAlignment="1">
      <alignment horizontal="right" vertical="center" wrapText="1"/>
    </xf>
    <xf numFmtId="9" fontId="17" fillId="8" borderId="12" xfId="1" applyFont="1" applyFill="1" applyBorder="1" applyAlignment="1" applyProtection="1">
      <alignment horizontal="center" vertical="center" wrapText="1"/>
    </xf>
    <xf numFmtId="9" fontId="17" fillId="8" borderId="31" xfId="1" applyFont="1" applyFill="1" applyBorder="1" applyAlignment="1" applyProtection="1">
      <alignment horizontal="center" vertical="center" wrapText="1"/>
    </xf>
    <xf numFmtId="9" fontId="17" fillId="8" borderId="39" xfId="1" applyFont="1" applyFill="1" applyBorder="1" applyAlignment="1" applyProtection="1">
      <alignment horizontal="center" vertical="center" wrapText="1"/>
    </xf>
    <xf numFmtId="9" fontId="17" fillId="9" borderId="12" xfId="1" applyFont="1" applyFill="1" applyBorder="1" applyAlignment="1" applyProtection="1">
      <alignment horizontal="center" vertical="center" wrapText="1"/>
    </xf>
    <xf numFmtId="9" fontId="17" fillId="9" borderId="31" xfId="1" applyFont="1" applyFill="1" applyBorder="1" applyAlignment="1" applyProtection="1">
      <alignment horizontal="center" vertical="center" wrapText="1"/>
    </xf>
    <xf numFmtId="9" fontId="17" fillId="9" borderId="39" xfId="1" applyFont="1" applyFill="1" applyBorder="1" applyAlignment="1" applyProtection="1">
      <alignment horizontal="center" vertical="center" wrapText="1"/>
    </xf>
    <xf numFmtId="9" fontId="17" fillId="10" borderId="12" xfId="1" applyFont="1" applyFill="1" applyBorder="1" applyAlignment="1" applyProtection="1">
      <alignment horizontal="center" vertical="center" wrapText="1"/>
    </xf>
    <xf numFmtId="9" fontId="17" fillId="10" borderId="31" xfId="1" applyFont="1" applyFill="1" applyBorder="1" applyAlignment="1" applyProtection="1">
      <alignment horizontal="center" vertical="center" wrapText="1"/>
    </xf>
    <xf numFmtId="9" fontId="17" fillId="10" borderId="39" xfId="1" applyFont="1" applyFill="1" applyBorder="1" applyAlignment="1" applyProtection="1">
      <alignment horizontal="center" vertical="center" wrapText="1"/>
    </xf>
    <xf numFmtId="0" fontId="7"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8" fillId="18" borderId="9" xfId="0" applyFont="1" applyFill="1" applyBorder="1" applyAlignment="1">
      <alignment horizontal="center"/>
    </xf>
    <xf numFmtId="0" fontId="18" fillId="18" borderId="19" xfId="0" applyFont="1" applyFill="1" applyBorder="1" applyAlignment="1">
      <alignment horizontal="center"/>
    </xf>
    <xf numFmtId="0" fontId="18"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8" fillId="19" borderId="9" xfId="0" applyFont="1" applyFill="1" applyBorder="1" applyAlignment="1">
      <alignment horizontal="center"/>
    </xf>
    <xf numFmtId="0" fontId="8" fillId="19" borderId="19" xfId="0" applyFont="1" applyFill="1" applyBorder="1" applyAlignment="1">
      <alignment horizontal="center"/>
    </xf>
    <xf numFmtId="0" fontId="8"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9" fillId="11" borderId="33" xfId="0" applyFont="1" applyFill="1" applyBorder="1" applyAlignment="1">
      <alignment horizontal="left" vertical="center"/>
    </xf>
    <xf numFmtId="0" fontId="8" fillId="20" borderId="9" xfId="0" applyFont="1" applyFill="1" applyBorder="1" applyAlignment="1">
      <alignment horizontal="center" vertical="center" wrapText="1"/>
    </xf>
    <xf numFmtId="0" fontId="8" fillId="20" borderId="19" xfId="0" applyFont="1" applyFill="1" applyBorder="1" applyAlignment="1">
      <alignment horizontal="center" vertical="center" wrapText="1"/>
    </xf>
    <xf numFmtId="0" fontId="8" fillId="20" borderId="21" xfId="0" applyFont="1" applyFill="1" applyBorder="1" applyAlignment="1">
      <alignment horizontal="center" vertical="center" wrapText="1"/>
    </xf>
    <xf numFmtId="2" fontId="14" fillId="9" borderId="16" xfId="0" applyNumberFormat="1" applyFont="1" applyFill="1" applyBorder="1" applyAlignment="1">
      <alignment horizontal="center" vertical="center" wrapText="1"/>
    </xf>
    <xf numFmtId="2" fontId="0" fillId="12" borderId="34" xfId="0" applyNumberFormat="1" applyFill="1" applyBorder="1" applyAlignment="1">
      <alignment horizontal="left" vertical="center" wrapText="1"/>
    </xf>
    <xf numFmtId="0" fontId="1" fillId="12" borderId="42" xfId="0" applyFont="1"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27" sqref="D27"/>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8"/>
      <c r="B3" s="9" t="s">
        <v>0</v>
      </c>
      <c r="C3" s="9" t="s">
        <v>1</v>
      </c>
      <c r="D3" s="9" t="s">
        <v>2</v>
      </c>
      <c r="E3" s="208" t="s">
        <v>3</v>
      </c>
      <c r="F3" s="2" t="s">
        <v>4</v>
      </c>
      <c r="G3" t="s">
        <v>5</v>
      </c>
    </row>
    <row r="4" spans="1:7">
      <c r="A4" s="209" t="s">
        <v>6</v>
      </c>
      <c r="B4" s="210">
        <f>(Fonctionnalités!E20)</f>
        <v>0.45600000000000002</v>
      </c>
      <c r="C4" s="211">
        <f>'Assurance Qualité'!C61</f>
        <v>0.69</v>
      </c>
      <c r="D4" s="211">
        <f>B4*0.6+C4*0.4 - 0.1*E4</f>
        <v>0.54959999999999998</v>
      </c>
      <c r="F4" s="13">
        <v>15</v>
      </c>
      <c r="G4" s="12">
        <f>D4*F4</f>
        <v>8.2439999999999998</v>
      </c>
    </row>
    <row r="5" spans="1:7">
      <c r="A5" s="212" t="s">
        <v>7</v>
      </c>
      <c r="B5" s="213">
        <f>(Fonctionnalités!E36)</f>
        <v>0.84</v>
      </c>
      <c r="C5" s="214">
        <f>'Assurance Qualité'!F61</f>
        <v>0.59</v>
      </c>
      <c r="D5" s="214">
        <f t="shared" ref="D5:D6" si="0">B5*0.6+C5*0.4 - 0.1*E5</f>
        <v>0.74</v>
      </c>
      <c r="F5" s="13">
        <v>25</v>
      </c>
      <c r="G5" s="12">
        <f t="shared" ref="G5:G7" si="1">D5*F5</f>
        <v>18.5</v>
      </c>
    </row>
    <row r="6" spans="1:7">
      <c r="A6" s="215" t="s">
        <v>8</v>
      </c>
      <c r="B6" s="216">
        <f>(Fonctionnalités!E53)</f>
        <v>0</v>
      </c>
      <c r="C6" s="217">
        <f>'Assurance Qualité'!I61</f>
        <v>0</v>
      </c>
      <c r="D6" s="217">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B56" zoomScaleNormal="100" workbookViewId="0">
      <selection activeCell="F17" sqref="F17"/>
    </sheetView>
  </sheetViews>
  <sheetFormatPr defaultColWidth="9.140625" defaultRowHeight="15"/>
  <cols>
    <col min="1" max="1" width="22.7109375" style="1" customWidth="1"/>
    <col min="2" max="2" width="77.5703125" style="17" customWidth="1"/>
    <col min="3" max="4" width="10.7109375" style="1" customWidth="1"/>
    <col min="5" max="5" width="50.42578125" style="17" customWidth="1"/>
    <col min="6" max="7" width="10.7109375" customWidth="1"/>
    <col min="8" max="8" width="71"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63" t="s">
        <v>10</v>
      </c>
      <c r="B2" s="263"/>
      <c r="C2" s="263"/>
      <c r="D2" s="263"/>
      <c r="E2" s="263"/>
      <c r="F2" s="263"/>
      <c r="G2" s="263"/>
      <c r="H2" s="263"/>
      <c r="I2" s="263"/>
      <c r="J2" s="263"/>
      <c r="K2" s="263"/>
      <c r="L2" s="8"/>
      <c r="M2" s="8"/>
    </row>
    <row r="4" spans="1:17" ht="18.399999999999999" customHeight="1">
      <c r="A4" s="264" t="s">
        <v>11</v>
      </c>
      <c r="B4" s="264"/>
      <c r="C4" s="264"/>
      <c r="D4" s="264"/>
      <c r="E4" s="264"/>
      <c r="F4" s="264"/>
      <c r="G4" s="264"/>
      <c r="H4" s="264"/>
      <c r="I4" s="264"/>
      <c r="J4" s="264"/>
      <c r="K4" s="264"/>
      <c r="L4" s="5"/>
      <c r="M4" s="5"/>
    </row>
    <row r="5" spans="1:17" ht="19.5" thickBot="1">
      <c r="A5" s="18"/>
      <c r="B5" s="219"/>
      <c r="C5" s="3"/>
      <c r="D5" s="3"/>
      <c r="E5" s="219"/>
      <c r="F5" s="3"/>
      <c r="G5" s="3"/>
      <c r="H5" s="219"/>
      <c r="I5" s="3"/>
      <c r="J5" s="3"/>
      <c r="K5" s="219"/>
      <c r="L5" s="3"/>
      <c r="M5" s="3"/>
    </row>
    <row r="6" spans="1:17" ht="18.399999999999999" customHeight="1">
      <c r="A6" s="256" t="s">
        <v>12</v>
      </c>
      <c r="B6" s="268" t="s">
        <v>13</v>
      </c>
      <c r="C6" s="258" t="s">
        <v>6</v>
      </c>
      <c r="D6" s="259"/>
      <c r="E6" s="259"/>
      <c r="F6" s="260" t="s">
        <v>7</v>
      </c>
      <c r="G6" s="261"/>
      <c r="H6" s="262"/>
      <c r="I6" s="265" t="s">
        <v>8</v>
      </c>
      <c r="J6" s="266"/>
      <c r="K6" s="267"/>
      <c r="L6" s="4"/>
      <c r="M6" s="4"/>
      <c r="N6" s="254"/>
      <c r="O6" s="255"/>
      <c r="P6" s="255"/>
    </row>
    <row r="7" spans="1:17" ht="19.5" thickBot="1">
      <c r="A7" s="257"/>
      <c r="B7" s="269"/>
      <c r="C7" s="22" t="s">
        <v>14</v>
      </c>
      <c r="D7" s="23" t="s">
        <v>4</v>
      </c>
      <c r="E7" s="29" t="s">
        <v>15</v>
      </c>
      <c r="F7" s="24" t="s">
        <v>14</v>
      </c>
      <c r="G7" s="25" t="s">
        <v>4</v>
      </c>
      <c r="H7" s="28" t="s">
        <v>15</v>
      </c>
      <c r="I7" s="26" t="s">
        <v>14</v>
      </c>
      <c r="J7" s="27" t="s">
        <v>4</v>
      </c>
      <c r="K7" s="30" t="s">
        <v>15</v>
      </c>
      <c r="L7" s="4"/>
      <c r="M7" s="4"/>
      <c r="N7" s="218"/>
      <c r="O7" s="218"/>
      <c r="P7" s="218"/>
      <c r="Q7" s="218"/>
    </row>
    <row r="8" spans="1:17" s="20" customFormat="1" ht="18.399999999999999" customHeight="1">
      <c r="A8" s="246" t="s">
        <v>16</v>
      </c>
      <c r="B8" s="247"/>
      <c r="C8" s="242" t="s">
        <v>17</v>
      </c>
      <c r="D8" s="243"/>
      <c r="E8" s="58" t="s">
        <v>18</v>
      </c>
      <c r="F8" s="242" t="s">
        <v>17</v>
      </c>
      <c r="G8" s="243"/>
      <c r="H8" s="58"/>
      <c r="I8" s="242" t="s">
        <v>17</v>
      </c>
      <c r="J8" s="243"/>
      <c r="K8" s="58"/>
      <c r="L8" s="19"/>
      <c r="M8" s="19"/>
    </row>
    <row r="9" spans="1:17" ht="60">
      <c r="A9" s="76" t="s">
        <v>19</v>
      </c>
      <c r="B9" s="77" t="s">
        <v>20</v>
      </c>
      <c r="C9" s="223">
        <f>(3-2)/3</f>
        <v>0.33333333333333331</v>
      </c>
      <c r="D9" s="47">
        <v>3</v>
      </c>
      <c r="E9" s="51" t="s">
        <v>21</v>
      </c>
      <c r="F9" s="237">
        <f>(3-1)/3</f>
        <v>0.66666666666666663</v>
      </c>
      <c r="G9" s="48">
        <v>3</v>
      </c>
      <c r="H9" s="52" t="s">
        <v>22</v>
      </c>
      <c r="I9" s="53"/>
      <c r="J9" s="49">
        <v>3</v>
      </c>
      <c r="K9" s="50"/>
      <c r="L9" s="6"/>
      <c r="M9" s="6"/>
    </row>
    <row r="10" spans="1:17" ht="45">
      <c r="A10" s="21" t="s">
        <v>23</v>
      </c>
      <c r="B10" s="31" t="s">
        <v>24</v>
      </c>
      <c r="C10" s="35">
        <v>1</v>
      </c>
      <c r="D10" s="32">
        <v>2</v>
      </c>
      <c r="E10" s="36"/>
      <c r="F10" s="37">
        <f>2/2</f>
        <v>1</v>
      </c>
      <c r="G10" s="33">
        <v>2</v>
      </c>
      <c r="H10" s="38" t="s">
        <v>25</v>
      </c>
      <c r="I10" s="39"/>
      <c r="J10" s="34">
        <v>2</v>
      </c>
      <c r="K10" s="40"/>
      <c r="L10" s="6"/>
      <c r="M10" s="6"/>
    </row>
    <row r="11" spans="1:17" ht="60">
      <c r="A11" s="21" t="s">
        <v>26</v>
      </c>
      <c r="B11" s="31" t="s">
        <v>27</v>
      </c>
      <c r="C11" s="229">
        <f>(3-2*0.5)/3</f>
        <v>0.66666666666666663</v>
      </c>
      <c r="D11" s="32">
        <v>3</v>
      </c>
      <c r="E11" s="36" t="s">
        <v>28</v>
      </c>
      <c r="F11" s="37">
        <f>(3-3*0.25)/3</f>
        <v>0.75</v>
      </c>
      <c r="G11" s="33">
        <v>3</v>
      </c>
      <c r="H11" s="38" t="s">
        <v>29</v>
      </c>
      <c r="I11" s="39"/>
      <c r="J11" s="34">
        <v>3</v>
      </c>
      <c r="K11" s="40"/>
      <c r="L11" s="6"/>
      <c r="M11" s="6"/>
    </row>
    <row r="12" spans="1:17" ht="135">
      <c r="A12" s="21" t="s">
        <v>30</v>
      </c>
      <c r="B12" s="31" t="s">
        <v>31</v>
      </c>
      <c r="C12" s="35">
        <f>(2-8*0.25)/2</f>
        <v>0</v>
      </c>
      <c r="D12" s="32">
        <v>2</v>
      </c>
      <c r="E12" s="36" t="s">
        <v>32</v>
      </c>
      <c r="F12" s="37">
        <f>1/2</f>
        <v>0.5</v>
      </c>
      <c r="G12" s="33">
        <v>2</v>
      </c>
      <c r="H12" s="38" t="s">
        <v>33</v>
      </c>
      <c r="I12" s="39"/>
      <c r="J12" s="34">
        <v>2</v>
      </c>
      <c r="K12" s="40"/>
      <c r="L12" s="6"/>
      <c r="M12" s="6"/>
    </row>
    <row r="13" spans="1:17" ht="105">
      <c r="A13" s="21" t="s">
        <v>34</v>
      </c>
      <c r="B13" s="31" t="s">
        <v>35</v>
      </c>
      <c r="C13" s="229">
        <f>(4-7*0.5)/4</f>
        <v>0.125</v>
      </c>
      <c r="D13" s="32">
        <v>4</v>
      </c>
      <c r="E13" s="36" t="s">
        <v>36</v>
      </c>
      <c r="F13" s="232">
        <f>(4-1*0.25)/4</f>
        <v>0.9375</v>
      </c>
      <c r="G13" s="33">
        <v>4</v>
      </c>
      <c r="H13" s="38" t="s">
        <v>37</v>
      </c>
      <c r="I13" s="39"/>
      <c r="J13" s="34">
        <v>4</v>
      </c>
      <c r="K13" s="40"/>
      <c r="L13" s="6"/>
      <c r="M13" s="6"/>
    </row>
    <row r="14" spans="1:17" s="95" customFormat="1" ht="16.5" thickBot="1">
      <c r="A14" s="244" t="s">
        <v>38</v>
      </c>
      <c r="B14" s="245"/>
      <c r="C14" s="85">
        <f>SUMPRODUCT(C9:C13,D9:D13)</f>
        <v>5.5</v>
      </c>
      <c r="D14" s="86">
        <f>SUM(D9:D13)</f>
        <v>14</v>
      </c>
      <c r="E14" s="87"/>
      <c r="F14" s="88">
        <f>SUMPRODUCT(F9:F13,G9:G13)</f>
        <v>11</v>
      </c>
      <c r="G14" s="89">
        <f>SUM(G9:G13)</f>
        <v>14</v>
      </c>
      <c r="H14" s="90"/>
      <c r="I14" s="91">
        <f>SUMPRODUCT(I9:I13,J9:J13)</f>
        <v>0</v>
      </c>
      <c r="J14" s="92">
        <f>SUM(J9:J13)</f>
        <v>14</v>
      </c>
      <c r="K14" s="93"/>
      <c r="L14" s="94"/>
      <c r="M14" s="94"/>
    </row>
    <row r="15" spans="1:17" s="20" customFormat="1" ht="18.399999999999999" customHeight="1">
      <c r="A15" s="251" t="s">
        <v>39</v>
      </c>
      <c r="B15" s="252"/>
      <c r="C15" s="242" t="s">
        <v>17</v>
      </c>
      <c r="D15" s="243"/>
      <c r="E15" s="58" t="s">
        <v>40</v>
      </c>
      <c r="F15" s="242" t="s">
        <v>17</v>
      </c>
      <c r="G15" s="243"/>
      <c r="H15" s="58"/>
      <c r="I15" s="242" t="s">
        <v>17</v>
      </c>
      <c r="J15" s="243"/>
      <c r="K15" s="58"/>
      <c r="L15" s="19"/>
      <c r="M15" s="19"/>
    </row>
    <row r="16" spans="1:17" ht="45">
      <c r="A16" s="76" t="s">
        <v>41</v>
      </c>
      <c r="B16" s="77" t="s">
        <v>42</v>
      </c>
      <c r="C16" s="60">
        <v>1</v>
      </c>
      <c r="D16" s="61">
        <v>2</v>
      </c>
      <c r="E16" s="62"/>
      <c r="F16" s="66">
        <v>0.5</v>
      </c>
      <c r="G16" s="67">
        <v>2</v>
      </c>
      <c r="H16" s="68" t="s">
        <v>43</v>
      </c>
      <c r="I16" s="72"/>
      <c r="J16" s="73">
        <v>2</v>
      </c>
      <c r="K16" s="74"/>
      <c r="L16" s="6"/>
      <c r="M16" s="6"/>
    </row>
    <row r="17" spans="1:13" ht="30">
      <c r="A17" s="21" t="s">
        <v>44</v>
      </c>
      <c r="B17" s="31" t="s">
        <v>45</v>
      </c>
      <c r="C17" s="45">
        <v>1</v>
      </c>
      <c r="D17" s="41">
        <v>3</v>
      </c>
      <c r="E17" s="63"/>
      <c r="F17" s="303">
        <f>2.5/3</f>
        <v>0.83333333333333337</v>
      </c>
      <c r="G17" s="42">
        <v>3</v>
      </c>
      <c r="H17" s="70" t="s">
        <v>46</v>
      </c>
      <c r="I17" s="75"/>
      <c r="J17" s="44">
        <v>3</v>
      </c>
      <c r="K17" s="46"/>
      <c r="L17" s="6"/>
      <c r="M17" s="6"/>
    </row>
    <row r="18" spans="1:13" ht="45">
      <c r="A18" s="21" t="s">
        <v>47</v>
      </c>
      <c r="B18" s="31" t="s">
        <v>48</v>
      </c>
      <c r="C18" s="45">
        <v>1</v>
      </c>
      <c r="D18" s="41">
        <v>3</v>
      </c>
      <c r="E18" s="63"/>
      <c r="F18" s="69">
        <v>1</v>
      </c>
      <c r="G18" s="42">
        <v>3</v>
      </c>
      <c r="H18" s="70"/>
      <c r="I18" s="75"/>
      <c r="J18" s="44">
        <v>3</v>
      </c>
      <c r="K18" s="46"/>
      <c r="L18" s="6"/>
      <c r="M18" s="6"/>
    </row>
    <row r="19" spans="1:13">
      <c r="A19" s="21" t="s">
        <v>49</v>
      </c>
      <c r="B19" s="31" t="s">
        <v>50</v>
      </c>
      <c r="C19" s="45">
        <v>1</v>
      </c>
      <c r="D19" s="41">
        <v>3</v>
      </c>
      <c r="E19" s="63"/>
      <c r="F19" s="69">
        <v>1</v>
      </c>
      <c r="G19" s="42">
        <v>3</v>
      </c>
      <c r="H19" s="70"/>
      <c r="I19" s="75"/>
      <c r="J19" s="44">
        <v>3</v>
      </c>
      <c r="K19" s="46"/>
      <c r="L19" s="6"/>
      <c r="M19" s="6"/>
    </row>
    <row r="20" spans="1:13" ht="30">
      <c r="A20" s="21" t="s">
        <v>51</v>
      </c>
      <c r="B20" s="31" t="s">
        <v>52</v>
      </c>
      <c r="C20" s="45">
        <v>1</v>
      </c>
      <c r="D20" s="41">
        <v>2</v>
      </c>
      <c r="E20" s="63"/>
      <c r="F20" s="69">
        <f>1.5/2</f>
        <v>0.75</v>
      </c>
      <c r="G20" s="42">
        <v>2</v>
      </c>
      <c r="H20" s="70" t="s">
        <v>53</v>
      </c>
      <c r="I20" s="75"/>
      <c r="J20" s="44">
        <v>2</v>
      </c>
      <c r="K20" s="46"/>
      <c r="L20" s="6"/>
      <c r="M20" s="6"/>
    </row>
    <row r="21" spans="1:13" s="95" customFormat="1" ht="16.5" thickBot="1">
      <c r="A21" s="253" t="s">
        <v>38</v>
      </c>
      <c r="B21" s="250"/>
      <c r="C21" s="96">
        <f>SUMPRODUCT(C16:C20,D16:D20)</f>
        <v>13</v>
      </c>
      <c r="D21" s="97">
        <f>SUM(D16:D20)</f>
        <v>13</v>
      </c>
      <c r="E21" s="98"/>
      <c r="F21" s="99">
        <f>SUMPRODUCT(F16:F20,G16:G20)</f>
        <v>11</v>
      </c>
      <c r="G21" s="100">
        <f>SUM(G16:G20)</f>
        <v>13</v>
      </c>
      <c r="H21" s="101"/>
      <c r="I21" s="102">
        <f>SUMPRODUCT(I16:I20,J16:J20)</f>
        <v>0</v>
      </c>
      <c r="J21" s="103">
        <f>SUM(J16:J20)</f>
        <v>13</v>
      </c>
      <c r="K21" s="104"/>
      <c r="L21" s="94"/>
      <c r="M21" s="94"/>
    </row>
    <row r="22" spans="1:13" ht="18.399999999999999" customHeight="1" thickBot="1">
      <c r="A22" s="246" t="s">
        <v>54</v>
      </c>
      <c r="B22" s="247"/>
      <c r="C22" s="242" t="s">
        <v>17</v>
      </c>
      <c r="D22" s="243"/>
      <c r="E22" s="58" t="s">
        <v>18</v>
      </c>
      <c r="F22" s="242" t="s">
        <v>17</v>
      </c>
      <c r="G22" s="243"/>
      <c r="H22" s="58"/>
      <c r="I22" s="242" t="s">
        <v>17</v>
      </c>
      <c r="J22" s="243"/>
      <c r="K22" s="58"/>
      <c r="L22" s="5"/>
      <c r="M22" s="5"/>
    </row>
    <row r="23" spans="1:13" ht="60">
      <c r="A23" s="78" t="s">
        <v>55</v>
      </c>
      <c r="B23" s="79" t="s">
        <v>56</v>
      </c>
      <c r="C23" s="233">
        <f>(2-0.25)/2</f>
        <v>0.875</v>
      </c>
      <c r="D23" s="83">
        <v>2</v>
      </c>
      <c r="E23" s="84" t="s">
        <v>57</v>
      </c>
      <c r="F23" s="107">
        <f>2/2</f>
        <v>1</v>
      </c>
      <c r="G23" s="108">
        <v>2</v>
      </c>
      <c r="H23" s="109"/>
      <c r="I23" s="112"/>
      <c r="J23" s="113">
        <v>2</v>
      </c>
      <c r="K23" s="114"/>
      <c r="L23" s="6"/>
      <c r="M23" s="6"/>
    </row>
    <row r="24" spans="1:13" ht="45">
      <c r="A24" s="80" t="s">
        <v>58</v>
      </c>
      <c r="B24" s="81" t="s">
        <v>59</v>
      </c>
      <c r="C24" s="45">
        <f>(1-0.5)/1</f>
        <v>0.5</v>
      </c>
      <c r="D24" s="41">
        <v>1</v>
      </c>
      <c r="E24" s="63" t="s">
        <v>60</v>
      </c>
      <c r="F24" s="69">
        <f>1/1</f>
        <v>1</v>
      </c>
      <c r="G24" s="42">
        <v>1</v>
      </c>
      <c r="H24" s="70"/>
      <c r="I24" s="75"/>
      <c r="J24" s="44">
        <v>1</v>
      </c>
      <c r="K24" s="46"/>
      <c r="L24" s="6"/>
      <c r="M24" s="6"/>
    </row>
    <row r="25" spans="1:13" ht="75">
      <c r="A25" s="80" t="s">
        <v>61</v>
      </c>
      <c r="B25" s="81" t="s">
        <v>62</v>
      </c>
      <c r="C25" s="45">
        <v>1</v>
      </c>
      <c r="D25" s="41">
        <v>1</v>
      </c>
      <c r="E25" s="63"/>
      <c r="F25" s="69">
        <f>(1-0.25)/1</f>
        <v>0.75</v>
      </c>
      <c r="G25" s="42">
        <v>1</v>
      </c>
      <c r="H25" s="70" t="s">
        <v>63</v>
      </c>
      <c r="I25" s="75"/>
      <c r="J25" s="44">
        <v>1</v>
      </c>
      <c r="K25" s="46"/>
      <c r="L25" s="6"/>
      <c r="M25" s="6"/>
    </row>
    <row r="26" spans="1:13" s="95" customFormat="1" ht="16.5" thickBot="1">
      <c r="A26" s="249" t="s">
        <v>38</v>
      </c>
      <c r="B26" s="250"/>
      <c r="C26" s="85">
        <f>SUMPRODUCT(C23:C25,D23:D25)</f>
        <v>3.25</v>
      </c>
      <c r="D26" s="86">
        <f>SUM(D23:D25)</f>
        <v>4</v>
      </c>
      <c r="E26" s="87"/>
      <c r="F26" s="99">
        <f>SUMPRODUCT(F23:F25,G23:G25)</f>
        <v>3.75</v>
      </c>
      <c r="G26" s="100">
        <f>SUM(G23:G25)</f>
        <v>4</v>
      </c>
      <c r="H26" s="101"/>
      <c r="I26" s="102">
        <f>SUMPRODUCT(I23:I25,J23:J25)</f>
        <v>0</v>
      </c>
      <c r="J26" s="103">
        <f>SUM(J23:J25)</f>
        <v>4</v>
      </c>
      <c r="K26" s="104"/>
      <c r="L26" s="94"/>
      <c r="M26" s="94"/>
    </row>
    <row r="27" spans="1:13" ht="18.399999999999999" customHeight="1">
      <c r="A27" s="246" t="s">
        <v>64</v>
      </c>
      <c r="B27" s="247"/>
      <c r="C27" s="242" t="s">
        <v>17</v>
      </c>
      <c r="D27" s="243"/>
      <c r="E27" s="58" t="s">
        <v>40</v>
      </c>
      <c r="F27" s="242" t="s">
        <v>17</v>
      </c>
      <c r="G27" s="243"/>
      <c r="H27" s="57"/>
      <c r="I27" s="242" t="s">
        <v>17</v>
      </c>
      <c r="J27" s="243"/>
      <c r="K27" s="58"/>
      <c r="L27" s="16"/>
      <c r="M27" s="5"/>
    </row>
    <row r="28" spans="1:13" ht="45">
      <c r="A28" s="118" t="s">
        <v>65</v>
      </c>
      <c r="B28" s="119" t="s">
        <v>66</v>
      </c>
      <c r="C28" s="110">
        <v>1</v>
      </c>
      <c r="D28" s="59">
        <v>2</v>
      </c>
      <c r="E28" s="111"/>
      <c r="F28" s="105">
        <v>1</v>
      </c>
      <c r="G28" s="64">
        <v>2</v>
      </c>
      <c r="H28" s="65"/>
      <c r="I28" s="116"/>
      <c r="J28" s="71">
        <v>2</v>
      </c>
      <c r="K28" s="117"/>
      <c r="L28" s="6"/>
      <c r="M28" s="6"/>
    </row>
    <row r="29" spans="1:13" ht="30">
      <c r="A29" s="54" t="s">
        <v>67</v>
      </c>
      <c r="B29" s="55" t="s">
        <v>68</v>
      </c>
      <c r="C29" s="45">
        <v>1</v>
      </c>
      <c r="D29" s="41">
        <v>2</v>
      </c>
      <c r="E29" s="63"/>
      <c r="F29" s="69">
        <v>1</v>
      </c>
      <c r="G29" s="42">
        <v>2</v>
      </c>
      <c r="H29" s="43"/>
      <c r="I29" s="75"/>
      <c r="J29" s="44">
        <v>2</v>
      </c>
      <c r="K29" s="46"/>
      <c r="L29" s="6"/>
      <c r="M29" s="6"/>
    </row>
    <row r="30" spans="1:13">
      <c r="A30" s="21" t="s">
        <v>69</v>
      </c>
      <c r="B30" s="55" t="s">
        <v>70</v>
      </c>
      <c r="C30" s="45">
        <v>1</v>
      </c>
      <c r="D30" s="41">
        <v>2</v>
      </c>
      <c r="E30" s="63"/>
      <c r="F30" s="69">
        <v>1</v>
      </c>
      <c r="G30" s="42">
        <v>2</v>
      </c>
      <c r="H30" s="43"/>
      <c r="I30" s="75"/>
      <c r="J30" s="44">
        <v>2</v>
      </c>
      <c r="K30" s="46"/>
      <c r="L30" s="6"/>
      <c r="M30" s="6"/>
    </row>
    <row r="31" spans="1:13" ht="60">
      <c r="A31" s="21" t="s">
        <v>71</v>
      </c>
      <c r="B31" s="55" t="s">
        <v>72</v>
      </c>
      <c r="C31" s="230">
        <f>2.75/3</f>
        <v>0.91666666666666663</v>
      </c>
      <c r="D31" s="41">
        <v>3</v>
      </c>
      <c r="E31" s="63" t="s">
        <v>73</v>
      </c>
      <c r="F31" s="69">
        <f>1.5/3</f>
        <v>0.5</v>
      </c>
      <c r="G31" s="42">
        <v>3</v>
      </c>
      <c r="H31" s="43" t="s">
        <v>43</v>
      </c>
      <c r="I31" s="75"/>
      <c r="J31" s="44">
        <v>3</v>
      </c>
      <c r="K31" s="46"/>
      <c r="L31" s="6"/>
      <c r="M31" s="6"/>
    </row>
    <row r="32" spans="1:13" s="95" customFormat="1" ht="16.5" thickBot="1">
      <c r="A32" s="244" t="s">
        <v>38</v>
      </c>
      <c r="B32" s="245"/>
      <c r="C32" s="85">
        <f>SUMPRODUCT(C28:C31,D28:D31)</f>
        <v>8.75</v>
      </c>
      <c r="D32" s="86">
        <f>SUM(D28:D31)</f>
        <v>9</v>
      </c>
      <c r="E32" s="87"/>
      <c r="F32" s="88">
        <f>SUMPRODUCT(F28:F31,G28:G31)</f>
        <v>7.5</v>
      </c>
      <c r="G32" s="89">
        <f>SUM(G28:G31)</f>
        <v>9</v>
      </c>
      <c r="H32" s="115"/>
      <c r="I32" s="102">
        <f>SUMPRODUCT(I28:I31,J28:J31)</f>
        <v>0</v>
      </c>
      <c r="J32" s="103">
        <f>SUM(J28:J31)</f>
        <v>9</v>
      </c>
      <c r="K32" s="104"/>
      <c r="L32" s="94"/>
      <c r="M32" s="94"/>
    </row>
    <row r="33" spans="1:13" ht="18.399999999999999" customHeight="1">
      <c r="A33" s="246" t="s">
        <v>74</v>
      </c>
      <c r="B33" s="248"/>
      <c r="C33" s="242" t="s">
        <v>17</v>
      </c>
      <c r="D33" s="243"/>
      <c r="E33" s="58" t="s">
        <v>18</v>
      </c>
      <c r="F33" s="242" t="s">
        <v>17</v>
      </c>
      <c r="G33" s="243"/>
      <c r="H33" s="58"/>
      <c r="I33" s="56" t="s">
        <v>17</v>
      </c>
      <c r="J33" s="57"/>
      <c r="K33" s="58"/>
      <c r="L33" s="15"/>
      <c r="M33" s="5"/>
    </row>
    <row r="34" spans="1:13" ht="30">
      <c r="A34" s="118" t="s">
        <v>75</v>
      </c>
      <c r="B34" s="77" t="s">
        <v>76</v>
      </c>
      <c r="C34" s="110">
        <v>0</v>
      </c>
      <c r="D34" s="59">
        <v>1</v>
      </c>
      <c r="E34" s="111" t="s">
        <v>77</v>
      </c>
      <c r="F34" s="105">
        <v>0</v>
      </c>
      <c r="G34" s="64">
        <v>1</v>
      </c>
      <c r="H34" s="106" t="s">
        <v>78</v>
      </c>
      <c r="I34" s="116"/>
      <c r="J34" s="71">
        <v>1</v>
      </c>
      <c r="K34" s="117"/>
      <c r="L34" s="6"/>
      <c r="M34" s="6"/>
    </row>
    <row r="35" spans="1:13" ht="30">
      <c r="A35" s="54" t="s">
        <v>79</v>
      </c>
      <c r="B35" s="31" t="s">
        <v>80</v>
      </c>
      <c r="C35" s="231">
        <f>(1-2*0.25)/1</f>
        <v>0.5</v>
      </c>
      <c r="D35" s="41">
        <v>1</v>
      </c>
      <c r="E35" s="63" t="s">
        <v>81</v>
      </c>
      <c r="F35" s="69">
        <f>1/1</f>
        <v>1</v>
      </c>
      <c r="G35" s="42">
        <v>1</v>
      </c>
      <c r="H35" s="70" t="s">
        <v>82</v>
      </c>
      <c r="I35" s="75"/>
      <c r="J35" s="44">
        <v>1</v>
      </c>
      <c r="K35" s="46"/>
      <c r="L35" s="6"/>
      <c r="M35" s="6"/>
    </row>
    <row r="36" spans="1:13" ht="105">
      <c r="A36" s="21" t="s">
        <v>83</v>
      </c>
      <c r="B36" s="31" t="s">
        <v>84</v>
      </c>
      <c r="C36" s="45">
        <f>(3-3*0.5)/3</f>
        <v>0.5</v>
      </c>
      <c r="D36" s="41">
        <v>3</v>
      </c>
      <c r="E36" s="63" t="s">
        <v>85</v>
      </c>
      <c r="F36" s="69">
        <f>(3-6*0.25)/3</f>
        <v>0.5</v>
      </c>
      <c r="G36" s="42">
        <v>3</v>
      </c>
      <c r="H36" s="70" t="s">
        <v>86</v>
      </c>
      <c r="I36" s="75"/>
      <c r="J36" s="44">
        <v>3</v>
      </c>
      <c r="K36" s="46"/>
      <c r="L36" s="6"/>
      <c r="M36" s="6"/>
    </row>
    <row r="37" spans="1:13" ht="60">
      <c r="A37" s="21" t="s">
        <v>87</v>
      </c>
      <c r="B37" s="31" t="s">
        <v>88</v>
      </c>
      <c r="C37" s="230">
        <f>(3-2*0.25)/3</f>
        <v>0.83333333333333337</v>
      </c>
      <c r="D37" s="41">
        <v>3</v>
      </c>
      <c r="E37" s="63" t="s">
        <v>89</v>
      </c>
      <c r="F37" s="69">
        <f>(3-0.25*3)/3</f>
        <v>0.75</v>
      </c>
      <c r="G37" s="42">
        <v>3</v>
      </c>
      <c r="H37" s="70" t="s">
        <v>90</v>
      </c>
      <c r="I37" s="75"/>
      <c r="J37" s="44">
        <v>3</v>
      </c>
      <c r="K37" s="46"/>
      <c r="L37" s="6"/>
      <c r="M37" s="6"/>
    </row>
    <row r="38" spans="1:13" s="95" customFormat="1" ht="16.5" thickBot="1">
      <c r="A38" s="244" t="s">
        <v>38</v>
      </c>
      <c r="B38" s="245"/>
      <c r="C38" s="120">
        <f>SUMPRODUCT(C34:C37,D34:D37)</f>
        <v>4.5</v>
      </c>
      <c r="D38" s="86">
        <f>SUM(D34:D37)</f>
        <v>8</v>
      </c>
      <c r="E38" s="87"/>
      <c r="F38" s="121">
        <f>SUMPRODUCT(F34:F37,G34:G37)</f>
        <v>4.75</v>
      </c>
      <c r="G38" s="89">
        <f>SUM(G34:G37)</f>
        <v>8</v>
      </c>
      <c r="H38" s="90"/>
      <c r="I38" s="102">
        <f>SUMPRODUCT(I34:I37,J34:J37)</f>
        <v>0</v>
      </c>
      <c r="J38" s="103">
        <f>SUM(J34:J37)</f>
        <v>8</v>
      </c>
      <c r="K38" s="104"/>
      <c r="L38" s="94"/>
      <c r="M38" s="94"/>
    </row>
    <row r="39" spans="1:13" ht="18.399999999999999" customHeight="1" thickBot="1">
      <c r="A39" s="246" t="s">
        <v>91</v>
      </c>
      <c r="B39" s="247"/>
      <c r="C39" s="242" t="s">
        <v>17</v>
      </c>
      <c r="D39" s="243"/>
      <c r="E39" s="57" t="s">
        <v>40</v>
      </c>
      <c r="F39" s="242" t="s">
        <v>17</v>
      </c>
      <c r="G39" s="243"/>
      <c r="H39" s="58"/>
      <c r="I39" s="242" t="s">
        <v>17</v>
      </c>
      <c r="J39" s="243"/>
      <c r="K39" s="58"/>
      <c r="L39" s="5"/>
      <c r="M39" s="5"/>
    </row>
    <row r="40" spans="1:13" ht="45">
      <c r="A40" s="76" t="s">
        <v>92</v>
      </c>
      <c r="B40" s="77" t="s">
        <v>93</v>
      </c>
      <c r="C40" s="82">
        <v>1</v>
      </c>
      <c r="D40" s="83">
        <v>1</v>
      </c>
      <c r="E40" s="84"/>
      <c r="F40" s="107">
        <v>1</v>
      </c>
      <c r="G40" s="108">
        <v>1</v>
      </c>
      <c r="H40" s="109"/>
      <c r="I40" s="112"/>
      <c r="J40" s="113">
        <v>1</v>
      </c>
      <c r="K40" s="114"/>
      <c r="L40" s="6"/>
      <c r="M40" s="6"/>
    </row>
    <row r="41" spans="1:13" ht="30">
      <c r="A41" s="21" t="s">
        <v>94</v>
      </c>
      <c r="B41" s="31" t="s">
        <v>95</v>
      </c>
      <c r="C41" s="45">
        <v>1</v>
      </c>
      <c r="D41" s="41">
        <v>4</v>
      </c>
      <c r="E41" s="63"/>
      <c r="F41" s="69">
        <v>1</v>
      </c>
      <c r="G41" s="42">
        <v>4</v>
      </c>
      <c r="H41" s="70"/>
      <c r="I41" s="75"/>
      <c r="J41" s="44">
        <v>4</v>
      </c>
      <c r="K41" s="46"/>
      <c r="L41" s="6"/>
      <c r="M41" s="6"/>
    </row>
    <row r="42" spans="1:13" ht="90">
      <c r="A42" s="21" t="s">
        <v>96</v>
      </c>
      <c r="B42" s="31" t="s">
        <v>97</v>
      </c>
      <c r="C42" s="230">
        <f>2/3</f>
        <v>0.66666666666666663</v>
      </c>
      <c r="D42" s="41">
        <v>3</v>
      </c>
      <c r="E42" s="63" t="s">
        <v>98</v>
      </c>
      <c r="F42" s="69">
        <v>0</v>
      </c>
      <c r="G42" s="42">
        <v>3</v>
      </c>
      <c r="H42" s="70" t="s">
        <v>99</v>
      </c>
      <c r="I42" s="75"/>
      <c r="J42" s="44">
        <v>3</v>
      </c>
      <c r="K42" s="46"/>
      <c r="L42" s="6"/>
      <c r="M42" s="6"/>
    </row>
    <row r="43" spans="1:13" ht="45">
      <c r="A43" s="21" t="s">
        <v>100</v>
      </c>
      <c r="B43" s="31" t="s">
        <v>101</v>
      </c>
      <c r="C43" s="45">
        <f>1.5/2</f>
        <v>0.75</v>
      </c>
      <c r="D43" s="41">
        <v>2</v>
      </c>
      <c r="E43" s="63" t="s">
        <v>102</v>
      </c>
      <c r="F43" s="69">
        <v>0.5</v>
      </c>
      <c r="G43" s="42">
        <v>2</v>
      </c>
      <c r="H43" s="70" t="s">
        <v>103</v>
      </c>
      <c r="I43" s="75"/>
      <c r="J43" s="44">
        <v>2</v>
      </c>
      <c r="K43" s="46"/>
      <c r="L43" s="6"/>
    </row>
    <row r="44" spans="1:13" ht="75">
      <c r="A44" s="21" t="s">
        <v>104</v>
      </c>
      <c r="B44" s="31" t="s">
        <v>105</v>
      </c>
      <c r="C44" s="35">
        <v>0</v>
      </c>
      <c r="D44" s="32">
        <v>2</v>
      </c>
      <c r="E44" s="36" t="s">
        <v>106</v>
      </c>
      <c r="F44" s="37">
        <v>0</v>
      </c>
      <c r="G44" s="33">
        <v>2</v>
      </c>
      <c r="H44" s="38" t="s">
        <v>107</v>
      </c>
      <c r="I44" s="39"/>
      <c r="J44" s="34">
        <v>2</v>
      </c>
      <c r="K44" s="40"/>
      <c r="L44" s="6"/>
      <c r="M44" s="6"/>
    </row>
    <row r="45" spans="1:13" ht="45">
      <c r="A45" s="21" t="s">
        <v>108</v>
      </c>
      <c r="B45" s="31" t="s">
        <v>109</v>
      </c>
      <c r="C45" s="35">
        <v>1</v>
      </c>
      <c r="D45" s="32">
        <v>3</v>
      </c>
      <c r="E45" s="36"/>
      <c r="F45" s="37">
        <v>0.5</v>
      </c>
      <c r="G45" s="33">
        <v>3</v>
      </c>
      <c r="H45" s="38" t="s">
        <v>110</v>
      </c>
      <c r="I45" s="39"/>
      <c r="J45" s="34">
        <v>3</v>
      </c>
      <c r="K45" s="40"/>
      <c r="L45" s="6"/>
      <c r="M45" s="6"/>
    </row>
    <row r="46" spans="1:13" ht="30">
      <c r="A46" s="21" t="s">
        <v>111</v>
      </c>
      <c r="B46" s="31" t="s">
        <v>112</v>
      </c>
      <c r="C46" s="230">
        <f>2.5/3</f>
        <v>0.83333333333333337</v>
      </c>
      <c r="D46" s="41">
        <v>3</v>
      </c>
      <c r="E46" s="63" t="s">
        <v>113</v>
      </c>
      <c r="F46" s="69">
        <v>1</v>
      </c>
      <c r="G46" s="42">
        <v>3</v>
      </c>
      <c r="H46" s="70"/>
      <c r="I46" s="75"/>
      <c r="J46" s="44">
        <v>3</v>
      </c>
      <c r="K46" s="46"/>
      <c r="L46" s="6"/>
      <c r="M46" s="6"/>
    </row>
    <row r="47" spans="1:13" ht="83.25" customHeight="1">
      <c r="A47" s="21" t="s">
        <v>114</v>
      </c>
      <c r="B47" s="31" t="s">
        <v>115</v>
      </c>
      <c r="C47" s="45">
        <v>0</v>
      </c>
      <c r="D47" s="41">
        <v>6</v>
      </c>
      <c r="E47" s="63" t="s">
        <v>116</v>
      </c>
      <c r="F47" s="69">
        <f>1.5/6</f>
        <v>0.25</v>
      </c>
      <c r="G47" s="42">
        <v>6</v>
      </c>
      <c r="H47" s="70" t="s">
        <v>117</v>
      </c>
      <c r="I47" s="75"/>
      <c r="J47" s="44">
        <v>6</v>
      </c>
      <c r="K47" s="46"/>
      <c r="L47" s="6"/>
      <c r="M47" s="6"/>
    </row>
    <row r="48" spans="1:13" ht="123" customHeight="1">
      <c r="A48" s="21" t="s">
        <v>118</v>
      </c>
      <c r="B48" s="31" t="s">
        <v>119</v>
      </c>
      <c r="C48" s="45">
        <f>6/8</f>
        <v>0.75</v>
      </c>
      <c r="D48" s="41">
        <v>8</v>
      </c>
      <c r="E48" s="63" t="s">
        <v>120</v>
      </c>
      <c r="F48" s="69">
        <v>0</v>
      </c>
      <c r="G48" s="42">
        <v>8</v>
      </c>
      <c r="H48" s="70" t="s">
        <v>121</v>
      </c>
      <c r="I48" s="75"/>
      <c r="J48" s="44">
        <v>8</v>
      </c>
      <c r="K48" s="46"/>
      <c r="L48" s="6"/>
      <c r="M48" s="6"/>
    </row>
    <row r="49" spans="1:13" ht="127.5" customHeight="1">
      <c r="A49" s="21" t="s">
        <v>122</v>
      </c>
      <c r="B49" s="31" t="s">
        <v>123</v>
      </c>
      <c r="C49" s="45">
        <v>0</v>
      </c>
      <c r="D49" s="41">
        <v>6</v>
      </c>
      <c r="E49" s="63" t="s">
        <v>124</v>
      </c>
      <c r="F49" s="69">
        <v>0</v>
      </c>
      <c r="G49" s="42">
        <v>6</v>
      </c>
      <c r="H49" s="70" t="s">
        <v>125</v>
      </c>
      <c r="I49" s="75"/>
      <c r="J49" s="44">
        <v>6</v>
      </c>
      <c r="K49" s="46"/>
      <c r="L49" s="6"/>
      <c r="M49" s="6"/>
    </row>
    <row r="50" spans="1:13">
      <c r="A50" s="21" t="s">
        <v>126</v>
      </c>
      <c r="B50" s="31" t="s">
        <v>127</v>
      </c>
      <c r="C50" s="45">
        <v>1</v>
      </c>
      <c r="D50" s="41">
        <v>3</v>
      </c>
      <c r="E50" s="63"/>
      <c r="F50" s="69"/>
      <c r="G50" s="42">
        <v>3</v>
      </c>
      <c r="H50" s="70"/>
      <c r="I50" s="75"/>
      <c r="J50" s="44">
        <v>3</v>
      </c>
      <c r="K50" s="46"/>
      <c r="L50" s="6"/>
      <c r="M50" s="6"/>
    </row>
    <row r="51" spans="1:13" s="95" customFormat="1" ht="16.5" thickBot="1">
      <c r="A51" s="244" t="s">
        <v>38</v>
      </c>
      <c r="B51" s="245"/>
      <c r="C51" s="130">
        <f>SUMPRODUCT(C40:C50,D40:D50)</f>
        <v>23</v>
      </c>
      <c r="D51" s="97">
        <f>SUM(D40:D50)</f>
        <v>41</v>
      </c>
      <c r="E51" s="98"/>
      <c r="F51" s="121">
        <f>SUMPRODUCT(F40:F50,G40:G50)</f>
        <v>12</v>
      </c>
      <c r="G51" s="89">
        <f>SUM(G40:G50)</f>
        <v>41</v>
      </c>
      <c r="H51" s="90"/>
      <c r="I51" s="91">
        <f>SUMPRODUCT(I40:I50,J40:J50)</f>
        <v>0</v>
      </c>
      <c r="J51" s="92">
        <f>SUM(J40:J50)</f>
        <v>41</v>
      </c>
      <c r="K51" s="93"/>
      <c r="L51" s="94"/>
      <c r="M51" s="94"/>
    </row>
    <row r="52" spans="1:13" ht="18.399999999999999" customHeight="1">
      <c r="A52" s="246" t="s">
        <v>128</v>
      </c>
      <c r="B52" s="248"/>
      <c r="C52" s="242" t="s">
        <v>17</v>
      </c>
      <c r="D52" s="243"/>
      <c r="E52" s="58" t="s">
        <v>18</v>
      </c>
      <c r="F52" s="242" t="s">
        <v>17</v>
      </c>
      <c r="G52" s="243"/>
      <c r="H52" s="58"/>
      <c r="I52" s="242" t="s">
        <v>17</v>
      </c>
      <c r="J52" s="243"/>
      <c r="K52" s="58"/>
      <c r="L52" s="15"/>
      <c r="M52" s="5"/>
    </row>
    <row r="53" spans="1:13" ht="30">
      <c r="A53" s="76" t="s">
        <v>129</v>
      </c>
      <c r="B53" s="77" t="s">
        <v>130</v>
      </c>
      <c r="C53" s="110">
        <f>1/1</f>
        <v>1</v>
      </c>
      <c r="D53" s="59">
        <v>2</v>
      </c>
      <c r="E53" s="111"/>
      <c r="F53" s="107">
        <f>2/2</f>
        <v>1</v>
      </c>
      <c r="G53" s="108">
        <v>2</v>
      </c>
      <c r="H53" s="109"/>
      <c r="I53" s="125"/>
      <c r="J53" s="126">
        <v>2</v>
      </c>
      <c r="K53" s="127"/>
      <c r="L53" s="6"/>
      <c r="M53" s="6"/>
    </row>
    <row r="54" spans="1:13" ht="30">
      <c r="A54" s="21" t="s">
        <v>131</v>
      </c>
      <c r="B54" s="31" t="s">
        <v>132</v>
      </c>
      <c r="C54" s="45">
        <v>1</v>
      </c>
      <c r="D54" s="41">
        <v>2</v>
      </c>
      <c r="E54" s="63"/>
      <c r="F54" s="69">
        <f>2/2</f>
        <v>1</v>
      </c>
      <c r="G54" s="42">
        <v>2</v>
      </c>
      <c r="H54" s="70" t="s">
        <v>133</v>
      </c>
      <c r="I54" s="128"/>
      <c r="J54" s="122">
        <v>2</v>
      </c>
      <c r="K54" s="129"/>
      <c r="L54" s="6"/>
      <c r="M54" s="6"/>
    </row>
    <row r="55" spans="1:13">
      <c r="A55" s="54" t="s">
        <v>134</v>
      </c>
      <c r="B55" s="31" t="s">
        <v>135</v>
      </c>
      <c r="C55" s="45">
        <v>1</v>
      </c>
      <c r="D55" s="41">
        <v>1</v>
      </c>
      <c r="E55" s="63"/>
      <c r="F55" s="69">
        <f>1/1</f>
        <v>1</v>
      </c>
      <c r="G55" s="42">
        <v>1</v>
      </c>
      <c r="H55" s="70" t="s">
        <v>136</v>
      </c>
      <c r="I55" s="128"/>
      <c r="J55" s="122">
        <v>1</v>
      </c>
      <c r="K55" s="129"/>
      <c r="L55" s="6"/>
      <c r="M55" s="6"/>
    </row>
    <row r="56" spans="1:13" ht="105">
      <c r="A56" s="54" t="s">
        <v>137</v>
      </c>
      <c r="B56" s="31" t="s">
        <v>138</v>
      </c>
      <c r="C56" s="45">
        <v>1</v>
      </c>
      <c r="D56" s="41">
        <v>4</v>
      </c>
      <c r="E56" s="63"/>
      <c r="F56" s="69">
        <f>(4-2)/4</f>
        <v>0.5</v>
      </c>
      <c r="G56" s="42">
        <v>4</v>
      </c>
      <c r="H56" s="70" t="s">
        <v>139</v>
      </c>
      <c r="I56" s="128"/>
      <c r="J56" s="122">
        <v>4</v>
      </c>
      <c r="K56" s="129"/>
      <c r="L56" s="6"/>
      <c r="M56" s="6"/>
    </row>
    <row r="57" spans="1:13" ht="45">
      <c r="A57" s="21" t="s">
        <v>140</v>
      </c>
      <c r="B57" s="31" t="s">
        <v>141</v>
      </c>
      <c r="C57" s="45">
        <v>1</v>
      </c>
      <c r="D57" s="41">
        <v>2</v>
      </c>
      <c r="E57" s="63"/>
      <c r="F57" s="69">
        <f>2/2</f>
        <v>1</v>
      </c>
      <c r="G57" s="42">
        <v>2</v>
      </c>
      <c r="H57" s="70"/>
      <c r="I57" s="128"/>
      <c r="J57" s="122">
        <v>2</v>
      </c>
      <c r="K57" s="129"/>
      <c r="L57" s="7"/>
      <c r="M57" s="6"/>
    </row>
    <row r="58" spans="1:13" s="95" customFormat="1" ht="16.5" thickBot="1">
      <c r="A58" s="244" t="s">
        <v>38</v>
      </c>
      <c r="B58" s="245"/>
      <c r="C58" s="96">
        <f>SUMPRODUCT(C53:C57,D53:D57)</f>
        <v>11</v>
      </c>
      <c r="D58" s="97">
        <f>SUM(D53:D57)</f>
        <v>11</v>
      </c>
      <c r="E58" s="98"/>
      <c r="F58" s="99">
        <f>SUMPRODUCT(F53:F57,G53:G57)</f>
        <v>9</v>
      </c>
      <c r="G58" s="100">
        <f>SUM(G53:G57)</f>
        <v>11</v>
      </c>
      <c r="H58" s="101"/>
      <c r="I58" s="91">
        <f>SUMPRODUCT(I53:I57,J53:J57)</f>
        <v>0</v>
      </c>
      <c r="J58" s="92">
        <f>SUM(J53:J57)</f>
        <v>11</v>
      </c>
      <c r="K58" s="93"/>
      <c r="L58" s="94"/>
      <c r="M58" s="94"/>
    </row>
    <row r="59" spans="1:13" ht="18.399999999999999" customHeight="1" thickBot="1">
      <c r="A59" s="270" t="s">
        <v>2</v>
      </c>
      <c r="B59" s="271"/>
      <c r="C59" s="271"/>
      <c r="D59" s="271"/>
      <c r="E59" s="271"/>
      <c r="F59" s="271"/>
      <c r="G59" s="271"/>
      <c r="H59" s="271"/>
      <c r="I59" s="271"/>
      <c r="J59" s="271"/>
      <c r="K59" s="272"/>
      <c r="L59" s="5"/>
      <c r="M59" s="5"/>
    </row>
    <row r="60" spans="1:13">
      <c r="A60" s="273" t="s">
        <v>142</v>
      </c>
      <c r="B60" s="274"/>
      <c r="C60" s="131">
        <f t="shared" ref="C60:J60" si="0">C14+C21+C26+C32+C38+C51+C58</f>
        <v>69</v>
      </c>
      <c r="D60" s="61">
        <f t="shared" si="0"/>
        <v>100</v>
      </c>
      <c r="E60" s="62"/>
      <c r="F60" s="132">
        <f t="shared" si="0"/>
        <v>59</v>
      </c>
      <c r="G60" s="67">
        <f t="shared" si="0"/>
        <v>100</v>
      </c>
      <c r="H60" s="68"/>
      <c r="I60" s="133">
        <f t="shared" si="0"/>
        <v>0</v>
      </c>
      <c r="J60" s="123">
        <f t="shared" si="0"/>
        <v>100</v>
      </c>
      <c r="K60" s="124"/>
      <c r="L60" s="7"/>
      <c r="M60" s="6"/>
    </row>
    <row r="61" spans="1:13" s="95" customFormat="1" ht="16.5" thickBot="1">
      <c r="A61" s="275" t="s">
        <v>143</v>
      </c>
      <c r="B61" s="276"/>
      <c r="C61" s="277">
        <f>C60/D60</f>
        <v>0.69</v>
      </c>
      <c r="D61" s="278"/>
      <c r="E61" s="279"/>
      <c r="F61" s="280">
        <f>F60/G60</f>
        <v>0.59</v>
      </c>
      <c r="G61" s="281"/>
      <c r="H61" s="282"/>
      <c r="I61" s="283">
        <f>I60/J60</f>
        <v>0</v>
      </c>
      <c r="J61" s="284"/>
      <c r="K61" s="285"/>
      <c r="L61" s="134"/>
      <c r="M61" s="134"/>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16" workbookViewId="0">
      <selection activeCell="B26" sqref="B26"/>
    </sheetView>
  </sheetViews>
  <sheetFormatPr defaultColWidth="9.140625" defaultRowHeight="15"/>
  <cols>
    <col min="1" max="1" width="50.5703125" style="136" customWidth="1"/>
    <col min="2" max="2" width="9.28515625" style="136" bestFit="1" customWidth="1"/>
    <col min="3" max="4" width="9.140625" style="136"/>
    <col min="5" max="5" width="11" style="136" bestFit="1" customWidth="1"/>
    <col min="6" max="6" width="11" style="136" customWidth="1"/>
    <col min="7" max="7" width="54.85546875" style="136" customWidth="1"/>
    <col min="8" max="16384" width="9.140625" style="136"/>
  </cols>
  <sheetData>
    <row r="2" spans="1:7" ht="18.75">
      <c r="A2" s="286" t="s">
        <v>10</v>
      </c>
      <c r="B2" s="286"/>
      <c r="C2" s="286"/>
      <c r="D2" s="286"/>
      <c r="E2" s="286"/>
      <c r="F2" s="286"/>
      <c r="G2" s="286"/>
    </row>
    <row r="3" spans="1:7">
      <c r="A3" s="137"/>
      <c r="B3" s="137"/>
      <c r="C3" s="138"/>
      <c r="D3" s="138"/>
      <c r="E3" s="137"/>
      <c r="F3" s="137"/>
      <c r="G3" s="138"/>
    </row>
    <row r="4" spans="1:7" ht="18.75">
      <c r="A4" s="135" t="s">
        <v>144</v>
      </c>
      <c r="B4" s="135"/>
      <c r="C4" s="135"/>
      <c r="D4" s="135"/>
      <c r="E4" s="135"/>
      <c r="F4" s="135"/>
      <c r="G4" s="135"/>
    </row>
    <row r="5" spans="1:7" ht="15.75" thickBot="1"/>
    <row r="6" spans="1:7" ht="24" thickBot="1">
      <c r="A6" s="294" t="s">
        <v>6</v>
      </c>
      <c r="B6" s="295"/>
      <c r="C6" s="295"/>
      <c r="D6" s="295"/>
      <c r="E6" s="295"/>
      <c r="F6" s="295"/>
      <c r="G6" s="296"/>
    </row>
    <row r="7" spans="1:7">
      <c r="A7" s="159" t="s">
        <v>145</v>
      </c>
      <c r="B7" s="297"/>
      <c r="C7" s="297"/>
      <c r="D7" s="297"/>
      <c r="E7" s="297"/>
      <c r="F7" s="297"/>
      <c r="G7" s="298"/>
    </row>
    <row r="8" spans="1:7">
      <c r="A8" s="207" t="s">
        <v>146</v>
      </c>
      <c r="B8" s="186" t="s">
        <v>14</v>
      </c>
      <c r="C8" s="186" t="s">
        <v>147</v>
      </c>
      <c r="D8" s="186" t="s">
        <v>4</v>
      </c>
      <c r="E8" s="186" t="s">
        <v>148</v>
      </c>
      <c r="F8" s="186" t="s">
        <v>17</v>
      </c>
      <c r="G8" s="187" t="s">
        <v>15</v>
      </c>
    </row>
    <row r="9" spans="1:7">
      <c r="A9" s="146" t="s">
        <v>149</v>
      </c>
      <c r="B9" s="139">
        <v>1</v>
      </c>
      <c r="C9" s="139">
        <v>1</v>
      </c>
      <c r="D9" s="139">
        <v>5</v>
      </c>
      <c r="E9" s="139">
        <f t="shared" ref="E9:E19" si="0">B9*C9*D9</f>
        <v>5</v>
      </c>
      <c r="F9" s="221" t="s">
        <v>18</v>
      </c>
      <c r="G9" s="147"/>
    </row>
    <row r="10" spans="1:7" ht="75">
      <c r="A10" s="188" t="s">
        <v>150</v>
      </c>
      <c r="B10" s="189">
        <f>3/5</f>
        <v>0.6</v>
      </c>
      <c r="C10" s="189">
        <v>1</v>
      </c>
      <c r="D10" s="189">
        <v>5</v>
      </c>
      <c r="E10" s="189">
        <f t="shared" si="0"/>
        <v>3</v>
      </c>
      <c r="F10" s="241" t="s">
        <v>40</v>
      </c>
      <c r="G10" s="227" t="s">
        <v>151</v>
      </c>
    </row>
    <row r="11" spans="1:7" ht="210">
      <c r="A11" s="146" t="s">
        <v>152</v>
      </c>
      <c r="B11" s="225">
        <f>3/18</f>
        <v>0.16666666666666666</v>
      </c>
      <c r="C11" s="139">
        <v>0.25</v>
      </c>
      <c r="D11" s="139">
        <v>18</v>
      </c>
      <c r="E11" s="139">
        <f t="shared" si="0"/>
        <v>0.75</v>
      </c>
      <c r="F11" s="221" t="s">
        <v>18</v>
      </c>
      <c r="G11" s="224" t="s">
        <v>153</v>
      </c>
    </row>
    <row r="12" spans="1:7" ht="30">
      <c r="A12" s="188" t="s">
        <v>154</v>
      </c>
      <c r="B12" s="189">
        <v>0.3</v>
      </c>
      <c r="C12" s="189">
        <v>0.75</v>
      </c>
      <c r="D12" s="189">
        <v>16</v>
      </c>
      <c r="E12" s="189">
        <f>B12*C12*D12</f>
        <v>3.5999999999999996</v>
      </c>
      <c r="F12" s="222" t="s">
        <v>40</v>
      </c>
      <c r="G12" s="227" t="s">
        <v>155</v>
      </c>
    </row>
    <row r="13" spans="1:7" ht="120">
      <c r="A13" s="146" t="s">
        <v>156</v>
      </c>
      <c r="B13" s="139">
        <f>(10-1.75)/10</f>
        <v>0.82499999999999996</v>
      </c>
      <c r="C13" s="139">
        <v>0.5</v>
      </c>
      <c r="D13" s="139">
        <v>10</v>
      </c>
      <c r="E13" s="139">
        <f t="shared" si="0"/>
        <v>4.125</v>
      </c>
      <c r="F13" s="221" t="s">
        <v>18</v>
      </c>
      <c r="G13" s="224" t="s">
        <v>157</v>
      </c>
    </row>
    <row r="14" spans="1:7">
      <c r="A14" s="146" t="s">
        <v>158</v>
      </c>
      <c r="B14" s="139">
        <f>7.5/8</f>
        <v>0.9375</v>
      </c>
      <c r="C14" s="139">
        <v>0.75</v>
      </c>
      <c r="D14" s="139">
        <v>8</v>
      </c>
      <c r="E14" s="139">
        <f t="shared" si="0"/>
        <v>5.625</v>
      </c>
      <c r="F14" s="221" t="s">
        <v>40</v>
      </c>
      <c r="G14" s="147" t="s">
        <v>159</v>
      </c>
    </row>
    <row r="15" spans="1:7" ht="75">
      <c r="A15" s="188" t="s">
        <v>160</v>
      </c>
      <c r="B15" s="226">
        <f>8/12</f>
        <v>0.66666666666666663</v>
      </c>
      <c r="C15" s="189">
        <v>0.25</v>
      </c>
      <c r="D15" s="189">
        <v>12</v>
      </c>
      <c r="E15" s="189">
        <f t="shared" si="0"/>
        <v>2</v>
      </c>
      <c r="F15" s="228" t="s">
        <v>18</v>
      </c>
      <c r="G15" s="227" t="s">
        <v>161</v>
      </c>
    </row>
    <row r="16" spans="1:7">
      <c r="A16" s="146" t="s">
        <v>162</v>
      </c>
      <c r="B16" s="139">
        <f>9/10</f>
        <v>0.9</v>
      </c>
      <c r="C16" s="139">
        <v>1</v>
      </c>
      <c r="D16" s="139">
        <v>10</v>
      </c>
      <c r="E16" s="139">
        <f t="shared" si="0"/>
        <v>9</v>
      </c>
      <c r="F16" s="221" t="s">
        <v>40</v>
      </c>
      <c r="G16" s="147" t="s">
        <v>163</v>
      </c>
    </row>
    <row r="17" spans="1:7">
      <c r="A17" s="188" t="s">
        <v>164</v>
      </c>
      <c r="B17" s="189">
        <f>1/1</f>
        <v>1</v>
      </c>
      <c r="C17" s="189">
        <v>1</v>
      </c>
      <c r="D17" s="189">
        <v>4</v>
      </c>
      <c r="E17" s="189">
        <f t="shared" si="0"/>
        <v>4</v>
      </c>
      <c r="F17" s="222" t="s">
        <v>18</v>
      </c>
      <c r="G17" s="190"/>
    </row>
    <row r="18" spans="1:7" ht="45">
      <c r="A18" s="146" t="s">
        <v>165</v>
      </c>
      <c r="B18" s="139">
        <f>4/6</f>
        <v>0.66666666666666663</v>
      </c>
      <c r="C18" s="139">
        <v>1</v>
      </c>
      <c r="D18" s="139">
        <v>6</v>
      </c>
      <c r="E18" s="139">
        <f t="shared" si="0"/>
        <v>4</v>
      </c>
      <c r="F18" s="221" t="s">
        <v>40</v>
      </c>
      <c r="G18" s="224" t="s">
        <v>166</v>
      </c>
    </row>
    <row r="19" spans="1:7" ht="30">
      <c r="A19" s="188" t="s">
        <v>167</v>
      </c>
      <c r="B19" s="226">
        <v>1</v>
      </c>
      <c r="C19" s="189">
        <v>0.75</v>
      </c>
      <c r="D19" s="189">
        <v>6</v>
      </c>
      <c r="E19" s="189">
        <f t="shared" si="0"/>
        <v>4.5</v>
      </c>
      <c r="F19" s="222" t="s">
        <v>18</v>
      </c>
      <c r="G19" s="227" t="s">
        <v>168</v>
      </c>
    </row>
    <row r="20" spans="1:7">
      <c r="A20" s="168" t="s">
        <v>169</v>
      </c>
      <c r="B20" s="299"/>
      <c r="C20" s="299"/>
      <c r="D20" s="220">
        <f>SUM(D9:D19)</f>
        <v>100</v>
      </c>
      <c r="E20" s="169">
        <f>SUM(E9:E19)/D20 + E22*D22 + E21*D21</f>
        <v>0.45600000000000002</v>
      </c>
      <c r="F20" s="171"/>
      <c r="G20" s="170"/>
    </row>
    <row r="21" spans="1:7">
      <c r="A21" s="188" t="s">
        <v>170</v>
      </c>
      <c r="B21" s="191"/>
      <c r="C21" s="191"/>
      <c r="D21" s="192">
        <v>-0.15</v>
      </c>
      <c r="E21" s="191"/>
      <c r="F21" s="191"/>
      <c r="G21" s="193"/>
    </row>
    <row r="22" spans="1:7" ht="15.75" thickBot="1">
      <c r="A22" s="148" t="s">
        <v>171</v>
      </c>
      <c r="B22" s="149"/>
      <c r="C22" s="149"/>
      <c r="D22" s="150">
        <v>-0.2</v>
      </c>
      <c r="E22" s="149"/>
      <c r="F22" s="149"/>
      <c r="G22" s="151"/>
    </row>
    <row r="23" spans="1:7" ht="24" thickBot="1">
      <c r="A23" s="300" t="s">
        <v>7</v>
      </c>
      <c r="B23" s="301"/>
      <c r="C23" s="301"/>
      <c r="D23" s="301"/>
      <c r="E23" s="301"/>
      <c r="F23" s="301"/>
      <c r="G23" s="302"/>
    </row>
    <row r="24" spans="1:7" ht="15.75" customHeight="1">
      <c r="A24" s="158" t="s">
        <v>145</v>
      </c>
      <c r="B24" s="287"/>
      <c r="C24" s="287"/>
      <c r="D24" s="287"/>
      <c r="E24" s="287"/>
      <c r="F24" s="287"/>
      <c r="G24" s="288"/>
    </row>
    <row r="25" spans="1:7">
      <c r="A25" s="206" t="s">
        <v>146</v>
      </c>
      <c r="B25" s="194" t="s">
        <v>14</v>
      </c>
      <c r="C25" s="194" t="s">
        <v>147</v>
      </c>
      <c r="D25" s="194" t="s">
        <v>4</v>
      </c>
      <c r="E25" s="194" t="s">
        <v>148</v>
      </c>
      <c r="F25" s="194" t="s">
        <v>17</v>
      </c>
      <c r="G25" s="195" t="s">
        <v>15</v>
      </c>
    </row>
    <row r="26" spans="1:7" ht="30">
      <c r="A26" s="152" t="s">
        <v>172</v>
      </c>
      <c r="B26" s="304">
        <f>22/24</f>
        <v>0.91666666666666663</v>
      </c>
      <c r="C26" s="140">
        <v>0.75</v>
      </c>
      <c r="D26" s="140">
        <v>24</v>
      </c>
      <c r="E26" s="140">
        <f>B26*C26*D26</f>
        <v>16.5</v>
      </c>
      <c r="F26" s="140" t="s">
        <v>40</v>
      </c>
      <c r="G26" s="234" t="s">
        <v>173</v>
      </c>
    </row>
    <row r="27" spans="1:7">
      <c r="A27" s="196" t="s">
        <v>174</v>
      </c>
      <c r="B27" s="197">
        <v>1</v>
      </c>
      <c r="C27" s="197">
        <v>1</v>
      </c>
      <c r="D27" s="197">
        <v>8</v>
      </c>
      <c r="E27" s="197">
        <f t="shared" ref="E27:E35" si="1">B27*C27*D27</f>
        <v>8</v>
      </c>
      <c r="F27" s="197" t="s">
        <v>40</v>
      </c>
      <c r="G27" s="198"/>
    </row>
    <row r="28" spans="1:7">
      <c r="A28" s="152" t="s">
        <v>175</v>
      </c>
      <c r="B28" s="140">
        <v>1</v>
      </c>
      <c r="C28" s="140">
        <v>1</v>
      </c>
      <c r="D28" s="140">
        <v>10</v>
      </c>
      <c r="E28" s="140">
        <f t="shared" si="1"/>
        <v>10</v>
      </c>
      <c r="F28" s="140" t="s">
        <v>40</v>
      </c>
      <c r="G28" s="160"/>
    </row>
    <row r="29" spans="1:7">
      <c r="A29" s="196" t="s">
        <v>176</v>
      </c>
      <c r="B29" s="197">
        <v>1</v>
      </c>
      <c r="C29" s="197">
        <v>1</v>
      </c>
      <c r="D29" s="197">
        <v>8</v>
      </c>
      <c r="E29" s="197">
        <f t="shared" si="1"/>
        <v>8</v>
      </c>
      <c r="F29" s="197" t="s">
        <v>40</v>
      </c>
      <c r="G29" s="198" t="s">
        <v>177</v>
      </c>
    </row>
    <row r="30" spans="1:7" ht="225">
      <c r="A30" s="152" t="s">
        <v>178</v>
      </c>
      <c r="B30" s="140">
        <f>10/10</f>
        <v>1</v>
      </c>
      <c r="C30" s="140">
        <v>1</v>
      </c>
      <c r="D30" s="140">
        <v>10</v>
      </c>
      <c r="E30" s="140">
        <f t="shared" si="1"/>
        <v>10</v>
      </c>
      <c r="F30" s="140" t="s">
        <v>18</v>
      </c>
      <c r="G30" s="234" t="s">
        <v>179</v>
      </c>
    </row>
    <row r="31" spans="1:7" ht="240">
      <c r="A31" s="196" t="s">
        <v>180</v>
      </c>
      <c r="B31" s="197">
        <f>12/12</f>
        <v>1</v>
      </c>
      <c r="C31" s="197">
        <v>0.75</v>
      </c>
      <c r="D31" s="197">
        <v>12</v>
      </c>
      <c r="E31" s="197">
        <f t="shared" si="1"/>
        <v>9</v>
      </c>
      <c r="F31" s="197" t="s">
        <v>18</v>
      </c>
      <c r="G31" s="238" t="s">
        <v>181</v>
      </c>
    </row>
    <row r="32" spans="1:7" ht="255">
      <c r="A32" s="152" t="s">
        <v>182</v>
      </c>
      <c r="B32" s="140">
        <v>1</v>
      </c>
      <c r="C32" s="140">
        <v>0.75</v>
      </c>
      <c r="D32" s="140">
        <v>10</v>
      </c>
      <c r="E32" s="140">
        <f t="shared" si="1"/>
        <v>7.5</v>
      </c>
      <c r="F32" s="140" t="s">
        <v>18</v>
      </c>
      <c r="G32" s="234" t="s">
        <v>183</v>
      </c>
    </row>
    <row r="33" spans="1:7" ht="225">
      <c r="A33" s="196" t="s">
        <v>184</v>
      </c>
      <c r="B33" s="197">
        <v>1</v>
      </c>
      <c r="C33" s="197">
        <v>1</v>
      </c>
      <c r="D33" s="197">
        <v>4</v>
      </c>
      <c r="E33" s="197">
        <f t="shared" si="1"/>
        <v>4</v>
      </c>
      <c r="F33" s="197" t="s">
        <v>18</v>
      </c>
      <c r="G33" s="238" t="s">
        <v>185</v>
      </c>
    </row>
    <row r="34" spans="1:7" ht="210">
      <c r="A34" s="152" t="s">
        <v>186</v>
      </c>
      <c r="B34" s="140">
        <f>1/1</f>
        <v>1</v>
      </c>
      <c r="C34" s="140">
        <v>1</v>
      </c>
      <c r="D34" s="140">
        <v>10</v>
      </c>
      <c r="E34" s="140">
        <f t="shared" si="1"/>
        <v>10</v>
      </c>
      <c r="F34" s="140" t="s">
        <v>18</v>
      </c>
      <c r="G34" s="239" t="s">
        <v>187</v>
      </c>
    </row>
    <row r="35" spans="1:7" ht="165">
      <c r="A35" s="235" t="s">
        <v>188</v>
      </c>
      <c r="B35" s="236">
        <v>1</v>
      </c>
      <c r="C35" s="236">
        <v>0.25</v>
      </c>
      <c r="D35" s="236">
        <v>4</v>
      </c>
      <c r="E35" s="236">
        <f t="shared" si="1"/>
        <v>1</v>
      </c>
      <c r="F35" s="236" t="s">
        <v>18</v>
      </c>
      <c r="G35" s="240" t="s">
        <v>189</v>
      </c>
    </row>
    <row r="36" spans="1:7" ht="45">
      <c r="A36" s="165" t="s">
        <v>169</v>
      </c>
      <c r="B36" s="166"/>
      <c r="C36" s="166"/>
      <c r="D36" s="166">
        <f>SUM(D26:D35)</f>
        <v>100</v>
      </c>
      <c r="E36" s="167">
        <f>SUM(E26:E35)/D36 + E37*D37 + E38*D38 + E39*D39</f>
        <v>0.84</v>
      </c>
      <c r="F36" s="167"/>
      <c r="G36" s="305" t="s">
        <v>190</v>
      </c>
    </row>
    <row r="37" spans="1:7">
      <c r="A37" s="196" t="s">
        <v>170</v>
      </c>
      <c r="B37" s="199"/>
      <c r="C37" s="199"/>
      <c r="D37" s="200">
        <v>-0.15</v>
      </c>
      <c r="E37" s="199"/>
      <c r="F37" s="199"/>
      <c r="G37" s="201"/>
    </row>
    <row r="38" spans="1:7">
      <c r="A38" s="152" t="s">
        <v>191</v>
      </c>
      <c r="B38" s="141"/>
      <c r="C38" s="141"/>
      <c r="D38" s="142">
        <v>-0.2</v>
      </c>
      <c r="E38" s="141"/>
      <c r="F38" s="141"/>
      <c r="G38" s="153"/>
    </row>
    <row r="39" spans="1:7" ht="15.75" thickBot="1">
      <c r="A39" s="202" t="s">
        <v>192</v>
      </c>
      <c r="B39" s="203"/>
      <c r="C39" s="203"/>
      <c r="D39" s="204">
        <v>-0.05</v>
      </c>
      <c r="E39" s="203"/>
      <c r="F39" s="203"/>
      <c r="G39" s="205"/>
    </row>
    <row r="40" spans="1:7" ht="24" thickBot="1">
      <c r="A40" s="289" t="s">
        <v>8</v>
      </c>
      <c r="B40" s="290"/>
      <c r="C40" s="290"/>
      <c r="D40" s="290"/>
      <c r="E40" s="290"/>
      <c r="F40" s="290"/>
      <c r="G40" s="291"/>
    </row>
    <row r="41" spans="1:7">
      <c r="A41" s="157" t="s">
        <v>145</v>
      </c>
      <c r="B41" s="292"/>
      <c r="C41" s="292"/>
      <c r="D41" s="292"/>
      <c r="E41" s="292"/>
      <c r="F41" s="292"/>
      <c r="G41" s="293"/>
    </row>
    <row r="42" spans="1:7">
      <c r="A42" s="175" t="s">
        <v>146</v>
      </c>
      <c r="B42" s="176" t="s">
        <v>14</v>
      </c>
      <c r="C42" s="176" t="s">
        <v>147</v>
      </c>
      <c r="D42" s="176" t="s">
        <v>4</v>
      </c>
      <c r="E42" s="176" t="s">
        <v>148</v>
      </c>
      <c r="F42" s="177" t="s">
        <v>17</v>
      </c>
      <c r="G42" s="178" t="s">
        <v>15</v>
      </c>
    </row>
    <row r="43" spans="1:7">
      <c r="A43" s="154" t="s">
        <v>193</v>
      </c>
      <c r="B43" s="143">
        <v>0</v>
      </c>
      <c r="C43" s="143">
        <v>0</v>
      </c>
      <c r="D43" s="143">
        <v>14</v>
      </c>
      <c r="E43" s="143">
        <f t="shared" ref="E43:E52" si="2">B43*C43*D43</f>
        <v>0</v>
      </c>
      <c r="F43" s="143"/>
      <c r="G43" s="155"/>
    </row>
    <row r="44" spans="1:7">
      <c r="A44" s="172" t="s">
        <v>194</v>
      </c>
      <c r="B44" s="173">
        <v>0</v>
      </c>
      <c r="C44" s="173">
        <v>0</v>
      </c>
      <c r="D44" s="173">
        <v>10</v>
      </c>
      <c r="E44" s="173">
        <f t="shared" si="2"/>
        <v>0</v>
      </c>
      <c r="F44" s="173"/>
      <c r="G44" s="174"/>
    </row>
    <row r="45" spans="1:7">
      <c r="A45" s="154" t="s">
        <v>195</v>
      </c>
      <c r="B45" s="143">
        <v>0</v>
      </c>
      <c r="C45" s="143">
        <v>0</v>
      </c>
      <c r="D45" s="143">
        <v>12</v>
      </c>
      <c r="E45" s="143">
        <f t="shared" si="2"/>
        <v>0</v>
      </c>
      <c r="F45" s="143"/>
      <c r="G45" s="155"/>
    </row>
    <row r="46" spans="1:7">
      <c r="A46" s="172" t="s">
        <v>196</v>
      </c>
      <c r="B46" s="173">
        <v>0</v>
      </c>
      <c r="C46" s="173">
        <v>0</v>
      </c>
      <c r="D46" s="173">
        <v>18</v>
      </c>
      <c r="E46" s="173">
        <f t="shared" si="2"/>
        <v>0</v>
      </c>
      <c r="F46" s="173"/>
      <c r="G46" s="174"/>
    </row>
    <row r="47" spans="1:7">
      <c r="A47" s="154" t="s">
        <v>197</v>
      </c>
      <c r="B47" s="143">
        <v>0</v>
      </c>
      <c r="C47" s="143">
        <v>0</v>
      </c>
      <c r="D47" s="143">
        <v>16</v>
      </c>
      <c r="E47" s="143">
        <f t="shared" si="2"/>
        <v>0</v>
      </c>
      <c r="F47" s="143"/>
      <c r="G47" s="155"/>
    </row>
    <row r="48" spans="1:7">
      <c r="A48" s="172" t="s">
        <v>198</v>
      </c>
      <c r="B48" s="173">
        <v>0</v>
      </c>
      <c r="C48" s="173">
        <v>0</v>
      </c>
      <c r="D48" s="173">
        <v>6</v>
      </c>
      <c r="E48" s="173">
        <f t="shared" si="2"/>
        <v>0</v>
      </c>
      <c r="F48" s="173"/>
      <c r="G48" s="174"/>
    </row>
    <row r="49" spans="1:7">
      <c r="A49" s="154" t="s">
        <v>199</v>
      </c>
      <c r="B49" s="143">
        <v>0</v>
      </c>
      <c r="C49" s="143">
        <v>0</v>
      </c>
      <c r="D49" s="143">
        <v>6</v>
      </c>
      <c r="E49" s="143">
        <f t="shared" si="2"/>
        <v>0</v>
      </c>
      <c r="F49" s="143"/>
      <c r="G49" s="155"/>
    </row>
    <row r="50" spans="1:7">
      <c r="A50" s="172" t="s">
        <v>200</v>
      </c>
      <c r="B50" s="173">
        <v>0</v>
      </c>
      <c r="C50" s="173">
        <v>0</v>
      </c>
      <c r="D50" s="173">
        <v>6</v>
      </c>
      <c r="E50" s="173">
        <f t="shared" si="2"/>
        <v>0</v>
      </c>
      <c r="F50" s="173"/>
      <c r="G50" s="174"/>
    </row>
    <row r="51" spans="1:7">
      <c r="A51" s="154" t="s">
        <v>201</v>
      </c>
      <c r="B51" s="143">
        <v>0</v>
      </c>
      <c r="C51" s="143">
        <v>0</v>
      </c>
      <c r="D51" s="143">
        <v>8</v>
      </c>
      <c r="E51" s="143">
        <f t="shared" si="2"/>
        <v>0</v>
      </c>
      <c r="F51" s="143"/>
      <c r="G51" s="155"/>
    </row>
    <row r="52" spans="1:7">
      <c r="A52" s="172" t="s">
        <v>202</v>
      </c>
      <c r="B52" s="173">
        <v>0</v>
      </c>
      <c r="C52" s="173">
        <v>0</v>
      </c>
      <c r="D52" s="173">
        <v>4</v>
      </c>
      <c r="E52" s="173">
        <f t="shared" si="2"/>
        <v>0</v>
      </c>
      <c r="F52" s="173"/>
      <c r="G52" s="174"/>
    </row>
    <row r="53" spans="1:7">
      <c r="A53" s="161" t="s">
        <v>169</v>
      </c>
      <c r="B53" s="162"/>
      <c r="C53" s="162"/>
      <c r="D53" s="162">
        <f>SUM(D43:D52)</f>
        <v>100</v>
      </c>
      <c r="E53" s="163">
        <f>SUM(E43:E52)/D53 + D54*E54  + D55*E55 + D56*E56</f>
        <v>0</v>
      </c>
      <c r="F53" s="163"/>
      <c r="G53" s="164"/>
    </row>
    <row r="54" spans="1:7">
      <c r="A54" s="172" t="s">
        <v>170</v>
      </c>
      <c r="B54" s="179"/>
      <c r="C54" s="179"/>
      <c r="D54" s="180">
        <v>-0.15</v>
      </c>
      <c r="E54" s="179"/>
      <c r="F54" s="179"/>
      <c r="G54" s="181"/>
    </row>
    <row r="55" spans="1:7">
      <c r="A55" s="154" t="s">
        <v>191</v>
      </c>
      <c r="B55" s="144"/>
      <c r="C55" s="144"/>
      <c r="D55" s="145">
        <v>-0.2</v>
      </c>
      <c r="E55" s="144"/>
      <c r="F55" s="144"/>
      <c r="G55" s="156"/>
    </row>
    <row r="56" spans="1:7" ht="15.75" thickBot="1">
      <c r="A56" s="182" t="s">
        <v>192</v>
      </c>
      <c r="B56" s="183"/>
      <c r="C56" s="183"/>
      <c r="D56" s="184">
        <v>-0.05</v>
      </c>
      <c r="E56" s="183"/>
      <c r="F56" s="183"/>
      <c r="G56" s="185"/>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2021-11-18T01:01:10Z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