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sha/Desktop/"/>
    </mc:Choice>
  </mc:AlternateContent>
  <xr:revisionPtr revIDLastSave="0" documentId="8_{802115F8-D0AE-224B-8A17-728D23734A23}" xr6:coauthVersionLast="36" xr6:coauthVersionMax="36" xr10:uidLastSave="{00000000-0000-0000-0000-000000000000}"/>
  <bookViews>
    <workbookView xWindow="0" yWindow="440" windowWidth="25600" windowHeight="14500" xr2:uid="{AB219472-A173-4942-882C-E6C36FFFB216}"/>
  </bookViews>
  <sheets>
    <sheet name="Q1" sheetId="2" r:id="rId1"/>
  </sheets>
  <definedNames>
    <definedName name="solver_adj" localSheetId="0" hidden="1">'Q1'!$B$37:$E$37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opt" localSheetId="0" hidden="1">'Q1'!$L$22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7" i="2" l="1"/>
  <c r="B108" i="2"/>
  <c r="B107" i="2"/>
  <c r="B106" i="2"/>
  <c r="B105" i="2"/>
  <c r="B98" i="2" a="1"/>
  <c r="B98" i="2"/>
  <c r="C98" i="2"/>
  <c r="D98" i="2"/>
  <c r="E98" i="2"/>
  <c r="B99" i="2"/>
  <c r="C99" i="2"/>
  <c r="D99" i="2"/>
  <c r="E99" i="2"/>
  <c r="B100" i="2"/>
  <c r="C100" i="2"/>
  <c r="D100" i="2"/>
  <c r="E100" i="2"/>
  <c r="B101" i="2"/>
  <c r="C101" i="2"/>
  <c r="D101" i="2"/>
  <c r="E101" i="2"/>
  <c r="B94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" i="2"/>
  <c r="H2" i="2"/>
  <c r="B89" i="2" a="1"/>
  <c r="B89" i="2" s="1"/>
  <c r="B82" i="2" a="1"/>
  <c r="E82" i="2" s="1"/>
  <c r="B76" i="2" a="1"/>
  <c r="C76" i="2" s="1"/>
  <c r="B70" i="2" a="1"/>
  <c r="D70" i="2" s="1"/>
  <c r="E23" i="2"/>
  <c r="E24" i="2"/>
  <c r="C23" i="2"/>
  <c r="C24" i="2"/>
  <c r="G21" i="2"/>
  <c r="F21" i="2"/>
  <c r="I21" i="2" s="1"/>
  <c r="E21" i="2"/>
  <c r="G20" i="2"/>
  <c r="F20" i="2"/>
  <c r="E20" i="2"/>
  <c r="G19" i="2"/>
  <c r="F19" i="2"/>
  <c r="K19" i="2" s="1"/>
  <c r="E19" i="2"/>
  <c r="G18" i="2"/>
  <c r="F18" i="2"/>
  <c r="E18" i="2"/>
  <c r="G17" i="2"/>
  <c r="F17" i="2"/>
  <c r="I17" i="2" s="1"/>
  <c r="E17" i="2"/>
  <c r="G16" i="2"/>
  <c r="F16" i="2"/>
  <c r="E16" i="2"/>
  <c r="G15" i="2"/>
  <c r="F15" i="2"/>
  <c r="E15" i="2"/>
  <c r="G14" i="2"/>
  <c r="F14" i="2"/>
  <c r="E14" i="2"/>
  <c r="G13" i="2"/>
  <c r="F13" i="2"/>
  <c r="I13" i="2" s="1"/>
  <c r="E13" i="2"/>
  <c r="G12" i="2"/>
  <c r="F12" i="2"/>
  <c r="E12" i="2"/>
  <c r="G11" i="2"/>
  <c r="F11" i="2"/>
  <c r="K11" i="2" s="1"/>
  <c r="E11" i="2"/>
  <c r="G10" i="2"/>
  <c r="F10" i="2"/>
  <c r="E10" i="2"/>
  <c r="H10" i="2" s="1"/>
  <c r="G9" i="2"/>
  <c r="F9" i="2"/>
  <c r="E9" i="2"/>
  <c r="G8" i="2"/>
  <c r="F8" i="2"/>
  <c r="E8" i="2"/>
  <c r="G7" i="2"/>
  <c r="F7" i="2"/>
  <c r="K7" i="2" s="1"/>
  <c r="E7" i="2"/>
  <c r="G6" i="2"/>
  <c r="F6" i="2"/>
  <c r="E6" i="2"/>
  <c r="G5" i="2"/>
  <c r="F5" i="2"/>
  <c r="E5" i="2"/>
  <c r="G4" i="2"/>
  <c r="F4" i="2"/>
  <c r="E4" i="2"/>
  <c r="G3" i="2"/>
  <c r="F3" i="2"/>
  <c r="E3" i="2"/>
  <c r="G2" i="2"/>
  <c r="F2" i="2"/>
  <c r="I2" i="2" s="1"/>
  <c r="E2" i="2"/>
  <c r="B92" i="2" l="1"/>
  <c r="B91" i="2"/>
  <c r="B90" i="2"/>
  <c r="T85" i="2"/>
  <c r="P85" i="2"/>
  <c r="L85" i="2"/>
  <c r="H85" i="2"/>
  <c r="D85" i="2"/>
  <c r="T84" i="2"/>
  <c r="P84" i="2"/>
  <c r="L84" i="2"/>
  <c r="H84" i="2"/>
  <c r="D84" i="2"/>
  <c r="T83" i="2"/>
  <c r="P83" i="2"/>
  <c r="L83" i="2"/>
  <c r="H83" i="2"/>
  <c r="D83" i="2"/>
  <c r="T82" i="2"/>
  <c r="P82" i="2"/>
  <c r="L82" i="2"/>
  <c r="H82" i="2"/>
  <c r="D82" i="2"/>
  <c r="S85" i="2"/>
  <c r="O85" i="2"/>
  <c r="K85" i="2"/>
  <c r="G85" i="2"/>
  <c r="C85" i="2"/>
  <c r="S84" i="2"/>
  <c r="O84" i="2"/>
  <c r="K84" i="2"/>
  <c r="G84" i="2"/>
  <c r="C84" i="2"/>
  <c r="S83" i="2"/>
  <c r="O83" i="2"/>
  <c r="K83" i="2"/>
  <c r="G83" i="2"/>
  <c r="C83" i="2"/>
  <c r="S82" i="2"/>
  <c r="O82" i="2"/>
  <c r="K82" i="2"/>
  <c r="G82" i="2"/>
  <c r="C82" i="2"/>
  <c r="R85" i="2"/>
  <c r="N85" i="2"/>
  <c r="J85" i="2"/>
  <c r="F85" i="2"/>
  <c r="B85" i="2"/>
  <c r="R84" i="2"/>
  <c r="N84" i="2"/>
  <c r="J84" i="2"/>
  <c r="F84" i="2"/>
  <c r="B84" i="2"/>
  <c r="R83" i="2"/>
  <c r="N83" i="2"/>
  <c r="J83" i="2"/>
  <c r="F83" i="2"/>
  <c r="B83" i="2"/>
  <c r="R82" i="2"/>
  <c r="N82" i="2"/>
  <c r="J82" i="2"/>
  <c r="F82" i="2"/>
  <c r="B82" i="2"/>
  <c r="U85" i="2"/>
  <c r="Q85" i="2"/>
  <c r="M85" i="2"/>
  <c r="I85" i="2"/>
  <c r="E85" i="2"/>
  <c r="U84" i="2"/>
  <c r="Q84" i="2"/>
  <c r="M84" i="2"/>
  <c r="I84" i="2"/>
  <c r="E84" i="2"/>
  <c r="U83" i="2"/>
  <c r="Q83" i="2"/>
  <c r="M83" i="2"/>
  <c r="I83" i="2"/>
  <c r="E83" i="2"/>
  <c r="U82" i="2"/>
  <c r="Q82" i="2"/>
  <c r="M82" i="2"/>
  <c r="I82" i="2"/>
  <c r="E78" i="2"/>
  <c r="E77" i="2"/>
  <c r="E76" i="2"/>
  <c r="E79" i="2"/>
  <c r="B78" i="2"/>
  <c r="B76" i="2"/>
  <c r="D79" i="2"/>
  <c r="D78" i="2"/>
  <c r="D77" i="2"/>
  <c r="D76" i="2"/>
  <c r="B79" i="2"/>
  <c r="B77" i="2"/>
  <c r="C79" i="2"/>
  <c r="C78" i="2"/>
  <c r="C77" i="2"/>
  <c r="C73" i="2"/>
  <c r="C72" i="2"/>
  <c r="C71" i="2"/>
  <c r="C70" i="2"/>
  <c r="B73" i="2"/>
  <c r="B72" i="2"/>
  <c r="B71" i="2"/>
  <c r="B70" i="2"/>
  <c r="E73" i="2"/>
  <c r="E72" i="2"/>
  <c r="E71" i="2"/>
  <c r="E70" i="2"/>
  <c r="D73" i="2"/>
  <c r="D72" i="2"/>
  <c r="D71" i="2"/>
  <c r="H8" i="2"/>
  <c r="H12" i="2"/>
  <c r="H16" i="2"/>
  <c r="H18" i="2"/>
  <c r="J18" i="2" s="1"/>
  <c r="H20" i="2"/>
  <c r="H3" i="2"/>
  <c r="K4" i="2"/>
  <c r="H7" i="2"/>
  <c r="L7" i="2" s="1"/>
  <c r="H11" i="2"/>
  <c r="K12" i="2"/>
  <c r="H15" i="2"/>
  <c r="I16" i="2"/>
  <c r="J16" i="2" s="1"/>
  <c r="H19" i="2"/>
  <c r="K20" i="2"/>
  <c r="I4" i="2"/>
  <c r="H6" i="2"/>
  <c r="J6" i="2" s="1"/>
  <c r="I8" i="2"/>
  <c r="H4" i="2"/>
  <c r="H5" i="2"/>
  <c r="I6" i="2"/>
  <c r="H9" i="2"/>
  <c r="J9" i="2" s="1"/>
  <c r="H13" i="2"/>
  <c r="I14" i="2"/>
  <c r="I15" i="2"/>
  <c r="J15" i="2" s="1"/>
  <c r="H21" i="2"/>
  <c r="J21" i="2" s="1"/>
  <c r="H14" i="2"/>
  <c r="I7" i="2"/>
  <c r="H17" i="2"/>
  <c r="J17" i="2" s="1"/>
  <c r="I5" i="2"/>
  <c r="I10" i="2"/>
  <c r="I11" i="2"/>
  <c r="L19" i="2"/>
  <c r="L11" i="2"/>
  <c r="K3" i="2"/>
  <c r="L3" i="2" s="1"/>
  <c r="K8" i="2"/>
  <c r="L8" i="2" s="1"/>
  <c r="I9" i="2"/>
  <c r="I12" i="2"/>
  <c r="K15" i="2"/>
  <c r="L15" i="2" s="1"/>
  <c r="K16" i="2"/>
  <c r="L16" i="2" s="1"/>
  <c r="I18" i="2"/>
  <c r="I19" i="2"/>
  <c r="J19" i="2" s="1"/>
  <c r="I20" i="2"/>
  <c r="J20" i="2" s="1"/>
  <c r="K21" i="2"/>
  <c r="L21" i="2" s="1"/>
  <c r="J2" i="2"/>
  <c r="J11" i="2"/>
  <c r="I3" i="2"/>
  <c r="J3" i="2" s="1"/>
  <c r="J14" i="2"/>
  <c r="K2" i="2"/>
  <c r="L2" i="2" s="1"/>
  <c r="L4" i="2"/>
  <c r="J10" i="2"/>
  <c r="J13" i="2"/>
  <c r="L20" i="2"/>
  <c r="K6" i="2"/>
  <c r="K10" i="2"/>
  <c r="L10" i="2" s="1"/>
  <c r="K14" i="2"/>
  <c r="L14" i="2" s="1"/>
  <c r="K18" i="2"/>
  <c r="J4" i="2"/>
  <c r="K5" i="2"/>
  <c r="L5" i="2" s="1"/>
  <c r="J8" i="2"/>
  <c r="K9" i="2"/>
  <c r="J12" i="2"/>
  <c r="K13" i="2"/>
  <c r="L13" i="2" s="1"/>
  <c r="K17" i="2"/>
  <c r="L6" i="2" l="1"/>
  <c r="J7" i="2"/>
  <c r="C33" i="2" s="1"/>
  <c r="L12" i="2"/>
  <c r="L18" i="2"/>
  <c r="J5" i="2"/>
  <c r="L9" i="2"/>
  <c r="L17" i="2"/>
  <c r="B40" i="2" s="1"/>
  <c r="C40" i="2"/>
  <c r="J22" i="2" l="1"/>
  <c r="B33" i="2"/>
  <c r="L22" i="2"/>
</calcChain>
</file>

<file path=xl/sharedStrings.xml><?xml version="1.0" encoding="utf-8"?>
<sst xmlns="http://schemas.openxmlformats.org/spreadsheetml/2006/main" count="76" uniqueCount="55">
  <si>
    <t>Remodeled</t>
  </si>
  <si>
    <t>Neighborhood</t>
  </si>
  <si>
    <t>Age</t>
  </si>
  <si>
    <t>Price</t>
  </si>
  <si>
    <t>Area (SQFT)</t>
  </si>
  <si>
    <t>Y</t>
  </si>
  <si>
    <t xml:space="preserve">Remodeled </t>
  </si>
  <si>
    <t>Neighborhood 1</t>
  </si>
  <si>
    <t>Neighborhood 2</t>
  </si>
  <si>
    <t>Intercept b0</t>
  </si>
  <si>
    <t>Area b1</t>
  </si>
  <si>
    <t>Age b2</t>
  </si>
  <si>
    <t>Neighborhood 1 b3</t>
  </si>
  <si>
    <t>Neighborhood 2 b4</t>
  </si>
  <si>
    <t>Average</t>
  </si>
  <si>
    <t>Standard Deviation</t>
  </si>
  <si>
    <t>Error (Question 2 and 3)</t>
  </si>
  <si>
    <t>Error (Question 4)</t>
  </si>
  <si>
    <t>y-calc ( Question 4)</t>
  </si>
  <si>
    <t>Prob= 0.3</t>
  </si>
  <si>
    <t>Prob=0.8</t>
  </si>
  <si>
    <t>Prob=0-1</t>
  </si>
  <si>
    <t>Prob=0.6</t>
  </si>
  <si>
    <t>A</t>
  </si>
  <si>
    <t>B</t>
  </si>
  <si>
    <t>C</t>
  </si>
  <si>
    <t>D</t>
  </si>
  <si>
    <t>E</t>
  </si>
  <si>
    <t>X</t>
  </si>
  <si>
    <t>X Transpose</t>
  </si>
  <si>
    <t>X Transpose . X</t>
  </si>
  <si>
    <t>(X Transpose * X) Inverse</t>
  </si>
  <si>
    <t>(X Transpose * X) Inverse * X Transpose</t>
  </si>
  <si>
    <t xml:space="preserve">	B=(X Transpose * X) Inverse * X Transpose*Y</t>
  </si>
  <si>
    <t>F</t>
  </si>
  <si>
    <t>Price (Question E)</t>
  </si>
  <si>
    <t>Error(Question E)</t>
  </si>
  <si>
    <t>Variance</t>
  </si>
  <si>
    <t xml:space="preserve">                                Variance-Covaraiance Matrix= σ^2 〖(X^' X)〗^(-1)</t>
  </si>
  <si>
    <t>G</t>
  </si>
  <si>
    <t>t-stat for β=  (Estimate of β from part E)/(SD of β from part F)</t>
  </si>
  <si>
    <t>H</t>
  </si>
  <si>
    <t>&gt;2</t>
  </si>
  <si>
    <t>Null Hypothesis Rejected</t>
  </si>
  <si>
    <t>Null Hypothes is not Rejected</t>
  </si>
  <si>
    <t>Null Hypothes is Rejected</t>
  </si>
  <si>
    <t>&lt;-2</t>
  </si>
  <si>
    <t>if -2 &lt; x &lt; 2</t>
  </si>
  <si>
    <t>Significant</t>
  </si>
  <si>
    <t>significant</t>
  </si>
  <si>
    <t>Not Significant</t>
  </si>
  <si>
    <t>Mean=</t>
  </si>
  <si>
    <t>SD=</t>
  </si>
  <si>
    <t xml:space="preserve">Model Used: Price= b0+ b1Area + b2 Age + b3 Neighborhood 1 + b4Neighborhood 2 </t>
  </si>
  <si>
    <t>y-calc (Question 2 and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</si>
</sst>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E64B5-7711-4566-9B07-7419F0C55504}">
  <dimension ref="A1:V117"/>
  <sheetViews>
    <sheetView tabSelected="1" zoomScale="99" workbookViewId="0">
      <selection activeCell="D94" sqref="D94"/>
    </sheetView>
  </sheetViews>
  <sheetFormatPr baseColWidth="10" defaultColWidth="8.83203125" defaultRowHeight="15" x14ac:dyDescent="0.2"/>
  <cols>
    <col min="1" max="2" width="15.83203125" style="2" customWidth="1"/>
    <col min="3" max="3" width="23.1640625" style="2" customWidth="1"/>
    <col min="4" max="4" width="23" style="2" customWidth="1"/>
    <col min="5" max="5" width="15.83203125" style="2" customWidth="1"/>
    <col min="6" max="6" width="18.1640625" customWidth="1"/>
    <col min="7" max="7" width="15" style="2" customWidth="1"/>
    <col min="8" max="8" width="15.5" bestFit="1" customWidth="1"/>
    <col min="9" max="9" width="22.83203125" customWidth="1"/>
    <col min="10" max="10" width="21.33203125" customWidth="1"/>
    <col min="11" max="11" width="17.5" customWidth="1"/>
    <col min="12" max="12" width="18" customWidth="1"/>
    <col min="13" max="13" width="18.33203125" customWidth="1"/>
    <col min="14" max="14" width="14.6640625" customWidth="1"/>
    <col min="15" max="17" width="9" bestFit="1" customWidth="1"/>
    <col min="18" max="18" width="12.5" bestFit="1" customWidth="1"/>
    <col min="19" max="21" width="9" bestFit="1" customWidth="1"/>
  </cols>
  <sheetData>
    <row r="1" spans="1:14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7</v>
      </c>
      <c r="G1" s="1" t="s">
        <v>8</v>
      </c>
      <c r="H1" s="1" t="s">
        <v>3</v>
      </c>
      <c r="I1" s="1" t="s">
        <v>54</v>
      </c>
      <c r="J1" s="1" t="s">
        <v>16</v>
      </c>
      <c r="K1" s="1" t="s">
        <v>18</v>
      </c>
      <c r="L1" s="1" t="s">
        <v>17</v>
      </c>
      <c r="M1" s="1" t="s">
        <v>35</v>
      </c>
      <c r="N1" s="1" t="s">
        <v>36</v>
      </c>
    </row>
    <row r="2" spans="1:14" x14ac:dyDescent="0.2">
      <c r="A2" s="2">
        <v>1500</v>
      </c>
      <c r="C2" s="2">
        <v>2</v>
      </c>
      <c r="D2" s="2">
        <v>20</v>
      </c>
      <c r="E2" s="2">
        <f>IF(B2="Y",1,0)</f>
        <v>0</v>
      </c>
      <c r="F2" s="2">
        <f>IF(C2=1,1,0)</f>
        <v>0</v>
      </c>
      <c r="G2" s="2">
        <f>IF(C2=2,1,0)</f>
        <v>1</v>
      </c>
      <c r="H2" s="4">
        <f>(A2*150+E2*50000-D2*2000+0)+IF(F2=1,(15*A2),0)+IF(G2=1,(-5*A2),0)+$E$23</f>
        <v>183006.69420627161</v>
      </c>
      <c r="I2" s="2">
        <f t="shared" ref="I2:I21" si="0">$B$28+(A2*$C$28)+(D2*$D$28)+(F2*$E$28)+(G2*$F$28)</f>
        <v>192204.91662469195</v>
      </c>
      <c r="J2" s="2">
        <f t="shared" ref="J2:J21" si="1">H2-I2</f>
        <v>-9198.2224184203369</v>
      </c>
      <c r="K2" s="2">
        <f t="shared" ref="K2:K21" si="2">(A2*$B$37)+(D2*$C$37)+(F2*$D$37)+(G2*$E$37)</f>
        <v>192665.47228032106</v>
      </c>
      <c r="L2" s="4">
        <f t="shared" ref="L2:L21" si="3">H2-K2</f>
        <v>-9658.7780740494491</v>
      </c>
      <c r="M2" s="2">
        <f>(A2*$B$89+D2*$B$90+F2*$B$91+G2*$B$92)</f>
        <v>170572.36024945937</v>
      </c>
      <c r="N2" s="4">
        <f>(H2-M2)</f>
        <v>12434.333956812246</v>
      </c>
    </row>
    <row r="3" spans="1:14" x14ac:dyDescent="0.2">
      <c r="A3" s="2">
        <v>2500</v>
      </c>
      <c r="C3" s="2">
        <v>2</v>
      </c>
      <c r="D3" s="2">
        <v>0</v>
      </c>
      <c r="E3" s="2">
        <f t="shared" ref="E3:E21" si="4">IF(B3="Y",1,0)</f>
        <v>0</v>
      </c>
      <c r="F3" s="2">
        <f t="shared" ref="F3:F21" si="5">IF(C3=1,1,0)</f>
        <v>0</v>
      </c>
      <c r="G3" s="2">
        <f t="shared" ref="G3:G21" si="6">IF(C3=2,1,0)</f>
        <v>1</v>
      </c>
      <c r="H3" s="4">
        <f t="shared" ref="H3:H21" si="7">(A3*150+E3*50000-D3*2000+0)+IF(F3=1,(15*A3),0)+IF(G3=1,(-5*A3),0)+$E$23</f>
        <v>368006.69420627161</v>
      </c>
      <c r="I3" s="2">
        <f t="shared" si="0"/>
        <v>378259.67065035074</v>
      </c>
      <c r="J3" s="2">
        <f t="shared" si="1"/>
        <v>-10252.976444079133</v>
      </c>
      <c r="K3" s="2">
        <f t="shared" si="2"/>
        <v>379068.6581597976</v>
      </c>
      <c r="L3" s="4">
        <f t="shared" si="3"/>
        <v>-11061.963953525992</v>
      </c>
      <c r="M3" s="2">
        <f t="shared" ref="M3:M21" si="8">(A3*$B$89+D3*$B$90+F3*$B$91+G3*$B$92)</f>
        <v>382414.43478274695</v>
      </c>
      <c r="N3" s="4">
        <f t="shared" ref="N3:N21" si="9">(H3-M3)</f>
        <v>-14407.740576475335</v>
      </c>
    </row>
    <row r="4" spans="1:14" x14ac:dyDescent="0.2">
      <c r="A4" s="2">
        <v>5000</v>
      </c>
      <c r="C4" s="2">
        <v>3</v>
      </c>
      <c r="D4" s="2">
        <v>14</v>
      </c>
      <c r="E4" s="2">
        <f t="shared" si="4"/>
        <v>0</v>
      </c>
      <c r="F4" s="2">
        <f t="shared" si="5"/>
        <v>0</v>
      </c>
      <c r="G4" s="2">
        <f t="shared" si="6"/>
        <v>0</v>
      </c>
      <c r="H4" s="4">
        <f t="shared" si="7"/>
        <v>727506.69420627155</v>
      </c>
      <c r="I4" s="2">
        <f t="shared" si="0"/>
        <v>732267.56770562346</v>
      </c>
      <c r="J4" s="2">
        <f t="shared" si="1"/>
        <v>-4760.8734993519029</v>
      </c>
      <c r="K4" s="2">
        <f t="shared" si="2"/>
        <v>732062.75343571987</v>
      </c>
      <c r="L4" s="4">
        <f t="shared" si="3"/>
        <v>-4556.0592294483213</v>
      </c>
      <c r="M4" s="2">
        <f t="shared" si="8"/>
        <v>747487.77836646535</v>
      </c>
      <c r="N4" s="4">
        <f t="shared" si="9"/>
        <v>-19981.084160193801</v>
      </c>
    </row>
    <row r="5" spans="1:14" x14ac:dyDescent="0.2">
      <c r="A5" s="2">
        <v>4700</v>
      </c>
      <c r="B5" s="2" t="s">
        <v>5</v>
      </c>
      <c r="C5" s="2">
        <v>3</v>
      </c>
      <c r="D5" s="2">
        <v>12</v>
      </c>
      <c r="E5" s="2">
        <f t="shared" si="4"/>
        <v>1</v>
      </c>
      <c r="F5" s="2">
        <f t="shared" si="5"/>
        <v>0</v>
      </c>
      <c r="G5" s="2">
        <f t="shared" si="6"/>
        <v>0</v>
      </c>
      <c r="H5" s="4">
        <f t="shared" si="7"/>
        <v>736506.69420627155</v>
      </c>
      <c r="I5" s="2">
        <f t="shared" si="0"/>
        <v>690346.68712986563</v>
      </c>
      <c r="J5" s="2">
        <f t="shared" si="1"/>
        <v>46160.00707640592</v>
      </c>
      <c r="K5" s="2">
        <f t="shared" si="2"/>
        <v>690173.59949374804</v>
      </c>
      <c r="L5" s="4">
        <f t="shared" si="3"/>
        <v>46333.094712523511</v>
      </c>
      <c r="M5" s="2">
        <f t="shared" si="8"/>
        <v>705810.42578191566</v>
      </c>
      <c r="N5" s="4">
        <f t="shared" si="9"/>
        <v>30696.268424355891</v>
      </c>
    </row>
    <row r="6" spans="1:14" x14ac:dyDescent="0.2">
      <c r="A6" s="2">
        <v>3500</v>
      </c>
      <c r="C6" s="2">
        <v>3</v>
      </c>
      <c r="D6" s="2">
        <v>5</v>
      </c>
      <c r="E6" s="2">
        <f t="shared" si="4"/>
        <v>0</v>
      </c>
      <c r="F6" s="2">
        <f t="shared" si="5"/>
        <v>0</v>
      </c>
      <c r="G6" s="2">
        <f t="shared" si="6"/>
        <v>0</v>
      </c>
      <c r="H6" s="4">
        <f t="shared" si="7"/>
        <v>520506.69420627161</v>
      </c>
      <c r="I6" s="2">
        <f t="shared" si="0"/>
        <v>520926.22162284114</v>
      </c>
      <c r="J6" s="2">
        <f t="shared" si="1"/>
        <v>-419.52741656953003</v>
      </c>
      <c r="K6" s="2">
        <f t="shared" si="2"/>
        <v>520863.00849812652</v>
      </c>
      <c r="L6" s="4">
        <f t="shared" si="3"/>
        <v>-356.31429185491288</v>
      </c>
      <c r="M6" s="2">
        <f t="shared" si="8"/>
        <v>536366.60672178771</v>
      </c>
      <c r="N6" s="4">
        <f t="shared" si="9"/>
        <v>-15859.912515516102</v>
      </c>
    </row>
    <row r="7" spans="1:14" x14ac:dyDescent="0.2">
      <c r="A7" s="2">
        <v>1000</v>
      </c>
      <c r="C7" s="2">
        <v>1</v>
      </c>
      <c r="D7" s="2">
        <v>25</v>
      </c>
      <c r="E7" s="2">
        <f t="shared" si="4"/>
        <v>0</v>
      </c>
      <c r="F7" s="2">
        <f t="shared" si="5"/>
        <v>1</v>
      </c>
      <c r="G7" s="2">
        <f t="shared" si="6"/>
        <v>0</v>
      </c>
      <c r="H7" s="4">
        <f t="shared" si="7"/>
        <v>120506.6942062716</v>
      </c>
      <c r="I7" s="2">
        <f t="shared" si="0"/>
        <v>107905.56133240207</v>
      </c>
      <c r="J7" s="2">
        <f t="shared" si="1"/>
        <v>12601.13287386953</v>
      </c>
      <c r="K7" s="2">
        <f t="shared" si="2"/>
        <v>107440.30168155256</v>
      </c>
      <c r="L7" s="4">
        <f t="shared" si="3"/>
        <v>13066.392524719035</v>
      </c>
      <c r="M7" s="2">
        <f t="shared" si="8"/>
        <v>128855.91853538243</v>
      </c>
      <c r="N7" s="4">
        <f t="shared" si="9"/>
        <v>-8349.2243291108316</v>
      </c>
    </row>
    <row r="8" spans="1:14" x14ac:dyDescent="0.2">
      <c r="A8" s="2">
        <v>1500</v>
      </c>
      <c r="C8" s="2">
        <v>2</v>
      </c>
      <c r="D8" s="2">
        <v>4</v>
      </c>
      <c r="E8" s="2">
        <f t="shared" si="4"/>
        <v>0</v>
      </c>
      <c r="F8" s="2">
        <f t="shared" si="5"/>
        <v>0</v>
      </c>
      <c r="G8" s="2">
        <f t="shared" si="6"/>
        <v>1</v>
      </c>
      <c r="H8" s="4">
        <f t="shared" si="7"/>
        <v>215006.69420627161</v>
      </c>
      <c r="I8" s="2">
        <f t="shared" si="0"/>
        <v>219996.00788857127</v>
      </c>
      <c r="J8" s="2">
        <f t="shared" si="1"/>
        <v>-4989.3136822996603</v>
      </c>
      <c r="K8" s="2">
        <f t="shared" si="2"/>
        <v>220729.07592406322</v>
      </c>
      <c r="L8" s="4">
        <f t="shared" si="3"/>
        <v>-5722.3817177916062</v>
      </c>
      <c r="M8" s="2">
        <f t="shared" si="8"/>
        <v>214322.89980033273</v>
      </c>
      <c r="N8" s="4">
        <f t="shared" si="9"/>
        <v>683.79440593888285</v>
      </c>
    </row>
    <row r="9" spans="1:14" x14ac:dyDescent="0.2">
      <c r="A9" s="2">
        <v>1600</v>
      </c>
      <c r="B9" s="2" t="s">
        <v>5</v>
      </c>
      <c r="C9" s="2">
        <v>3</v>
      </c>
      <c r="D9" s="2">
        <v>3</v>
      </c>
      <c r="E9" s="2">
        <f t="shared" si="4"/>
        <v>1</v>
      </c>
      <c r="F9" s="2">
        <f t="shared" si="5"/>
        <v>0</v>
      </c>
      <c r="G9" s="2">
        <f t="shared" si="6"/>
        <v>0</v>
      </c>
      <c r="H9" s="4">
        <f t="shared" si="7"/>
        <v>289506.69420627161</v>
      </c>
      <c r="I9" s="2">
        <f t="shared" si="0"/>
        <v>236899.91713378753</v>
      </c>
      <c r="J9" s="2">
        <f t="shared" si="1"/>
        <v>52606.777072484081</v>
      </c>
      <c r="K9" s="2">
        <f t="shared" si="2"/>
        <v>236855.96443647653</v>
      </c>
      <c r="L9" s="4">
        <f t="shared" si="3"/>
        <v>52650.729769795085</v>
      </c>
      <c r="M9" s="2">
        <f t="shared" si="8"/>
        <v>243243.01398572465</v>
      </c>
      <c r="N9" s="4">
        <f t="shared" si="9"/>
        <v>46263.680220546958</v>
      </c>
    </row>
    <row r="10" spans="1:14" x14ac:dyDescent="0.2">
      <c r="A10" s="2">
        <v>2000</v>
      </c>
      <c r="C10" s="2">
        <v>1</v>
      </c>
      <c r="D10" s="2">
        <v>1</v>
      </c>
      <c r="E10" s="2">
        <f t="shared" si="4"/>
        <v>0</v>
      </c>
      <c r="F10" s="2">
        <f t="shared" si="5"/>
        <v>1</v>
      </c>
      <c r="G10" s="2">
        <f t="shared" si="6"/>
        <v>0</v>
      </c>
      <c r="H10" s="4">
        <f t="shared" si="7"/>
        <v>333506.69420627161</v>
      </c>
      <c r="I10" s="2">
        <f t="shared" si="0"/>
        <v>300908.08817403077</v>
      </c>
      <c r="J10" s="2">
        <f t="shared" si="1"/>
        <v>32598.606032240845</v>
      </c>
      <c r="K10" s="2">
        <f t="shared" si="2"/>
        <v>300859.38847196463</v>
      </c>
      <c r="L10" s="4">
        <f t="shared" si="3"/>
        <v>32647.305734306981</v>
      </c>
      <c r="M10" s="2">
        <f t="shared" si="8"/>
        <v>351635.6279563884</v>
      </c>
      <c r="N10" s="4">
        <f t="shared" si="9"/>
        <v>-18128.93375011679</v>
      </c>
    </row>
    <row r="11" spans="1:14" x14ac:dyDescent="0.2">
      <c r="A11" s="2">
        <v>3000</v>
      </c>
      <c r="C11" s="2">
        <v>1</v>
      </c>
      <c r="D11" s="2">
        <v>0</v>
      </c>
      <c r="E11" s="2">
        <f t="shared" si="4"/>
        <v>0</v>
      </c>
      <c r="F11" s="2">
        <f t="shared" si="5"/>
        <v>1</v>
      </c>
      <c r="G11" s="2">
        <f t="shared" si="6"/>
        <v>0</v>
      </c>
      <c r="H11" s="4">
        <f t="shared" si="7"/>
        <v>500506.69420627161</v>
      </c>
      <c r="I11" s="2">
        <f t="shared" si="0"/>
        <v>453960.92132383288</v>
      </c>
      <c r="J11" s="2">
        <f t="shared" si="1"/>
        <v>46545.77288243873</v>
      </c>
      <c r="K11" s="2">
        <f t="shared" si="2"/>
        <v>453937.04502449738</v>
      </c>
      <c r="L11" s="4">
        <f t="shared" si="3"/>
        <v>46569.649181774235</v>
      </c>
      <c r="M11" s="2">
        <f t="shared" si="8"/>
        <v>511523.93677301385</v>
      </c>
      <c r="N11" s="4">
        <f t="shared" si="9"/>
        <v>-11017.242566742236</v>
      </c>
    </row>
    <row r="12" spans="1:14" x14ac:dyDescent="0.2">
      <c r="A12" s="2">
        <v>3600</v>
      </c>
      <c r="C12" s="2">
        <v>2</v>
      </c>
      <c r="D12" s="2">
        <v>10</v>
      </c>
      <c r="E12" s="2">
        <f t="shared" si="4"/>
        <v>0</v>
      </c>
      <c r="F12" s="2">
        <f t="shared" si="5"/>
        <v>0</v>
      </c>
      <c r="G12" s="2">
        <f t="shared" si="6"/>
        <v>1</v>
      </c>
      <c r="H12" s="4">
        <f t="shared" si="7"/>
        <v>507506.69420627161</v>
      </c>
      <c r="I12" s="2">
        <f t="shared" si="0"/>
        <v>527337.71755081695</v>
      </c>
      <c r="J12" s="2">
        <f t="shared" si="1"/>
        <v>-19831.023344545334</v>
      </c>
      <c r="K12" s="2">
        <f t="shared" si="2"/>
        <v>527984.95533973759</v>
      </c>
      <c r="L12" s="4">
        <f t="shared" si="3"/>
        <v>-20478.261133465974</v>
      </c>
      <c r="M12" s="2">
        <f t="shared" si="8"/>
        <v>527939.63766761648</v>
      </c>
      <c r="N12" s="4">
        <f t="shared" si="9"/>
        <v>-20432.943461344868</v>
      </c>
    </row>
    <row r="13" spans="1:14" x14ac:dyDescent="0.2">
      <c r="A13" s="2">
        <v>4100</v>
      </c>
      <c r="C13" s="2">
        <v>2</v>
      </c>
      <c r="D13" s="2">
        <v>35</v>
      </c>
      <c r="E13" s="2">
        <f t="shared" si="4"/>
        <v>0</v>
      </c>
      <c r="F13" s="2">
        <f t="shared" si="5"/>
        <v>0</v>
      </c>
      <c r="G13" s="2">
        <f t="shared" si="6"/>
        <v>1</v>
      </c>
      <c r="H13" s="4">
        <f t="shared" si="7"/>
        <v>530006.69420627155</v>
      </c>
      <c r="I13" s="2">
        <f t="shared" si="0"/>
        <v>559572.08242391038</v>
      </c>
      <c r="J13" s="2">
        <f t="shared" si="1"/>
        <v>-29565.388217638829</v>
      </c>
      <c r="K13" s="2">
        <f t="shared" si="2"/>
        <v>559797.41530878993</v>
      </c>
      <c r="L13" s="4">
        <f t="shared" si="3"/>
        <v>-29790.721102518379</v>
      </c>
      <c r="M13" s="2">
        <f t="shared" si="8"/>
        <v>538156.36966672493</v>
      </c>
      <c r="N13" s="4">
        <f t="shared" si="9"/>
        <v>-8149.675460453378</v>
      </c>
    </row>
    <row r="14" spans="1:14" x14ac:dyDescent="0.2">
      <c r="A14" s="2">
        <v>4300</v>
      </c>
      <c r="B14" s="2" t="s">
        <v>5</v>
      </c>
      <c r="C14" s="2">
        <v>2</v>
      </c>
      <c r="D14" s="2">
        <v>22</v>
      </c>
      <c r="E14" s="2">
        <f t="shared" si="4"/>
        <v>1</v>
      </c>
      <c r="F14" s="2">
        <f t="shared" si="5"/>
        <v>0</v>
      </c>
      <c r="G14" s="2">
        <f t="shared" si="6"/>
        <v>1</v>
      </c>
      <c r="H14" s="4">
        <f t="shared" si="7"/>
        <v>635006.69420627155</v>
      </c>
      <c r="I14" s="2">
        <f t="shared" si="0"/>
        <v>612415.52206497418</v>
      </c>
      <c r="J14" s="2">
        <f t="shared" si="1"/>
        <v>22591.172141297371</v>
      </c>
      <c r="K14" s="2">
        <f t="shared" si="2"/>
        <v>612863.82953429024</v>
      </c>
      <c r="L14" s="4">
        <f t="shared" si="3"/>
        <v>22142.864671981311</v>
      </c>
      <c r="M14" s="2">
        <f t="shared" si="8"/>
        <v>605134.46307074872</v>
      </c>
      <c r="N14" s="4">
        <f t="shared" si="9"/>
        <v>29872.23113552283</v>
      </c>
    </row>
    <row r="15" spans="1:14" x14ac:dyDescent="0.2">
      <c r="A15" s="2">
        <v>6000</v>
      </c>
      <c r="C15" s="2">
        <v>1</v>
      </c>
      <c r="D15" s="2">
        <v>12</v>
      </c>
      <c r="E15" s="2">
        <f t="shared" si="4"/>
        <v>0</v>
      </c>
      <c r="F15" s="2">
        <f t="shared" si="5"/>
        <v>1</v>
      </c>
      <c r="G15" s="2">
        <f t="shared" si="6"/>
        <v>0</v>
      </c>
      <c r="H15" s="4">
        <f t="shared" si="7"/>
        <v>971506.69420627155</v>
      </c>
      <c r="I15" s="2">
        <f t="shared" si="0"/>
        <v>887065.27271335258</v>
      </c>
      <c r="J15" s="2">
        <f t="shared" si="1"/>
        <v>84441.421492918977</v>
      </c>
      <c r="K15" s="2">
        <f t="shared" si="2"/>
        <v>886860.3862660873</v>
      </c>
      <c r="L15" s="4">
        <f t="shared" si="3"/>
        <v>84646.307940184255</v>
      </c>
      <c r="M15" s="2">
        <f t="shared" si="8"/>
        <v>950172.73239394638</v>
      </c>
      <c r="N15" s="4">
        <f t="shared" si="9"/>
        <v>21333.961812325171</v>
      </c>
    </row>
    <row r="16" spans="1:14" x14ac:dyDescent="0.2">
      <c r="A16" s="2">
        <v>8000</v>
      </c>
      <c r="C16" s="2">
        <v>3</v>
      </c>
      <c r="D16" s="2">
        <v>28</v>
      </c>
      <c r="E16" s="2">
        <f t="shared" si="4"/>
        <v>0</v>
      </c>
      <c r="F16" s="2">
        <f t="shared" si="5"/>
        <v>0</v>
      </c>
      <c r="G16" s="2">
        <f t="shared" si="6"/>
        <v>0</v>
      </c>
      <c r="H16" s="4">
        <f t="shared" si="7"/>
        <v>1149506.6942062716</v>
      </c>
      <c r="I16" s="2">
        <f t="shared" si="0"/>
        <v>1161898.0326871583</v>
      </c>
      <c r="J16" s="2">
        <f t="shared" si="1"/>
        <v>-12391.33848088677</v>
      </c>
      <c r="K16" s="2">
        <f t="shared" si="2"/>
        <v>1161478.1442218421</v>
      </c>
      <c r="L16" s="4">
        <f t="shared" si="3"/>
        <v>-11971.450015570503</v>
      </c>
      <c r="M16" s="2">
        <f t="shared" si="8"/>
        <v>1180667.756543539</v>
      </c>
      <c r="N16" s="4">
        <f t="shared" si="9"/>
        <v>-31161.062337267445</v>
      </c>
    </row>
    <row r="17" spans="1:14" x14ac:dyDescent="0.2">
      <c r="A17" s="2">
        <v>6700</v>
      </c>
      <c r="C17" s="2">
        <v>1</v>
      </c>
      <c r="D17" s="2">
        <v>6</v>
      </c>
      <c r="E17" s="2">
        <f t="shared" si="4"/>
        <v>0</v>
      </c>
      <c r="F17" s="2">
        <f t="shared" si="5"/>
        <v>1</v>
      </c>
      <c r="G17" s="2">
        <f t="shared" si="6"/>
        <v>0</v>
      </c>
      <c r="H17" s="4">
        <f t="shared" si="7"/>
        <v>1099006.6942062716</v>
      </c>
      <c r="I17" s="2">
        <f t="shared" si="0"/>
        <v>1003408.054899374</v>
      </c>
      <c r="J17" s="2">
        <f t="shared" si="1"/>
        <v>95598.63930689753</v>
      </c>
      <c r="K17" s="2">
        <f t="shared" si="2"/>
        <v>1003310.8145598498</v>
      </c>
      <c r="L17" s="4">
        <f t="shared" si="3"/>
        <v>95695.879646421759</v>
      </c>
      <c r="M17" s="2">
        <f t="shared" si="8"/>
        <v>1076586.914791811</v>
      </c>
      <c r="N17" s="4">
        <f t="shared" si="9"/>
        <v>22419.779414460529</v>
      </c>
    </row>
    <row r="18" spans="1:14" x14ac:dyDescent="0.2">
      <c r="A18" s="2">
        <v>1400</v>
      </c>
      <c r="C18" s="2">
        <v>1</v>
      </c>
      <c r="D18" s="2">
        <v>4</v>
      </c>
      <c r="E18" s="2">
        <f t="shared" si="4"/>
        <v>0</v>
      </c>
      <c r="F18" s="2">
        <f t="shared" si="5"/>
        <v>1</v>
      </c>
      <c r="G18" s="2">
        <f t="shared" si="6"/>
        <v>0</v>
      </c>
      <c r="H18" s="4">
        <f t="shared" si="7"/>
        <v>228506.69420627161</v>
      </c>
      <c r="I18" s="2">
        <f t="shared" si="0"/>
        <v>204907.72459456755</v>
      </c>
      <c r="J18" s="2">
        <f t="shared" si="1"/>
        <v>23598.969611704058</v>
      </c>
      <c r="K18" s="2">
        <f t="shared" si="2"/>
        <v>204803.2539938837</v>
      </c>
      <c r="L18" s="4">
        <f t="shared" si="3"/>
        <v>23703.440212387912</v>
      </c>
      <c r="M18" s="2">
        <f t="shared" si="8"/>
        <v>249140.06173378206</v>
      </c>
      <c r="N18" s="4">
        <f t="shared" si="9"/>
        <v>-20633.367527510447</v>
      </c>
    </row>
    <row r="19" spans="1:14" x14ac:dyDescent="0.2">
      <c r="A19" s="2">
        <v>1800</v>
      </c>
      <c r="B19" s="2" t="s">
        <v>5</v>
      </c>
      <c r="C19" s="2">
        <v>1</v>
      </c>
      <c r="D19" s="2">
        <v>9</v>
      </c>
      <c r="E19" s="2">
        <f t="shared" si="4"/>
        <v>1</v>
      </c>
      <c r="F19" s="2">
        <f t="shared" si="5"/>
        <v>1</v>
      </c>
      <c r="G19" s="2">
        <f t="shared" si="6"/>
        <v>0</v>
      </c>
      <c r="H19" s="4">
        <f t="shared" si="7"/>
        <v>334506.69420627161</v>
      </c>
      <c r="I19" s="2">
        <f t="shared" si="0"/>
        <v>256749.36455292912</v>
      </c>
      <c r="J19" s="2">
        <f t="shared" si="1"/>
        <v>77757.329653342487</v>
      </c>
      <c r="K19" s="2">
        <f t="shared" si="2"/>
        <v>256562.85038513385</v>
      </c>
      <c r="L19" s="4">
        <f t="shared" si="3"/>
        <v>77943.843821137765</v>
      </c>
      <c r="M19" s="2">
        <f t="shared" si="8"/>
        <v>298329.57816201251</v>
      </c>
      <c r="N19" s="4">
        <f t="shared" si="9"/>
        <v>36177.116044259106</v>
      </c>
    </row>
    <row r="20" spans="1:14" x14ac:dyDescent="0.2">
      <c r="A20" s="2">
        <v>2200</v>
      </c>
      <c r="C20" s="2">
        <v>1</v>
      </c>
      <c r="D20" s="2">
        <v>11</v>
      </c>
      <c r="E20" s="2">
        <f t="shared" si="4"/>
        <v>0</v>
      </c>
      <c r="F20" s="2">
        <f t="shared" si="5"/>
        <v>1</v>
      </c>
      <c r="G20" s="2">
        <f t="shared" si="6"/>
        <v>0</v>
      </c>
      <c r="H20" s="4">
        <f t="shared" si="7"/>
        <v>346506.69420627161</v>
      </c>
      <c r="I20" s="2">
        <f t="shared" si="0"/>
        <v>313801.83412326808</v>
      </c>
      <c r="J20" s="2">
        <f t="shared" si="1"/>
        <v>32704.860083003528</v>
      </c>
      <c r="K20" s="2">
        <f t="shared" si="2"/>
        <v>313584.3724595856</v>
      </c>
      <c r="L20" s="4">
        <f t="shared" si="3"/>
        <v>32922.321746686008</v>
      </c>
      <c r="M20" s="2">
        <f t="shared" si="8"/>
        <v>355722.32075603172</v>
      </c>
      <c r="N20" s="4">
        <f t="shared" si="9"/>
        <v>-9215.6265497601125</v>
      </c>
    </row>
    <row r="21" spans="1:14" x14ac:dyDescent="0.2">
      <c r="A21" s="2">
        <v>2800</v>
      </c>
      <c r="C21" s="2">
        <v>1</v>
      </c>
      <c r="D21" s="2">
        <v>0</v>
      </c>
      <c r="E21" s="2">
        <f t="shared" si="4"/>
        <v>0</v>
      </c>
      <c r="F21" s="2">
        <f t="shared" si="5"/>
        <v>1</v>
      </c>
      <c r="G21" s="2">
        <f t="shared" si="6"/>
        <v>0</v>
      </c>
      <c r="H21" s="4">
        <f t="shared" si="7"/>
        <v>467506.69420627161</v>
      </c>
      <c r="I21" s="2">
        <f t="shared" si="0"/>
        <v>423697.74333467096</v>
      </c>
      <c r="J21" s="2">
        <f t="shared" si="1"/>
        <v>43808.950871600653</v>
      </c>
      <c r="K21" s="2">
        <f t="shared" si="2"/>
        <v>423672.30875953764</v>
      </c>
      <c r="L21" s="4">
        <f t="shared" si="3"/>
        <v>43834.38544673397</v>
      </c>
      <c r="M21" s="2">
        <f t="shared" si="8"/>
        <v>480093.15675407468</v>
      </c>
      <c r="N21" s="4">
        <f t="shared" si="9"/>
        <v>-12586.462547803065</v>
      </c>
    </row>
    <row r="22" spans="1:14" x14ac:dyDescent="0.2">
      <c r="F22" s="2"/>
      <c r="H22" s="2"/>
      <c r="I22" s="2"/>
      <c r="J22" s="2">
        <f>SUMSQ(J2:J21)</f>
        <v>36316339105.357841</v>
      </c>
      <c r="K22" s="2"/>
      <c r="L22" s="4">
        <f>SUMSQ(L2:L21)</f>
        <v>36499049377.282021</v>
      </c>
      <c r="M22" s="2"/>
      <c r="N22" s="4"/>
    </row>
    <row r="23" spans="1:14" x14ac:dyDescent="0.2">
      <c r="A23" s="1" t="s">
        <v>23</v>
      </c>
      <c r="B23" s="2" t="s">
        <v>19</v>
      </c>
      <c r="C23" s="2">
        <f>_xlfn.NORM.INV(0.3,$G$23,$G$24)</f>
        <v>3951.1989745839182</v>
      </c>
      <c r="D23" s="2" t="s">
        <v>22</v>
      </c>
      <c r="E23" s="2">
        <f>_xlfn.NORM.INV(0.6,$G$23,$G$24)</f>
        <v>5506.6942062715998</v>
      </c>
      <c r="F23" s="2" t="s">
        <v>51</v>
      </c>
      <c r="G23" s="2">
        <v>5000</v>
      </c>
      <c r="H23" s="2"/>
      <c r="I23" s="2"/>
      <c r="J23" s="2"/>
      <c r="K23" s="2"/>
      <c r="L23" s="2"/>
      <c r="M23" s="2"/>
      <c r="N23" s="4"/>
    </row>
    <row r="24" spans="1:14" x14ac:dyDescent="0.2">
      <c r="A24" s="1"/>
      <c r="B24" s="2" t="s">
        <v>20</v>
      </c>
      <c r="C24" s="2">
        <f>_xlfn.NORM.INV(0.8,$G$23,$G$24)</f>
        <v>6683.2424671458293</v>
      </c>
      <c r="D24" s="2" t="s">
        <v>21</v>
      </c>
      <c r="E24" s="2">
        <f>_xlfn.NORM.INV(0.1,$G$23,$G$24)</f>
        <v>2436.8968689107987</v>
      </c>
      <c r="F24" s="2" t="s">
        <v>52</v>
      </c>
      <c r="G24" s="2">
        <v>2000</v>
      </c>
      <c r="H24" s="2"/>
      <c r="I24" s="2"/>
      <c r="J24" s="2"/>
      <c r="K24" s="2"/>
      <c r="L24" s="2"/>
      <c r="M24" s="2"/>
      <c r="N24" s="4"/>
    </row>
    <row r="25" spans="1:14" x14ac:dyDescent="0.2">
      <c r="A25" s="1"/>
    </row>
    <row r="26" spans="1:14" x14ac:dyDescent="0.2">
      <c r="A26" s="1" t="s">
        <v>24</v>
      </c>
    </row>
    <row r="27" spans="1:14" x14ac:dyDescent="0.2">
      <c r="A27" s="1"/>
      <c r="B27" s="2" t="s">
        <v>9</v>
      </c>
      <c r="C27" s="2" t="s">
        <v>10</v>
      </c>
      <c r="D27" s="2" t="s">
        <v>11</v>
      </c>
      <c r="E27" s="2" t="s">
        <v>12</v>
      </c>
      <c r="F27" s="2" t="s">
        <v>13</v>
      </c>
    </row>
    <row r="28" spans="1:14" x14ac:dyDescent="0.2">
      <c r="A28" s="1"/>
      <c r="B28" s="2">
        <v>5.3228324693283904</v>
      </c>
      <c r="C28" s="2">
        <v>151.31588994580972</v>
      </c>
      <c r="D28" s="2">
        <v>-1736.9432039924573</v>
      </c>
      <c r="E28" s="2">
        <v>7.9286539344379952</v>
      </c>
      <c r="F28" s="2">
        <v>-35.37704664280691</v>
      </c>
    </row>
    <row r="29" spans="1:14" x14ac:dyDescent="0.2">
      <c r="A29" s="1"/>
      <c r="B29" s="5" t="s">
        <v>53</v>
      </c>
      <c r="C29" s="1"/>
      <c r="D29" s="1"/>
      <c r="E29" s="1"/>
    </row>
    <row r="30" spans="1:14" x14ac:dyDescent="0.2">
      <c r="A30" s="1"/>
    </row>
    <row r="31" spans="1:14" x14ac:dyDescent="0.2">
      <c r="A31" s="1" t="s">
        <v>25</v>
      </c>
    </row>
    <row r="32" spans="1:14" x14ac:dyDescent="0.2">
      <c r="A32" s="1"/>
      <c r="B32" s="2" t="s">
        <v>14</v>
      </c>
      <c r="C32" s="2" t="s">
        <v>15</v>
      </c>
    </row>
    <row r="33" spans="1:22" x14ac:dyDescent="0.2">
      <c r="A33" s="1"/>
      <c r="B33" s="2">
        <f>AVERAGE(J2:J21)</f>
        <v>23980.248779720612</v>
      </c>
      <c r="C33" s="2">
        <f>_xlfn.STDEV.S(J2:J21)</f>
        <v>36139.563154243842</v>
      </c>
    </row>
    <row r="34" spans="1:22" x14ac:dyDescent="0.2">
      <c r="A34" s="1"/>
    </row>
    <row r="35" spans="1:22" x14ac:dyDescent="0.2">
      <c r="A35" s="1"/>
    </row>
    <row r="36" spans="1:22" x14ac:dyDescent="0.2">
      <c r="A36" s="1" t="s">
        <v>26</v>
      </c>
      <c r="B36" s="2" t="s">
        <v>10</v>
      </c>
      <c r="C36" s="2" t="s">
        <v>11</v>
      </c>
      <c r="D36" s="2" t="s">
        <v>12</v>
      </c>
      <c r="E36" s="2" t="s">
        <v>13</v>
      </c>
    </row>
    <row r="37" spans="1:22" x14ac:dyDescent="0.2">
      <c r="A37" s="1"/>
      <c r="B37" s="2">
        <v>151.32368132479886</v>
      </c>
      <c r="C37" s="2">
        <v>-1753.9752277338844</v>
      </c>
      <c r="D37" s="2">
        <v>-33.99894989917631</v>
      </c>
      <c r="E37" s="2">
        <v>759.45484780049901</v>
      </c>
    </row>
    <row r="38" spans="1:22" x14ac:dyDescent="0.2">
      <c r="A38" s="1"/>
    </row>
    <row r="39" spans="1:22" x14ac:dyDescent="0.2">
      <c r="A39" s="1"/>
      <c r="B39" s="2" t="s">
        <v>14</v>
      </c>
      <c r="C39" s="2" t="s">
        <v>15</v>
      </c>
    </row>
    <row r="40" spans="1:22" x14ac:dyDescent="0.2">
      <c r="A40" s="1"/>
      <c r="B40" s="4">
        <f>AVERAGE(L2:L21)</f>
        <v>23928.014294521337</v>
      </c>
      <c r="C40" s="2">
        <f>_xlfn.STDEV.S(L2:L21)</f>
        <v>36308.656366525101</v>
      </c>
    </row>
    <row r="41" spans="1:22" x14ac:dyDescent="0.2">
      <c r="A41" s="1"/>
      <c r="B41" s="1" t="s">
        <v>29</v>
      </c>
    </row>
    <row r="42" spans="1:22" x14ac:dyDescent="0.2">
      <c r="A42" s="1" t="s">
        <v>27</v>
      </c>
      <c r="B42" s="2" t="s">
        <v>4</v>
      </c>
      <c r="C42" s="2">
        <v>1500</v>
      </c>
      <c r="D42" s="2">
        <v>2500</v>
      </c>
      <c r="E42" s="2">
        <v>5000</v>
      </c>
      <c r="F42">
        <v>4700</v>
      </c>
      <c r="G42" s="2">
        <v>3500</v>
      </c>
      <c r="H42">
        <v>1000</v>
      </c>
      <c r="I42">
        <v>1500</v>
      </c>
      <c r="J42">
        <v>1600</v>
      </c>
      <c r="K42">
        <v>2000</v>
      </c>
      <c r="L42">
        <v>3000</v>
      </c>
      <c r="M42">
        <v>3600</v>
      </c>
      <c r="N42">
        <v>4100</v>
      </c>
      <c r="O42">
        <v>4300</v>
      </c>
      <c r="P42">
        <v>6000</v>
      </c>
      <c r="Q42">
        <v>8000</v>
      </c>
      <c r="R42">
        <v>6700</v>
      </c>
      <c r="S42">
        <v>1400</v>
      </c>
      <c r="T42">
        <v>1800</v>
      </c>
      <c r="U42">
        <v>2200</v>
      </c>
      <c r="V42">
        <v>2800</v>
      </c>
    </row>
    <row r="43" spans="1:22" x14ac:dyDescent="0.2">
      <c r="B43" s="2" t="s">
        <v>2</v>
      </c>
      <c r="C43" s="2">
        <v>20</v>
      </c>
      <c r="D43" s="2">
        <v>0</v>
      </c>
      <c r="E43" s="2">
        <v>14</v>
      </c>
      <c r="F43">
        <v>12</v>
      </c>
      <c r="G43" s="2">
        <v>5</v>
      </c>
      <c r="H43">
        <v>25</v>
      </c>
      <c r="I43">
        <v>4</v>
      </c>
      <c r="J43">
        <v>3</v>
      </c>
      <c r="K43">
        <v>1</v>
      </c>
      <c r="L43">
        <v>0</v>
      </c>
      <c r="M43">
        <v>10</v>
      </c>
      <c r="N43">
        <v>35</v>
      </c>
      <c r="O43">
        <v>22</v>
      </c>
      <c r="P43">
        <v>12</v>
      </c>
      <c r="Q43">
        <v>28</v>
      </c>
      <c r="R43">
        <v>6</v>
      </c>
      <c r="S43">
        <v>4</v>
      </c>
      <c r="T43">
        <v>9</v>
      </c>
      <c r="U43">
        <v>11</v>
      </c>
      <c r="V43">
        <v>0</v>
      </c>
    </row>
    <row r="44" spans="1:22" x14ac:dyDescent="0.2">
      <c r="B44" s="2" t="s">
        <v>7</v>
      </c>
      <c r="C44" s="2">
        <v>0</v>
      </c>
      <c r="D44" s="2">
        <v>0</v>
      </c>
      <c r="E44" s="2">
        <v>0</v>
      </c>
      <c r="F44">
        <v>0</v>
      </c>
      <c r="G44" s="2">
        <v>0</v>
      </c>
      <c r="H44">
        <v>1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1</v>
      </c>
      <c r="T44">
        <v>1</v>
      </c>
      <c r="U44">
        <v>1</v>
      </c>
      <c r="V44">
        <v>1</v>
      </c>
    </row>
    <row r="45" spans="1:22" x14ac:dyDescent="0.2">
      <c r="B45" s="2" t="s">
        <v>8</v>
      </c>
      <c r="C45" s="2">
        <v>1</v>
      </c>
      <c r="D45" s="2">
        <v>1</v>
      </c>
      <c r="E45" s="2">
        <v>0</v>
      </c>
      <c r="F45">
        <v>0</v>
      </c>
      <c r="G45" s="2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7" spans="1:22" x14ac:dyDescent="0.2">
      <c r="B47" s="1" t="s">
        <v>28</v>
      </c>
    </row>
    <row r="48" spans="1:22" x14ac:dyDescent="0.2">
      <c r="B48" s="2" t="s">
        <v>4</v>
      </c>
      <c r="C48" s="2" t="s">
        <v>2</v>
      </c>
      <c r="D48" s="2" t="s">
        <v>7</v>
      </c>
      <c r="E48" s="2" t="s">
        <v>8</v>
      </c>
    </row>
    <row r="49" spans="2:5" x14ac:dyDescent="0.2">
      <c r="B49" s="2">
        <v>1500</v>
      </c>
      <c r="C49" s="2">
        <v>20</v>
      </c>
      <c r="D49" s="2">
        <v>0</v>
      </c>
      <c r="E49" s="2">
        <v>1</v>
      </c>
    </row>
    <row r="50" spans="2:5" x14ac:dyDescent="0.2">
      <c r="B50" s="2">
        <v>2500</v>
      </c>
      <c r="C50" s="2">
        <v>0</v>
      </c>
      <c r="D50" s="2">
        <v>0</v>
      </c>
      <c r="E50" s="2">
        <v>1</v>
      </c>
    </row>
    <row r="51" spans="2:5" x14ac:dyDescent="0.2">
      <c r="B51" s="2">
        <v>5000</v>
      </c>
      <c r="C51" s="2">
        <v>14</v>
      </c>
      <c r="D51" s="2">
        <v>0</v>
      </c>
      <c r="E51" s="2">
        <v>0</v>
      </c>
    </row>
    <row r="52" spans="2:5" x14ac:dyDescent="0.2">
      <c r="B52" s="2">
        <v>4700</v>
      </c>
      <c r="C52" s="2">
        <v>12</v>
      </c>
      <c r="D52" s="2">
        <v>0</v>
      </c>
      <c r="E52" s="2">
        <v>0</v>
      </c>
    </row>
    <row r="53" spans="2:5" x14ac:dyDescent="0.2">
      <c r="B53" s="2">
        <v>3500</v>
      </c>
      <c r="C53" s="2">
        <v>5</v>
      </c>
      <c r="D53" s="2">
        <v>0</v>
      </c>
      <c r="E53" s="2">
        <v>0</v>
      </c>
    </row>
    <row r="54" spans="2:5" x14ac:dyDescent="0.2">
      <c r="B54" s="2">
        <v>1000</v>
      </c>
      <c r="C54" s="2">
        <v>25</v>
      </c>
      <c r="D54" s="2">
        <v>1</v>
      </c>
      <c r="E54" s="2">
        <v>0</v>
      </c>
    </row>
    <row r="55" spans="2:5" x14ac:dyDescent="0.2">
      <c r="B55" s="2">
        <v>1500</v>
      </c>
      <c r="C55" s="2">
        <v>4</v>
      </c>
      <c r="D55" s="2">
        <v>0</v>
      </c>
      <c r="E55" s="2">
        <v>1</v>
      </c>
    </row>
    <row r="56" spans="2:5" x14ac:dyDescent="0.2">
      <c r="B56" s="2">
        <v>1600</v>
      </c>
      <c r="C56" s="2">
        <v>3</v>
      </c>
      <c r="D56" s="2">
        <v>0</v>
      </c>
      <c r="E56" s="2">
        <v>0</v>
      </c>
    </row>
    <row r="57" spans="2:5" x14ac:dyDescent="0.2">
      <c r="B57" s="2">
        <v>2000</v>
      </c>
      <c r="C57" s="2">
        <v>1</v>
      </c>
      <c r="D57" s="2">
        <v>1</v>
      </c>
      <c r="E57" s="2">
        <v>0</v>
      </c>
    </row>
    <row r="58" spans="2:5" x14ac:dyDescent="0.2">
      <c r="B58" s="2">
        <v>3000</v>
      </c>
      <c r="C58" s="2">
        <v>0</v>
      </c>
      <c r="D58" s="2">
        <v>1</v>
      </c>
      <c r="E58" s="2">
        <v>0</v>
      </c>
    </row>
    <row r="59" spans="2:5" x14ac:dyDescent="0.2">
      <c r="B59" s="2">
        <v>3600</v>
      </c>
      <c r="C59" s="2">
        <v>10</v>
      </c>
      <c r="D59" s="2">
        <v>0</v>
      </c>
      <c r="E59" s="2">
        <v>1</v>
      </c>
    </row>
    <row r="60" spans="2:5" x14ac:dyDescent="0.2">
      <c r="B60" s="2">
        <v>4100</v>
      </c>
      <c r="C60" s="2">
        <v>35</v>
      </c>
      <c r="D60" s="2">
        <v>0</v>
      </c>
      <c r="E60" s="2">
        <v>1</v>
      </c>
    </row>
    <row r="61" spans="2:5" x14ac:dyDescent="0.2">
      <c r="B61" s="2">
        <v>4300</v>
      </c>
      <c r="C61" s="2">
        <v>22</v>
      </c>
      <c r="D61" s="2">
        <v>0</v>
      </c>
      <c r="E61" s="2">
        <v>1</v>
      </c>
    </row>
    <row r="62" spans="2:5" x14ac:dyDescent="0.2">
      <c r="B62" s="2">
        <v>6000</v>
      </c>
      <c r="C62" s="2">
        <v>12</v>
      </c>
      <c r="D62" s="2">
        <v>1</v>
      </c>
      <c r="E62" s="2">
        <v>0</v>
      </c>
    </row>
    <row r="63" spans="2:5" x14ac:dyDescent="0.2">
      <c r="B63" s="2">
        <v>8000</v>
      </c>
      <c r="C63" s="2">
        <v>28</v>
      </c>
      <c r="D63" s="2">
        <v>0</v>
      </c>
      <c r="E63" s="2">
        <v>0</v>
      </c>
    </row>
    <row r="64" spans="2:5" x14ac:dyDescent="0.2">
      <c r="B64" s="2">
        <v>6700</v>
      </c>
      <c r="C64" s="2">
        <v>6</v>
      </c>
      <c r="D64" s="2">
        <v>1</v>
      </c>
      <c r="E64" s="2">
        <v>0</v>
      </c>
    </row>
    <row r="65" spans="2:5" x14ac:dyDescent="0.2">
      <c r="B65" s="2">
        <v>1400</v>
      </c>
      <c r="C65" s="2">
        <v>4</v>
      </c>
      <c r="D65" s="2">
        <v>1</v>
      </c>
      <c r="E65" s="2">
        <v>0</v>
      </c>
    </row>
    <row r="66" spans="2:5" x14ac:dyDescent="0.2">
      <c r="B66" s="2">
        <v>1800</v>
      </c>
      <c r="C66" s="2">
        <v>9</v>
      </c>
      <c r="D66" s="2">
        <v>1</v>
      </c>
      <c r="E66" s="2">
        <v>0</v>
      </c>
    </row>
    <row r="67" spans="2:5" x14ac:dyDescent="0.2">
      <c r="B67" s="2">
        <v>2200</v>
      </c>
      <c r="C67" s="2">
        <v>11</v>
      </c>
      <c r="D67" s="2">
        <v>1</v>
      </c>
      <c r="E67" s="2">
        <v>0</v>
      </c>
    </row>
    <row r="68" spans="2:5" x14ac:dyDescent="0.2">
      <c r="B68" s="2">
        <v>2800</v>
      </c>
      <c r="C68" s="2">
        <v>0</v>
      </c>
      <c r="D68" s="2">
        <v>1</v>
      </c>
      <c r="E68" s="2">
        <v>0</v>
      </c>
    </row>
    <row r="69" spans="2:5" x14ac:dyDescent="0.2">
      <c r="B69" s="1" t="s">
        <v>30</v>
      </c>
    </row>
    <row r="70" spans="2:5" x14ac:dyDescent="0.2">
      <c r="B70" s="2">
        <f t="array" ref="B70:E73">MMULT(C42:V45,B49:E68)</f>
        <v>297680000</v>
      </c>
      <c r="C70" s="2">
        <v>868000</v>
      </c>
      <c r="D70" s="2">
        <v>26900</v>
      </c>
      <c r="E70" s="2">
        <v>17500</v>
      </c>
    </row>
    <row r="71" spans="2:5" x14ac:dyDescent="0.2">
      <c r="B71" s="2">
        <v>868000</v>
      </c>
      <c r="C71" s="2">
        <v>4407</v>
      </c>
      <c r="D71" s="2">
        <v>68</v>
      </c>
      <c r="E71" s="2">
        <v>91</v>
      </c>
    </row>
    <row r="72" spans="2:5" x14ac:dyDescent="0.2">
      <c r="B72" s="2">
        <v>26900</v>
      </c>
      <c r="C72" s="2">
        <v>68</v>
      </c>
      <c r="D72" s="2">
        <v>9</v>
      </c>
      <c r="E72" s="2">
        <v>0</v>
      </c>
    </row>
    <row r="73" spans="2:5" x14ac:dyDescent="0.2">
      <c r="B73" s="2">
        <v>17500</v>
      </c>
      <c r="C73" s="2">
        <v>91</v>
      </c>
      <c r="D73" s="2">
        <v>0</v>
      </c>
      <c r="E73" s="2">
        <v>6</v>
      </c>
    </row>
    <row r="75" spans="2:5" x14ac:dyDescent="0.2">
      <c r="B75" s="1" t="s">
        <v>31</v>
      </c>
    </row>
    <row r="76" spans="2:5" x14ac:dyDescent="0.2">
      <c r="B76" s="4">
        <f t="array" ref="B76:E79">MINVERSE(B70:E73)</f>
        <v>9.7295202406800454E-9</v>
      </c>
      <c r="C76" s="4">
        <v>-1.5460763665752683E-6</v>
      </c>
      <c r="D76" s="4">
        <v>-1.7398989060797223E-5</v>
      </c>
      <c r="E76" s="4">
        <v>-4.9289424755919036E-6</v>
      </c>
    </row>
    <row r="77" spans="2:5" x14ac:dyDescent="0.2">
      <c r="B77" s="4">
        <v>-1.5460763665752679E-6</v>
      </c>
      <c r="C77" s="4">
        <v>6.4360233294085746E-4</v>
      </c>
      <c r="D77" s="4">
        <v>-2.4172270878928883E-4</v>
      </c>
      <c r="E77" s="4">
        <v>-5.2519126470918064E-3</v>
      </c>
    </row>
    <row r="78" spans="2:5" x14ac:dyDescent="0.2">
      <c r="B78" s="4">
        <v>-1.7398989060797223E-5</v>
      </c>
      <c r="C78" s="4">
        <v>-2.4172270878928867E-4</v>
      </c>
      <c r="D78" s="4">
        <v>0.16494110554812411</v>
      </c>
      <c r="E78" s="4">
        <v>5.4413179177296128E-2</v>
      </c>
    </row>
    <row r="79" spans="2:5" x14ac:dyDescent="0.2">
      <c r="B79" s="4">
        <v>-4.928942475591907E-6</v>
      </c>
      <c r="C79" s="4">
        <v>-5.2519126470918047E-3</v>
      </c>
      <c r="D79" s="4">
        <v>5.4413179177296121E-2</v>
      </c>
      <c r="E79" s="4">
        <v>0.26069675736803544</v>
      </c>
    </row>
    <row r="81" spans="1:21" x14ac:dyDescent="0.2">
      <c r="B81" s="1" t="s">
        <v>32</v>
      </c>
    </row>
    <row r="82" spans="1:21" x14ac:dyDescent="0.2">
      <c r="B82" s="4">
        <f t="array" ref="B82:U85">MMULT(B76:E79,C42:V45)</f>
        <v>-2.1256189446077201E-5</v>
      </c>
      <c r="C82" s="4">
        <v>1.9394858126108208E-5</v>
      </c>
      <c r="D82" s="4">
        <v>2.7002532071346468E-5</v>
      </c>
      <c r="E82" s="4">
        <v>2.7175828732292992E-5</v>
      </c>
      <c r="F82" s="3">
        <v>2.6322939009503816E-5</v>
      </c>
      <c r="G82" s="4">
        <v>-4.6321377984498884E-5</v>
      </c>
      <c r="H82" s="3">
        <v>3.4810324191270907E-6</v>
      </c>
      <c r="I82" s="3">
        <v>1.0929003285362267E-5</v>
      </c>
      <c r="J82" s="3">
        <v>5.139750539875969E-7</v>
      </c>
      <c r="K82" s="3">
        <v>1.1789571661242911E-5</v>
      </c>
      <c r="L82" s="3">
        <v>1.4636566725103579E-5</v>
      </c>
      <c r="M82" s="3">
        <v>-1.9150582318938103E-5</v>
      </c>
      <c r="N82" s="3">
        <v>2.8943144946763853E-6</v>
      </c>
      <c r="O82" s="3">
        <v>2.2425215984379825E-5</v>
      </c>
      <c r="P82" s="3">
        <v>3.4546023661332846E-5</v>
      </c>
      <c r="Q82" s="3">
        <v>3.8512338352307469E-5</v>
      </c>
      <c r="R82" s="3">
        <v>-9.9619661901462327E-6</v>
      </c>
      <c r="S82" s="3">
        <v>-1.3800539926750555E-5</v>
      </c>
      <c r="T82" s="3">
        <v>-1.3000884563629075E-5</v>
      </c>
      <c r="U82" s="3">
        <v>9.8436676131069045E-6</v>
      </c>
    </row>
    <row r="83" spans="1:21" x14ac:dyDescent="0.2">
      <c r="B83" s="4">
        <v>5.3010194618624395E-3</v>
      </c>
      <c r="C83" s="4">
        <v>-9.1171035635299758E-3</v>
      </c>
      <c r="D83" s="4">
        <v>1.2800508282956652E-3</v>
      </c>
      <c r="E83" s="4">
        <v>4.5666907238653062E-4</v>
      </c>
      <c r="F83" s="3">
        <v>-2.1932556183091503E-3</v>
      </c>
      <c r="G83" s="4">
        <v>1.430225924815688E-2</v>
      </c>
      <c r="H83" s="3">
        <v>-4.9966178651912781E-3</v>
      </c>
      <c r="I83" s="3">
        <v>-5.4291518769785632E-4</v>
      </c>
      <c r="J83" s="3">
        <v>-2.6902731089989674E-3</v>
      </c>
      <c r="K83" s="3">
        <v>-4.879951808515093E-3</v>
      </c>
      <c r="L83" s="3">
        <v>-4.3817642373541969E-3</v>
      </c>
      <c r="M83" s="3">
        <v>1.0935255902879608E-2</v>
      </c>
      <c r="N83" s="3">
        <v>2.2592103013334064E-3</v>
      </c>
      <c r="O83" s="3">
        <v>-1.7949529129506069E-3</v>
      </c>
      <c r="P83" s="3">
        <v>5.6522543897418662E-3</v>
      </c>
      <c r="Q83" s="3">
        <v>-6.7388203671984379E-3</v>
      </c>
      <c r="R83" s="3">
        <v>1.6817970976876589E-4</v>
      </c>
      <c r="S83" s="3">
        <v>2.7677608278429459E-3</v>
      </c>
      <c r="T83" s="3">
        <v>3.436534947094554E-3</v>
      </c>
      <c r="U83" s="3">
        <v>-4.5707365352000394E-3</v>
      </c>
    </row>
    <row r="84" spans="1:21" x14ac:dyDescent="0.2">
      <c r="B84" s="4">
        <v>2.3480241410314521E-2</v>
      </c>
      <c r="C84" s="4">
        <v>1.0915706525303069E-2</v>
      </c>
      <c r="D84" s="4">
        <v>-9.0379063227036163E-2</v>
      </c>
      <c r="E84" s="4">
        <v>-8.4675921091218409E-2</v>
      </c>
      <c r="F84" s="3">
        <v>-6.2105075256736725E-2</v>
      </c>
      <c r="G84" s="4">
        <v>0.14149904876759467</v>
      </c>
      <c r="H84" s="3">
        <v>2.7347804750943141E-2</v>
      </c>
      <c r="I84" s="3">
        <v>-2.8563550623643422E-2</v>
      </c>
      <c r="J84" s="3">
        <v>0.12990140471774037</v>
      </c>
      <c r="K84" s="3">
        <v>0.11274413836573244</v>
      </c>
      <c r="L84" s="3">
        <v>-1.0640408529466752E-2</v>
      </c>
      <c r="M84" s="3">
        <v>-2.5382970779597586E-2</v>
      </c>
      <c r="N84" s="3">
        <v>-2.5720373377496275E-2</v>
      </c>
      <c r="O84" s="3">
        <v>5.7646498677869307E-2</v>
      </c>
      <c r="P84" s="3">
        <v>-0.14596014833247789</v>
      </c>
      <c r="Q84" s="3">
        <v>4.6917542588046979E-2</v>
      </c>
      <c r="R84" s="3">
        <v>0.13961563002785085</v>
      </c>
      <c r="S84" s="3">
        <v>0.1314474208595855</v>
      </c>
      <c r="T84" s="3">
        <v>0.12400437981768804</v>
      </c>
      <c r="U84" s="3">
        <v>0.11622393617789188</v>
      </c>
    </row>
    <row r="85" spans="1:21" x14ac:dyDescent="0.2">
      <c r="B85" s="4">
        <v>0.14826509071281146</v>
      </c>
      <c r="C85" s="4">
        <v>0.24837440117905568</v>
      </c>
      <c r="D85" s="4">
        <v>-9.8171489437244797E-2</v>
      </c>
      <c r="E85" s="4">
        <v>-8.6188981400383613E-2</v>
      </c>
      <c r="F85" s="3">
        <v>-4.3510861900030701E-2</v>
      </c>
      <c r="G85" s="4">
        <v>-8.1813579475590897E-2</v>
      </c>
      <c r="H85" s="3">
        <v>0.23229569306628037</v>
      </c>
      <c r="I85" s="3">
        <v>-2.3642045902222464E-2</v>
      </c>
      <c r="J85" s="3">
        <v>3.9303381579020504E-2</v>
      </c>
      <c r="K85" s="3">
        <v>3.96263517505204E-2</v>
      </c>
      <c r="L85" s="3">
        <v>0.19043343798498652</v>
      </c>
      <c r="M85" s="3">
        <v>5.6671150569895468E-2</v>
      </c>
      <c r="N85" s="3">
        <v>0.12396022648697053</v>
      </c>
      <c r="O85" s="3">
        <v>-3.8183427441356978E-2</v>
      </c>
      <c r="P85" s="3">
        <v>-0.18648509392330578</v>
      </c>
      <c r="Q85" s="3">
        <v>-1.012221129172048E-2</v>
      </c>
      <c r="R85" s="3">
        <v>2.6505009123100234E-2</v>
      </c>
      <c r="S85" s="3">
        <v>-1.7261311025955559E-3</v>
      </c>
      <c r="T85" s="3">
        <v>-1.4201533387015915E-2</v>
      </c>
      <c r="U85" s="3">
        <v>4.0612140245638778E-2</v>
      </c>
    </row>
    <row r="88" spans="1:21" x14ac:dyDescent="0.2">
      <c r="A88" s="1"/>
      <c r="B88" s="1" t="s">
        <v>33</v>
      </c>
      <c r="C88" s="1"/>
    </row>
    <row r="89" spans="1:21" x14ac:dyDescent="0.2">
      <c r="A89" s="1"/>
      <c r="B89" s="1">
        <f t="array" ref="B89:B92">MMULT(B82:U85,H2:H21)</f>
        <v>157.1539000946959</v>
      </c>
      <c r="C89" s="1"/>
    </row>
    <row r="90" spans="1:21" x14ac:dyDescent="0.2">
      <c r="A90" s="1"/>
      <c r="B90" s="1">
        <v>-2734.4087219295857</v>
      </c>
      <c r="C90" s="1"/>
    </row>
    <row r="91" spans="1:21" x14ac:dyDescent="0.2">
      <c r="A91" s="1"/>
      <c r="B91" s="1">
        <v>40062.236488926152</v>
      </c>
      <c r="C91" s="1"/>
    </row>
    <row r="92" spans="1:21" x14ac:dyDescent="0.2">
      <c r="A92" s="1"/>
      <c r="B92" s="1">
        <v>-10470.315453992785</v>
      </c>
      <c r="C92" s="1"/>
    </row>
    <row r="94" spans="1:21" x14ac:dyDescent="0.2">
      <c r="A94" s="1" t="s">
        <v>37</v>
      </c>
      <c r="B94" s="2">
        <f>_xlfn.VAR.S(N2:N21)</f>
        <v>520724075.45696658</v>
      </c>
    </row>
    <row r="96" spans="1:21" x14ac:dyDescent="0.2">
      <c r="A96" s="1" t="s">
        <v>34</v>
      </c>
      <c r="B96" s="5" t="s">
        <v>38</v>
      </c>
    </row>
    <row r="98" spans="1:5" x14ac:dyDescent="0.2">
      <c r="B98" s="2">
        <f t="array" ref="B98:E101">B94*B76:E79</f>
        <v>5.0663954319679592</v>
      </c>
      <c r="C98" s="2">
        <v>-805.07918657077278</v>
      </c>
      <c r="D98" s="2">
        <v>-9060.0724925695104</v>
      </c>
      <c r="E98" s="2">
        <v>-2566.6190135831662</v>
      </c>
    </row>
    <row r="99" spans="1:5" x14ac:dyDescent="0.2">
      <c r="B99" s="2">
        <v>-805.07918657077255</v>
      </c>
      <c r="C99" s="2">
        <v>335139.22978257481</v>
      </c>
      <c r="D99" s="2">
        <v>-125870.834051256</v>
      </c>
      <c r="E99" s="2">
        <v>-2734797.3575376309</v>
      </c>
    </row>
    <row r="100" spans="1:5" x14ac:dyDescent="0.2">
      <c r="B100" s="2">
        <v>-9060.0724925695104</v>
      </c>
      <c r="C100" s="2">
        <v>-125870.83405125591</v>
      </c>
      <c r="D100" s="2">
        <v>85888804.691396862</v>
      </c>
      <c r="E100" s="2">
        <v>28334252.419771791</v>
      </c>
    </row>
    <row r="101" spans="1:5" x14ac:dyDescent="0.2">
      <c r="B101" s="2">
        <v>-2566.619013583168</v>
      </c>
      <c r="C101" s="2">
        <v>-2734797.35753763</v>
      </c>
      <c r="D101" s="2">
        <v>28334252.419771787</v>
      </c>
      <c r="E101" s="2">
        <v>135751077.9550994</v>
      </c>
    </row>
    <row r="103" spans="1:5" x14ac:dyDescent="0.2">
      <c r="A103" s="1" t="s">
        <v>39</v>
      </c>
      <c r="B103" s="5" t="s">
        <v>40</v>
      </c>
      <c r="C103" s="1"/>
    </row>
    <row r="105" spans="1:5" x14ac:dyDescent="0.2">
      <c r="B105" s="2">
        <f>B89/SQRT(B98)</f>
        <v>69.819321117021417</v>
      </c>
    </row>
    <row r="106" spans="1:5" x14ac:dyDescent="0.2">
      <c r="B106" s="2">
        <f>B90/SQRT(C99)</f>
        <v>-4.7233572766736822</v>
      </c>
    </row>
    <row r="107" spans="1:5" x14ac:dyDescent="0.2">
      <c r="B107" s="2">
        <f>B91/SQRT(D100)</f>
        <v>4.3228175991968305</v>
      </c>
    </row>
    <row r="108" spans="1:5" x14ac:dyDescent="0.2">
      <c r="B108" s="2">
        <f>B92/SQRT(E101)</f>
        <v>-0.89864491884407494</v>
      </c>
    </row>
    <row r="110" spans="1:5" x14ac:dyDescent="0.2">
      <c r="A110" s="1" t="s">
        <v>41</v>
      </c>
    </row>
    <row r="112" spans="1:5" x14ac:dyDescent="0.2">
      <c r="B112" s="2">
        <v>69.819321117021417</v>
      </c>
      <c r="C112" s="2" t="s">
        <v>42</v>
      </c>
      <c r="D112" s="2" t="s">
        <v>45</v>
      </c>
      <c r="E112" s="2" t="s">
        <v>48</v>
      </c>
    </row>
    <row r="113" spans="2:5" x14ac:dyDescent="0.2">
      <c r="B113" s="2">
        <v>-4.7233572766736822</v>
      </c>
      <c r="C113" s="2" t="s">
        <v>46</v>
      </c>
      <c r="D113" s="2" t="s">
        <v>45</v>
      </c>
      <c r="E113" s="2" t="s">
        <v>48</v>
      </c>
    </row>
    <row r="114" spans="2:5" x14ac:dyDescent="0.2">
      <c r="B114" s="2">
        <v>4.3228175991968305</v>
      </c>
      <c r="C114" s="2" t="s">
        <v>42</v>
      </c>
      <c r="D114" s="2" t="s">
        <v>43</v>
      </c>
      <c r="E114" s="2" t="s">
        <v>49</v>
      </c>
    </row>
    <row r="115" spans="2:5" x14ac:dyDescent="0.2">
      <c r="B115" s="2">
        <v>-0.89864491884407494</v>
      </c>
      <c r="C115" s="2" t="s">
        <v>47</v>
      </c>
      <c r="D115" s="2" t="s">
        <v>44</v>
      </c>
      <c r="E115" s="2" t="s">
        <v>50</v>
      </c>
    </row>
    <row r="117" spans="2:5" x14ac:dyDescent="0.2">
      <c r="B117" s="1" t="s">
        <v>3</v>
      </c>
      <c r="C117" s="1">
        <f>(B89*3500)+(B90*10)+(B91*0)+(B92*0)</f>
        <v>522694.56311213976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Microsoft Office User</cp:lastModifiedBy>
  <dcterms:created xsi:type="dcterms:W3CDTF">2020-09-03T00:56:35Z</dcterms:created>
  <dcterms:modified xsi:type="dcterms:W3CDTF">2020-09-14T16:33:33Z</dcterms:modified>
</cp:coreProperties>
</file>