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업무망\Desktop\시료채취기록부,시험성적서\양식\"/>
    </mc:Choice>
  </mc:AlternateContent>
  <xr:revisionPtr revIDLastSave="0" documentId="13_ncr:1_{4BBF0FB0-0724-4BF7-B678-8BCDA9AD9DCC}" xr6:coauthVersionLast="36" xr6:coauthVersionMax="36" xr10:uidLastSave="{00000000-0000-0000-0000-000000000000}"/>
  <bookViews>
    <workbookView xWindow="0" yWindow="0" windowWidth="16170" windowHeight="12030" tabRatio="747" xr2:uid="{00000000-000D-0000-FFFF-FFFF00000000}"/>
  </bookViews>
  <sheets>
    <sheet name="표지" sheetId="15" r:id="rId1"/>
    <sheet name="누출시험" sheetId="16" r:id="rId2"/>
    <sheet name="시료측정위치" sheetId="7" r:id="rId3"/>
    <sheet name="수분량" sheetId="2" r:id="rId4"/>
    <sheet name="연소가스자료" sheetId="17" r:id="rId5"/>
    <sheet name="노즐산정" sheetId="1" r:id="rId6"/>
    <sheet name="기록지(수분량자동측정기)" sheetId="12" r:id="rId7"/>
    <sheet name="계산식" sheetId="14" r:id="rId8"/>
    <sheet name="먼지측정결과보고서" sheetId="11" r:id="rId9"/>
    <sheet name="피토" sheetId="19" state="hidden" r:id="rId10"/>
    <sheet name="피토계산" sheetId="20" state="hidden" r:id="rId11"/>
    <sheet name="지점 사진" sheetId="18" state="hidden" r:id="rId12"/>
  </sheets>
  <functionGroups builtInGroupCount="19"/>
  <externalReferences>
    <externalReference r:id="rId13"/>
  </externalReferences>
  <definedNames>
    <definedName name="_xlnm._FilterDatabase" localSheetId="9" hidden="1">피토!$A$1:$T$16</definedName>
    <definedName name="△H">'기록지(수분량자동측정기)'!#REF!</definedName>
    <definedName name="△Hm">'기록지(수분량자동측정기)'!$C$10</definedName>
    <definedName name="△P">'기록지(수분량자동측정기)'!#REF!</definedName>
    <definedName name="A">'기록지(수분량자동측정기)'!$G$12</definedName>
    <definedName name="Analytical_Units_degF_degC" localSheetId="4">[1]측정총괄!#REF!,[1]측정총괄!$I$6,[1]측정총괄!$I$41</definedName>
    <definedName name="Analytical_Units_degF_degC">[1]측정총괄!#REF!,[1]측정총괄!$I$6,[1]측정총괄!$I$41</definedName>
    <definedName name="Base_Run_Number">#REF!</definedName>
    <definedName name="Bwm">[1]측정총괄!#REF!</definedName>
    <definedName name="Ca">계산식!$P$105</definedName>
    <definedName name="Circ_Stack?">#REF!</definedName>
    <definedName name="Circ_Units_in_m" localSheetId="4">[1]측정총괄!$F$8:$F$8,[1]측정총괄!$F$14,[1]측정총괄!#REF!,[1]측정총괄!$H$39,[1]측정총괄!$I$39</definedName>
    <definedName name="Circ_Units_in_m">[1]측정총괄!$F$8:$F$8,[1]측정총괄!$F$14,[1]측정총괄!#REF!,[1]측정총괄!$H$39,[1]측정총괄!$I$39</definedName>
    <definedName name="Ck" localSheetId="4">[1]측정총괄!#REF!</definedName>
    <definedName name="Ck">[1]측정총괄!#REF!</definedName>
    <definedName name="COO">'기록지(수분량자동측정기)'!$F$13</definedName>
    <definedName name="Cp" localSheetId="4">[1]측정총괄!$F$23</definedName>
    <definedName name="Cp">'기록지(수분량자동측정기)'!$J$5</definedName>
    <definedName name="D">시료측정위치!$A$37</definedName>
    <definedName name="Date">#REF!</definedName>
    <definedName name="DC">계산식!$M$115</definedName>
    <definedName name="Dh">#REF!</definedName>
    <definedName name="Dn">'기록지(수분량자동측정기)'!$J$11</definedName>
    <definedName name="Dw">#REF!</definedName>
    <definedName name="English_Units" localSheetId="4">연소가스자료!English_Units</definedName>
    <definedName name="English_Units">연소가스자료!English_Units</definedName>
    <definedName name="HTML_CodePage" hidden="1">949</definedName>
    <definedName name="HTML_Control" hidden="1">{"'Sheet1'!$A$5:$C$26"}</definedName>
    <definedName name="HTML_Description" hidden="1">""</definedName>
    <definedName name="HTML_Email" hidden="1">""</definedName>
    <definedName name="HTML_Header" hidden="1">"배출가스"</definedName>
    <definedName name="HTML_LastUpdate" hidden="1">"2000-05-02"</definedName>
    <definedName name="HTML_LineAfter" hidden="1">FALSE</definedName>
    <definedName name="HTML_LineBefore" hidden="1">FALSE</definedName>
    <definedName name="HTML_Name" hidden="1">"중앙검사소"</definedName>
    <definedName name="HTML_OBDlg2" hidden="1">TRUE</definedName>
    <definedName name="HTML_OBDlg4" hidden="1">TRUE</definedName>
    <definedName name="HTML_OS" hidden="1">0</definedName>
    <definedName name="HTML_PathFile" hidden="1">"C:\일\#80울산소각장\MyHTML2.htm"</definedName>
    <definedName name="HTML_Title" hidden="1">"분석결과"</definedName>
    <definedName name="I">'기록지(수분량자동측정기)'!$C$13</definedName>
    <definedName name="Impinger_Case_ID">#REF!</definedName>
    <definedName name="isoCALC_Help" localSheetId="4">연소가스자료!isoCALC_Help</definedName>
    <definedName name="isoCALC_Help">연소가스자료!isoCALC_Help</definedName>
    <definedName name="Kp" localSheetId="4">[1]측정총괄!#REF!</definedName>
    <definedName name="Kp">[1]측정총괄!#REF!</definedName>
    <definedName name="Liner_Material">#REF!</definedName>
    <definedName name="m">계산식!$S$94</definedName>
    <definedName name="M2_Units_ftsec_msec" localSheetId="4">[1]측정총괄!#REF!,[1]측정총괄!$F$26</definedName>
    <definedName name="M2_Units_ftsec_msec">[1]측정총괄!#REF!,[1]측정총괄!$F$26</definedName>
    <definedName name="M2_Units_inH2O_mmH2O" localSheetId="4">[1]측정총괄!$F$14,[1]측정총괄!#REF!</definedName>
    <definedName name="M2_Units_inH2O_mmH2O">[1]측정총괄!$F$14,[1]측정총괄!#REF!</definedName>
    <definedName name="M2_Units_inHg_mmHg" localSheetId="4">[1]측정총괄!#REF!,[1]측정총괄!#REF!</definedName>
    <definedName name="M2_Units_inHg_mmHg">[1]측정총괄!#REF!,[1]측정총괄!#REF!</definedName>
    <definedName name="M3_Units_lblbmole_ggmole" localSheetId="4">[1]측정총괄!$I$21:$L$21,[1]측정총괄!$I$3:$J$3,[1]측정총괄!#REF!</definedName>
    <definedName name="M3_Units_lblbmole_ggmole">[1]측정총괄!$I$21:$L$21,[1]측정총괄!$I$3:$J$3,[1]측정총괄!#REF!</definedName>
    <definedName name="M4_Units_dcf_dcm" localSheetId="4">[1]측정총괄!#REF!,[1]측정총괄!$E$24,[1]측정총괄!$F$9</definedName>
    <definedName name="M4_Units_dcf_dcm">[1]측정총괄!#REF!,[1]측정총괄!$E$24,[1]측정총괄!$F$9</definedName>
    <definedName name="M4_Units_degF_degC" localSheetId="4">[1]측정총괄!$F$10:$F$11,[1]측정총괄!$E$25:$E$26,[1]측정총괄!#REF!</definedName>
    <definedName name="M4_Units_degF_degC">[1]측정총괄!$F$10:$F$11,[1]측정총괄!$E$25:$E$26,[1]측정총괄!#REF!</definedName>
    <definedName name="M4_Units_dscf_dscm" localSheetId="4">[1]측정총괄!$E$19,[1]측정총괄!$E$35,[1]측정총괄!$E$47</definedName>
    <definedName name="M4_Units_dscf_dscm">[1]측정총괄!$E$19,[1]측정총괄!$E$35,[1]측정총괄!$E$47</definedName>
    <definedName name="M4_Units_inH2O_mmH2O" localSheetId="4">[1]측정총괄!#REF!,[1]측정총괄!$J$3:$J$5,[1]측정총괄!#REF!</definedName>
    <definedName name="M4_Units_inH2O_mmH2O">[1]측정총괄!#REF!,[1]측정총괄!$J$3:$J$5,[1]측정총괄!#REF!</definedName>
    <definedName name="M4_Units_inHg_mmHg" localSheetId="4">[1]측정총괄!#REF!,[1]측정총괄!#REF!,[1]측정총괄!$J$39</definedName>
    <definedName name="M4_Units_inHg_mmHg">[1]측정총괄!#REF!,[1]측정총괄!#REF!,[1]측정총괄!$J$39</definedName>
    <definedName name="M4_Units_scf_scm" localSheetId="4">[1]측정총괄!$J$47,[1]측정총괄!$J$48,[1]측정총괄!#REF!,[1]측정총괄!#REF!,[1]측정총괄!#REF!,[1]측정총괄!$J$17</definedName>
    <definedName name="M4_Units_scf_scm">[1]측정총괄!$J$47,[1]측정총괄!$J$48,[1]측정총괄!#REF!,[1]측정총괄!#REF!,[1]측정총괄!#REF!,[1]측정총괄!$J$17</definedName>
    <definedName name="M5R1_Bws">#REF!</definedName>
    <definedName name="M5R1_Cp">#REF!</definedName>
    <definedName name="M5R1_DHat">#REF!</definedName>
    <definedName name="M5R1_Dna">#REF!</definedName>
    <definedName name="M5R1_DPavgest">#REF!</definedName>
    <definedName name="M5R1_K">#REF!</definedName>
    <definedName name="M5R1_Max_Vacuum">[1]측정자료!$M$79</definedName>
    <definedName name="M5R1_Mds">#REF!</definedName>
    <definedName name="M5R1_Pb">#REF!</definedName>
    <definedName name="M5R1_Pm">#REF!</definedName>
    <definedName name="M5R1_Ps">#REF!</definedName>
    <definedName name="M5R1_Pstatic">#REF!</definedName>
    <definedName name="M5R1_Qm">#REF!</definedName>
    <definedName name="M5R1_Run_Start_Time" localSheetId="4">[1]측정자료!#REF!</definedName>
    <definedName name="M5R1_Run_Start_Time">[1]측정자료!#REF!</definedName>
    <definedName name="M5R1_tm">#REF!</definedName>
    <definedName name="M5R1_tmiavg">[1]측정자료!$L$80</definedName>
    <definedName name="M5R1_Traverse_Pt_Label" localSheetId="4">[1]측정자료!#REF!</definedName>
    <definedName name="M5R1_Traverse_Pt_Label">[1]측정자료!#REF!</definedName>
    <definedName name="M5R1_ts">#REF!</definedName>
    <definedName name="M5R1_Units_degF_degC" localSheetId="4">[1]측정총괄!$F$8:$F$8,[1]측정총괄!$I$25:$K$25</definedName>
    <definedName name="M5R1_Units_degF_degC">[1]측정총괄!$F$8:$F$8,[1]측정총괄!$I$25:$K$25</definedName>
    <definedName name="M5R1_Units_inH2O_mmH2O" localSheetId="4">[1]측정총괄!#REF!,[1]측정총괄!#REF!,[1]측정총괄!$E$25:$F$25,[1]측정총괄!$G$25</definedName>
    <definedName name="M5R1_Units_inH2O_mmH2O">[1]측정총괄!#REF!,[1]측정총괄!#REF!,[1]측정총괄!$E$25:$F$25,[1]측정총괄!$G$25</definedName>
    <definedName name="M5R1_Units_inHg_mmHg" localSheetId="4">[1]측정총괄!#REF!,[1]측정총괄!$F$18:$F$19,[1]측정총괄!$M$3,[1]측정총괄!$M$17:$M$17</definedName>
    <definedName name="M5R1_Units_inHg_mmHg">[1]측정총괄!#REF!,[1]측정총괄!$F$18:$F$19,[1]측정총괄!$M$3,[1]측정총괄!$M$17:$M$17</definedName>
    <definedName name="M5R1_Vmi" localSheetId="4">[1]측정자료!#REF!</definedName>
    <definedName name="M5R1_Vmi">[1]측정자료!#REF!</definedName>
    <definedName name="M5R1_Y">#REF!</definedName>
    <definedName name="M5R2_Units_degF_degC" localSheetId="4">[1]측정총괄!$F$8:$F$8,[1]측정총괄!$I$25:$K$25</definedName>
    <definedName name="M5R2_Units_degF_degC">[1]측정총괄!$F$8:$F$8,[1]측정총괄!$I$25:$K$25</definedName>
    <definedName name="M5R2_Units_inH2O_mmH2O" localSheetId="4">[1]측정총괄!#REF!,[1]측정총괄!#REF!,[1]측정총괄!$E$25:$F$25,[1]측정총괄!$G$25</definedName>
    <definedName name="M5R2_Units_inH2O_mmH2O">[1]측정총괄!#REF!,[1]측정총괄!#REF!,[1]측정총괄!$E$25:$F$25,[1]측정총괄!$G$25</definedName>
    <definedName name="M5R2_Units_inHg_mmHg" localSheetId="4">[1]측정총괄!#REF!,[1]측정총괄!$F$18:$F$19,[1]측정총괄!$M$3,[1]측정총괄!$M$17:$M$17</definedName>
    <definedName name="M5R2_Units_inHg_mmHg">[1]측정총괄!#REF!,[1]측정총괄!$F$18:$F$19,[1]측정총괄!$M$3,[1]측정총괄!$M$17:$M$17</definedName>
    <definedName name="M5R3_Units_degF_degC" localSheetId="4">[1]측정총괄!$F$8:$F$8,[1]측정총괄!$I$25:$K$25</definedName>
    <definedName name="M5R3_Units_degF_degC">[1]측정총괄!$F$8:$F$8,[1]측정총괄!$I$25:$K$25</definedName>
    <definedName name="M5R3_Units_inH2O_mmH2O" localSheetId="4">[1]측정총괄!#REF!,[1]측정총괄!#REF!,[1]측정총괄!$E$25:$F$25,[1]측정총괄!$G$25</definedName>
    <definedName name="M5R3_Units_inH2O_mmH2O">[1]측정총괄!#REF!,[1]측정총괄!#REF!,[1]측정총괄!$E$25:$F$25,[1]측정총괄!$G$25</definedName>
    <definedName name="M5R3_Units_inHg_mmHg" localSheetId="4">[1]측정총괄!#REF!,[1]측정총괄!$F$18:$F$19,[1]측정총괄!$M$3,[1]측정총괄!$M$17:$M$17</definedName>
    <definedName name="M5R3_Units_inHg_mmHg">[1]측정총괄!#REF!,[1]측정총괄!$F$18:$F$19,[1]측정총괄!$M$3,[1]측정총괄!$M$17:$M$17</definedName>
    <definedName name="ma">'기록지(수분량자동측정기)'!#REF!</definedName>
    <definedName name="Meter_Cal_Factor">#REF!</definedName>
    <definedName name="Meter_ID">#REF!</definedName>
    <definedName name="Method5_Run1_Help" localSheetId="4">연소가스자료!Method5_Run1_Help</definedName>
    <definedName name="Method5_Run1_Help">연소가스자료!Method5_Run1_Help</definedName>
    <definedName name="Metric_Units" localSheetId="4">연소가스자료!Metric_Units</definedName>
    <definedName name="Metric_Units">연소가스자료!Metric_Units</definedName>
    <definedName name="Nozzle_Diam">#REF!</definedName>
    <definedName name="Nozzle_ID">#REF!</definedName>
    <definedName name="Num_Ports_Available" localSheetId="4">[1]측정총괄!#REF!</definedName>
    <definedName name="Num_Ports_Available">[1]측정총괄!#REF!</definedName>
    <definedName name="Num_Ports_Used" localSheetId="4">[1]측정총괄!#REF!</definedName>
    <definedName name="Num_Ports_Used">[1]측정총괄!#REF!</definedName>
    <definedName name="O">#REF!</definedName>
    <definedName name="Oa">'기록지(수분량자동측정기)'!$C$11</definedName>
    <definedName name="Operator">#REF!</definedName>
    <definedName name="Orifice_Coefficient_dHat">#REF!</definedName>
    <definedName name="Os">'기록지(수분량자동측정기)'!$B$14</definedName>
    <definedName name="Pa">'기록지(수분량자동측정기)'!$J$7</definedName>
    <definedName name="Pas">'기록지(수분량자동측정기)'!$J$8</definedName>
    <definedName name="Pitot_Coefficient">#REF!</definedName>
    <definedName name="Plant_Name">#REF!</definedName>
    <definedName name="Pm">'기록지(수분량자동측정기)'!#REF!</definedName>
    <definedName name="Print_All_DataSheets" localSheetId="4">연소가스자료!Print_All_DataSheets</definedName>
    <definedName name="Print_All_DataSheets">연소가스자료!Print_All_DataSheets</definedName>
    <definedName name="_xlnm.Print_Area" localSheetId="7">계산식!$A$1:$V$91</definedName>
    <definedName name="_xlnm.Print_Area" localSheetId="6">'기록지(수분량자동측정기)'!$A$1:$K$34</definedName>
    <definedName name="_xlnm.Print_Area" localSheetId="5">노즐산정!$A$1:$K$59</definedName>
    <definedName name="_xlnm.Print_Area" localSheetId="1">누출시험!$A$1:$D$17</definedName>
    <definedName name="_xlnm.Print_Area" localSheetId="2">시료측정위치!$A$1:$H$50</definedName>
    <definedName name="_xlnm.Print_Area" localSheetId="4">연소가스자료!$A$1:$F$42</definedName>
    <definedName name="_xlnm.Print_Area" localSheetId="0">표지!$A$1:$H$49</definedName>
    <definedName name="_xlnm.Print_Area" localSheetId="9">피토!$A$1:$T$16</definedName>
    <definedName name="_xlnm.Print_Titles" localSheetId="4">연소가스자료!$4:$4</definedName>
    <definedName name="Print_WorkSheet" localSheetId="4">연소가스자료!Print_WorkSheet</definedName>
    <definedName name="Print_WorkSheet">연소가스자료!Print_WorkSheet</definedName>
    <definedName name="Probe_ID">#REF!</definedName>
    <definedName name="Probe_Length">#REF!</definedName>
    <definedName name="Project_Num">#REF!</definedName>
    <definedName name="Ps">'기록지(수분량자동측정기)'!$J$12</definedName>
    <definedName name="Q">계산식!$M$93</definedName>
    <definedName name="Qa">계산식!$T$75</definedName>
    <definedName name="Rect_Points_Across">[1]측정총괄!#REF!</definedName>
    <definedName name="Rect_Stack?">#REF!</definedName>
    <definedName name="Rect_Units_in_m" localSheetId="4">[1]측정총괄!$F$8:$F$11,[1]측정총괄!#REF!,[1]측정총괄!#REF!,[1]측정총괄!#REF!,[1]측정총괄!#REF!</definedName>
    <definedName name="Rect_Units_in_m">[1]측정총괄!$F$8:$F$11,[1]측정총괄!#REF!,[1]측정총괄!#REF!,[1]측정총괄!#REF!,[1]측정총괄!#REF!</definedName>
    <definedName name="Rect_Width_Far_Wall" localSheetId="4">[1]측정총괄!#REF!</definedName>
    <definedName name="Rect_Width_Far_Wall">[1]측정총괄!#REF!</definedName>
    <definedName name="Rect_Width_Near_Wall" localSheetId="4">[1]측정총괄!#REF!</definedName>
    <definedName name="Rect_Width_Near_Wall">[1]측정총괄!#REF!</definedName>
    <definedName name="Results_Units_inH2O_mmH2O" localSheetId="4">[1]측정총괄!$I$23,[1]측정총괄!#REF!</definedName>
    <definedName name="Results_Units_inH2O_mmH2O">[1]측정총괄!$I$23,[1]측정총괄!#REF!</definedName>
    <definedName name="Results_Units_inHg_mmHg" localSheetId="4">[1]측정총괄!$I$17,[1]측정총괄!$I$24,[1]측정총괄!#REF!</definedName>
    <definedName name="Results_Units_inHg_mmHg">[1]측정총괄!$I$17,[1]측정총괄!$I$24,[1]측정총괄!#REF!</definedName>
    <definedName name="rr">계산식!$K$24</definedName>
    <definedName name="Sample_Case_ID">#REF!</definedName>
    <definedName name="Sampling_Location">#REF!</definedName>
    <definedName name="Set_Black_White_Printing" localSheetId="4">연소가스자료!Set_Black_White_Printing</definedName>
    <definedName name="Set_Black_White_Printing">연소가스자료!Set_Black_White_Printing</definedName>
    <definedName name="Set_Color_Printing" localSheetId="4">연소가스자료!Set_Color_Printing</definedName>
    <definedName name="Set_Color_Printing">연소가스자료!Set_Color_Printing</definedName>
    <definedName name="ShowPic">IF('기록지(수분량자동측정기)'!$G$12&lt;=0.25,지점0,CHOOSE(시료측정위치!$G$38,지점1,지점2,지점3,지점4,지점5))</definedName>
    <definedName name="SKSMS" localSheetId="4">연소가스자료!English_Units</definedName>
    <definedName name="SKSMS">[0]!English_Units</definedName>
    <definedName name="t">'기록지(수분량자동측정기)'!#REF!</definedName>
    <definedName name="Title_Circ_Stack_Box_Click" localSheetId="4">연소가스자료!Title_Circ_Stack_Box_Click</definedName>
    <definedName name="Title_Circ_Stack_Box_Click">연소가스자료!Title_Circ_Stack_Box_Click</definedName>
    <definedName name="Title_Rect_Stack_Box_Click" localSheetId="4">연소가스자료!Title_Rect_Stack_Box_Click</definedName>
    <definedName name="Title_Rect_Stack_Box_Click">연소가스자료!Title_Rect_Stack_Box_Click</definedName>
    <definedName name="Tm">'기록지(수분량자동측정기)'!#REF!</definedName>
    <definedName name="TmC">#REF!</definedName>
    <definedName name="TmF">#REF!</definedName>
    <definedName name="Toggle_Sheets_Language" localSheetId="4">연소가스자료!Toggle_Sheets_Language</definedName>
    <definedName name="Toggle_Sheets_Language">연소가스자료!Toggle_Sheets_Language</definedName>
    <definedName name="Ts">'기록지(수분량자동측정기)'!#REF!</definedName>
    <definedName name="V">'기록지(수분량자동측정기)'!#REF!</definedName>
    <definedName name="Ve">계산식!$G$35</definedName>
    <definedName name="Vic">계산식!$J$46</definedName>
    <definedName name="Vm">'기록지(수분량자동측정기)'!#REF!</definedName>
    <definedName name="Vp">'기록지(수분량자동측정기)'!#REF!</definedName>
    <definedName name="We">'기록지(수분량자동측정기)'!$F$14</definedName>
    <definedName name="Ws">'기록지(수분량자동측정기)'!$D$14</definedName>
    <definedName name="Xtm">'기록지(수분량자동측정기)'!#REF!</definedName>
    <definedName name="Xw">'기록지(수분량자동측정기)'!$J$9</definedName>
    <definedName name="ΔH">#REF!</definedName>
    <definedName name="ΔP">#REF!</definedName>
    <definedName name="연료사용량">#REF!</definedName>
    <definedName name="지점0">'지점 사진'!$A$1</definedName>
    <definedName name="지점1">'지점 사진'!$B$1</definedName>
    <definedName name="지점2">'지점 사진'!$C$1</definedName>
    <definedName name="지점3">'지점 사진'!$D$1</definedName>
    <definedName name="지점4">'지점 사진'!$E$1</definedName>
    <definedName name="지점5">'지점 사진'!$F$1</definedName>
  </definedNames>
  <calcPr calcId="191029"/>
</workbook>
</file>

<file path=xl/calcChain.xml><?xml version="1.0" encoding="utf-8"?>
<calcChain xmlns="http://schemas.openxmlformats.org/spreadsheetml/2006/main">
  <c r="K85" i="14" l="1"/>
  <c r="K84" i="14"/>
  <c r="E12" i="14"/>
  <c r="L16" i="1"/>
  <c r="E25" i="14"/>
  <c r="G24" i="14"/>
  <c r="I24" i="14"/>
  <c r="O75" i="14" l="1"/>
  <c r="G15" i="1" l="1"/>
  <c r="H76" i="14" s="1"/>
  <c r="B1" i="20"/>
  <c r="E2" i="20" l="1"/>
  <c r="E3" i="20" s="1"/>
  <c r="C25" i="20" l="1"/>
  <c r="C24" i="20"/>
  <c r="C23" i="20"/>
  <c r="C22" i="20"/>
  <c r="C21" i="20"/>
  <c r="C20" i="20"/>
  <c r="C19" i="20"/>
  <c r="B25" i="20"/>
  <c r="C18" i="20"/>
  <c r="B24" i="20"/>
  <c r="B23" i="20"/>
  <c r="B22" i="20"/>
  <c r="B21" i="20"/>
  <c r="B20" i="20"/>
  <c r="B19" i="20"/>
  <c r="B18" i="20"/>
  <c r="C16" i="20"/>
  <c r="E5" i="20"/>
  <c r="E4" i="20"/>
  <c r="B7" i="20" l="1"/>
  <c r="C7" i="20" s="1"/>
  <c r="B14" i="20"/>
  <c r="C14" i="20" s="1"/>
  <c r="B15" i="20"/>
  <c r="C15" i="20" s="1"/>
  <c r="B8" i="20"/>
  <c r="C8" i="20" s="1"/>
  <c r="B9" i="20"/>
  <c r="C9" i="20" s="1"/>
  <c r="B10" i="20"/>
  <c r="C10" i="20" s="1"/>
  <c r="B11" i="20"/>
  <c r="C11" i="20" s="1"/>
  <c r="B12" i="20"/>
  <c r="C12" i="20" s="1"/>
  <c r="B13" i="20"/>
  <c r="C13" i="20" s="1"/>
  <c r="B6" i="20"/>
  <c r="C6" i="20" s="1"/>
  <c r="B5" i="20"/>
  <c r="C5" i="20" s="1"/>
  <c r="B3" i="20"/>
  <c r="C3" i="20" s="1"/>
  <c r="B4" i="20"/>
  <c r="C4" i="20" s="1"/>
  <c r="J10" i="12" l="1"/>
  <c r="H26" i="12" l="1"/>
  <c r="P26" i="12" l="1"/>
  <c r="B5" i="17"/>
  <c r="E26" i="12"/>
  <c r="P27" i="12" l="1"/>
  <c r="J14" i="12"/>
  <c r="J5" i="12"/>
  <c r="H15" i="1" l="1"/>
  <c r="C26" i="12" l="1"/>
  <c r="D26" i="12"/>
  <c r="K26" i="12"/>
  <c r="A34" i="1"/>
  <c r="D28" i="1"/>
  <c r="G8" i="1"/>
  <c r="G26" i="12" s="1"/>
  <c r="F8" i="1"/>
  <c r="I15" i="1" l="1"/>
  <c r="L15" i="1" s="1"/>
  <c r="L75" i="14" s="1"/>
  <c r="J15" i="1"/>
  <c r="C5" i="12"/>
  <c r="D26" i="1" l="1"/>
  <c r="D27" i="1"/>
  <c r="D29" i="1" l="1"/>
  <c r="G26" i="1" s="1"/>
  <c r="J26" i="12" l="1"/>
  <c r="B26" i="12" l="1"/>
  <c r="A13" i="16" l="1"/>
  <c r="C6" i="12" l="1"/>
  <c r="E33" i="2"/>
  <c r="E43" i="2"/>
  <c r="J6" i="12" l="1"/>
  <c r="C37" i="7"/>
  <c r="E20" i="2"/>
  <c r="C8" i="12" l="1"/>
  <c r="C5" i="17" l="1"/>
  <c r="D5" i="17"/>
  <c r="E5" i="17"/>
  <c r="F5" i="17"/>
  <c r="G37" i="7" l="1"/>
  <c r="G38" i="7" s="1"/>
  <c r="B48" i="7" l="1"/>
  <c r="F48" i="7" s="1"/>
  <c r="G48" i="7" s="1"/>
  <c r="H48" i="7" s="1"/>
  <c r="B44" i="7"/>
  <c r="B46" i="7"/>
  <c r="B47" i="7"/>
  <c r="F47" i="7" s="1"/>
  <c r="G47" i="7" s="1"/>
  <c r="H47" i="7" s="1"/>
  <c r="B45" i="7"/>
  <c r="I45" i="7" s="1"/>
  <c r="F46" i="7" l="1"/>
  <c r="G46" i="7" s="1"/>
  <c r="H46" i="7" s="1"/>
  <c r="I46" i="7"/>
  <c r="F44" i="7"/>
  <c r="G44" i="7" s="1"/>
  <c r="H44" i="7" s="1"/>
  <c r="I44" i="7"/>
  <c r="F45" i="7"/>
  <c r="G45" i="7" s="1"/>
  <c r="H45" i="7" s="1"/>
  <c r="B15" i="2" l="1"/>
  <c r="C15" i="1" l="1"/>
  <c r="F26" i="1"/>
  <c r="H26" i="1" s="1"/>
  <c r="J8" i="1" s="1"/>
  <c r="E23" i="2"/>
  <c r="E22" i="2"/>
  <c r="E21" i="2"/>
  <c r="K15" i="1" l="1"/>
  <c r="G39" i="1" s="1"/>
  <c r="K8" i="1"/>
  <c r="E24" i="2"/>
  <c r="D43" i="2"/>
  <c r="H52" i="1" l="1"/>
  <c r="H51" i="1"/>
  <c r="H53" i="1"/>
  <c r="H54" i="1"/>
  <c r="H39" i="1"/>
  <c r="H43" i="1"/>
  <c r="H47" i="1"/>
  <c r="H40" i="1"/>
  <c r="H44" i="1"/>
  <c r="H48" i="1"/>
  <c r="H55" i="1"/>
  <c r="H41" i="1"/>
  <c r="H45" i="1"/>
  <c r="H49" i="1"/>
  <c r="H56" i="1"/>
  <c r="H42" i="1"/>
  <c r="H46" i="1"/>
  <c r="H50" i="1"/>
  <c r="B24" i="14"/>
  <c r="A43" i="2"/>
  <c r="J7" i="12" l="1"/>
  <c r="J8" i="12" l="1"/>
  <c r="K58" i="14" l="1"/>
  <c r="G11" i="14"/>
  <c r="C28" i="2" l="1"/>
  <c r="H28" i="2" s="1"/>
  <c r="J12" i="12" l="1"/>
  <c r="N20" i="12" l="1"/>
  <c r="M20" i="12" s="1"/>
  <c r="N22" i="12"/>
  <c r="M22" i="12" s="1"/>
  <c r="N21" i="12"/>
  <c r="M21" i="12" s="1"/>
  <c r="N25" i="12"/>
  <c r="M25" i="12" s="1"/>
  <c r="N23" i="12"/>
  <c r="M23" i="12" s="1"/>
  <c r="N24" i="12"/>
  <c r="M24" i="12" s="1"/>
  <c r="E59" i="14"/>
  <c r="N19" i="12"/>
  <c r="M19" i="12" s="1"/>
  <c r="N18" i="12"/>
  <c r="M18" i="12" s="1"/>
  <c r="B11" i="14"/>
  <c r="B106" i="14" l="1"/>
  <c r="G105" i="14"/>
  <c r="E105" i="14"/>
  <c r="B43" i="2" l="1"/>
  <c r="C43" i="2" s="1"/>
  <c r="E36" i="2"/>
  <c r="D46" i="14" s="1"/>
  <c r="F7" i="17" l="1"/>
  <c r="E7" i="17"/>
  <c r="D7" i="17"/>
  <c r="C7" i="17"/>
  <c r="B7" i="17"/>
  <c r="F6" i="17"/>
  <c r="E6" i="17"/>
  <c r="D6" i="17"/>
  <c r="C6" i="17"/>
  <c r="B6" i="17"/>
  <c r="B15" i="1"/>
  <c r="F13" i="12" s="1"/>
  <c r="A15" i="1"/>
  <c r="C11" i="12" l="1"/>
  <c r="K116" i="14" s="1"/>
  <c r="H8" i="1"/>
  <c r="I8" i="1" l="1"/>
  <c r="D39" i="1" s="1"/>
  <c r="F39" i="1" s="1"/>
  <c r="I39" i="1" s="1"/>
  <c r="J39" i="1" s="1"/>
  <c r="K94" i="14"/>
  <c r="E35" i="14"/>
  <c r="G11" i="12"/>
  <c r="G12" i="12" s="1"/>
  <c r="D75" i="14" s="1"/>
  <c r="D53" i="1" l="1"/>
  <c r="F53" i="1" s="1"/>
  <c r="I53" i="1" s="1"/>
  <c r="J53" i="1" s="1"/>
  <c r="D52" i="1"/>
  <c r="F52" i="1" s="1"/>
  <c r="I52" i="1" s="1"/>
  <c r="J52" i="1" s="1"/>
  <c r="D51" i="1"/>
  <c r="F51" i="1" s="1"/>
  <c r="I51" i="1" s="1"/>
  <c r="J51" i="1" s="1"/>
  <c r="D40" i="1"/>
  <c r="F40" i="1" s="1"/>
  <c r="I40" i="1" s="1"/>
  <c r="J40" i="1" s="1"/>
  <c r="D54" i="1"/>
  <c r="F54" i="1" s="1"/>
  <c r="D55" i="1"/>
  <c r="F55" i="1" s="1"/>
  <c r="D47" i="1"/>
  <c r="F47" i="1" s="1"/>
  <c r="I47" i="1" s="1"/>
  <c r="J47" i="1" s="1"/>
  <c r="D41" i="1"/>
  <c r="F41" i="1" s="1"/>
  <c r="I41" i="1" s="1"/>
  <c r="J41" i="1" s="1"/>
  <c r="D49" i="1"/>
  <c r="F49" i="1" s="1"/>
  <c r="I49" i="1" s="1"/>
  <c r="J49" i="1" s="1"/>
  <c r="D43" i="1"/>
  <c r="F43" i="1" s="1"/>
  <c r="I43" i="1" s="1"/>
  <c r="J43" i="1" s="1"/>
  <c r="D44" i="1"/>
  <c r="F44" i="1" s="1"/>
  <c r="I44" i="1" s="1"/>
  <c r="J44" i="1" s="1"/>
  <c r="D48" i="1"/>
  <c r="F48" i="1" s="1"/>
  <c r="I48" i="1" s="1"/>
  <c r="J48" i="1" s="1"/>
  <c r="D56" i="1"/>
  <c r="F56" i="1" s="1"/>
  <c r="I56" i="1" s="1"/>
  <c r="J56" i="1" s="1"/>
  <c r="D50" i="1"/>
  <c r="F50" i="1" s="1"/>
  <c r="I50" i="1" s="1"/>
  <c r="J50" i="1" s="1"/>
  <c r="D46" i="1"/>
  <c r="F46" i="1" s="1"/>
  <c r="I46" i="1" s="1"/>
  <c r="J46" i="1" s="1"/>
  <c r="D42" i="1"/>
  <c r="F42" i="1" s="1"/>
  <c r="I42" i="1" s="1"/>
  <c r="J42" i="1" s="1"/>
  <c r="D45" i="1"/>
  <c r="F45" i="1" s="1"/>
  <c r="I45" i="1" s="1"/>
  <c r="J45" i="1" s="1"/>
  <c r="A3" i="17"/>
  <c r="I55" i="1" l="1"/>
  <c r="J55" i="1" s="1"/>
  <c r="I54" i="1"/>
  <c r="J54" i="1" s="1"/>
  <c r="B58" i="14"/>
  <c r="G58" i="14" l="1"/>
  <c r="J75" i="14"/>
  <c r="K24" i="14"/>
  <c r="E34" i="2"/>
  <c r="E35" i="2"/>
  <c r="G46" i="14" l="1"/>
  <c r="I46" i="14" s="1"/>
  <c r="E37" i="2"/>
  <c r="H9" i="14" l="1"/>
  <c r="L11" i="14"/>
  <c r="E58" i="14"/>
  <c r="D36" i="14" l="1"/>
  <c r="G2" i="11"/>
  <c r="G10" i="11"/>
  <c r="C10" i="11"/>
  <c r="K93" i="14"/>
  <c r="K115" i="14"/>
  <c r="G106" i="14"/>
  <c r="G59" i="14" l="1"/>
  <c r="E107" i="14" l="1"/>
  <c r="I58" i="14"/>
  <c r="B35" i="14" l="1"/>
  <c r="G35" i="14" s="1"/>
  <c r="B75" i="14" s="1"/>
  <c r="I59" i="14" l="1"/>
  <c r="J11" i="12"/>
  <c r="K59" i="14"/>
  <c r="C12" i="12"/>
  <c r="E8" i="1"/>
  <c r="F17" i="12" l="1"/>
  <c r="F20" i="12"/>
  <c r="F21" i="12"/>
  <c r="F22" i="12"/>
  <c r="F23" i="12"/>
  <c r="F25" i="12"/>
  <c r="F19" i="12"/>
  <c r="F24" i="12"/>
  <c r="F18" i="12"/>
  <c r="O20" i="12" l="1"/>
  <c r="L20" i="12" s="1"/>
  <c r="O24" i="12"/>
  <c r="L24" i="12" s="1"/>
  <c r="O25" i="12"/>
  <c r="L25" i="12" s="1"/>
  <c r="O23" i="12"/>
  <c r="L23" i="12" s="1"/>
  <c r="O21" i="12"/>
  <c r="L21" i="12" s="1"/>
  <c r="O22" i="12"/>
  <c r="L22" i="12" s="1"/>
  <c r="F26" i="12"/>
  <c r="O19" i="12"/>
  <c r="L19" i="12" s="1"/>
  <c r="O18" i="12"/>
  <c r="L18" i="12" s="1"/>
  <c r="M58" i="14" l="1"/>
  <c r="T58" i="14" s="1"/>
  <c r="C10" i="12"/>
  <c r="I11" i="14"/>
  <c r="P10" i="14" s="1"/>
  <c r="C13" i="12"/>
  <c r="G11" i="11" s="1"/>
  <c r="I106" i="14"/>
  <c r="P105" i="14" s="1"/>
  <c r="G30" i="12"/>
  <c r="F43" i="2"/>
  <c r="G43" i="2" s="1"/>
  <c r="H43" i="2" s="1"/>
  <c r="J9" i="12" l="1"/>
  <c r="C11" i="11" s="1"/>
  <c r="T75" i="14"/>
  <c r="C12" i="11"/>
  <c r="M115" i="14"/>
  <c r="G12" i="11" s="1"/>
  <c r="G115" i="14"/>
  <c r="M84" i="14" l="1"/>
  <c r="G84" i="14"/>
  <c r="G93" i="14"/>
  <c r="G14" i="11"/>
  <c r="M93" i="14"/>
  <c r="G13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업무망</author>
  </authors>
  <commentList>
    <comment ref="G13" authorId="0" shapeId="0" xr:uid="{EBCFB55A-665F-4B4F-9328-3713BD6C6819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STACK</t>
        </r>
      </text>
    </comment>
    <comment ref="H13" authorId="0" shapeId="0" xr:uid="{00000000-0006-0000-0500-000003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빨간색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라인값</t>
        </r>
      </text>
    </comment>
    <comment ref="I13" authorId="0" shapeId="0" xr:uid="{00000000-0006-0000-0500-000004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파란색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라인값</t>
        </r>
      </text>
    </comment>
    <comment ref="J13" authorId="0" shapeId="0" xr:uid="{00000000-0006-0000-0500-000005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동정압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라인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빨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파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동시에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꽂았을때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4" authorId="0" shapeId="0" xr:uid="{E132FBB8-8B88-4688-93DB-6E525FDE16DC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DGM Inlet</t>
        </r>
      </text>
    </comment>
    <comment ref="F14" authorId="0" shapeId="0" xr:uid="{00000000-0006-0000-0500-000007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DGM Outlet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업무망</author>
  </authors>
  <commentList>
    <comment ref="A6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굴뚝번호</t>
        </r>
      </text>
    </comment>
    <comment ref="J6" authorId="0" shapeId="0" xr:uid="{00000000-0006-0000-0600-000002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대기온도</t>
        </r>
      </text>
    </comment>
    <comment ref="J7" authorId="0" shapeId="0" xr:uid="{00000000-0006-0000-0600-000003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대기압</t>
        </r>
      </text>
    </comment>
    <comment ref="B14" authorId="0" shapeId="0" xr:uid="{00000000-0006-0000-0600-000004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시설별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표준산소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  <comment ref="D14" authorId="0" shapeId="0" xr:uid="{00000000-0006-0000-0600-000005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측정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무게</t>
        </r>
      </text>
    </comment>
    <comment ref="F14" authorId="0" shapeId="0" xr:uid="{00000000-0006-0000-0600-000006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측정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무게</t>
        </r>
      </text>
    </comment>
    <comment ref="A15" authorId="0" shapeId="0" xr:uid="{00000000-0006-0000-0600-000007000000}">
      <text>
        <r>
          <rPr>
            <b/>
            <sz val="9"/>
            <color indexed="81"/>
            <rFont val="돋움"/>
            <family val="3"/>
            <charset val="129"/>
          </rPr>
          <t>채취 지점별로 작성 하되 측정점별 측정갯수 동일하게 하기</t>
        </r>
      </text>
    </comment>
    <comment ref="J15" authorId="0" shapeId="0" xr:uid="{00000000-0006-0000-0600-000008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STACK </t>
        </r>
        <r>
          <rPr>
            <sz val="9"/>
            <color indexed="81"/>
            <rFont val="돋움"/>
            <family val="3"/>
            <charset val="129"/>
          </rPr>
          <t>온도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<sst xmlns="http://schemas.openxmlformats.org/spreadsheetml/2006/main" count="482" uniqueCount="338">
  <si>
    <t>▶ 측정지점의 대기압 및 피토계수</t>
    <phoneticPr fontId="3" type="noConversion"/>
  </si>
  <si>
    <t>예비수분량</t>
    <phoneticPr fontId="3" type="noConversion"/>
  </si>
  <si>
    <t>정압</t>
  </si>
  <si>
    <t>동압</t>
  </si>
  <si>
    <t>(mmHg)</t>
    <phoneticPr fontId="3" type="noConversion"/>
  </si>
  <si>
    <t>(%)</t>
    <phoneticPr fontId="3" type="noConversion"/>
  </si>
  <si>
    <t>스택온도</t>
    <phoneticPr fontId="3" type="noConversion"/>
  </si>
  <si>
    <t>가스미터온도</t>
    <phoneticPr fontId="3" type="noConversion"/>
  </si>
  <si>
    <t>입구</t>
    <phoneticPr fontId="3" type="noConversion"/>
  </si>
  <si>
    <t>출구</t>
    <phoneticPr fontId="3" type="noConversion"/>
  </si>
  <si>
    <t>기온</t>
    <phoneticPr fontId="3" type="noConversion"/>
  </si>
  <si>
    <t>(℃)</t>
    <phoneticPr fontId="3" type="noConversion"/>
  </si>
  <si>
    <t>▶ 기초입력자료(Metric Unit)</t>
    <phoneticPr fontId="3" type="noConversion"/>
  </si>
  <si>
    <t>(분)</t>
    <phoneticPr fontId="3" type="noConversion"/>
  </si>
  <si>
    <t>노즐직경</t>
    <phoneticPr fontId="3" type="noConversion"/>
  </si>
  <si>
    <t>(mm)</t>
    <phoneticPr fontId="3" type="noConversion"/>
  </si>
  <si>
    <t>K-factor</t>
    <phoneticPr fontId="3" type="noConversion"/>
  </si>
  <si>
    <t>ΔH</t>
    <phoneticPr fontId="3" type="noConversion"/>
  </si>
  <si>
    <t>가스채취량</t>
    <phoneticPr fontId="3" type="noConversion"/>
  </si>
  <si>
    <t>가스미터온도(℃)</t>
    <phoneticPr fontId="3" type="noConversion"/>
  </si>
  <si>
    <t>▶ 측정시간 및 노즐산정(Metric Unit)</t>
    <phoneticPr fontId="3" type="noConversion"/>
  </si>
  <si>
    <t>측정전</t>
    <phoneticPr fontId="3" type="noConversion"/>
  </si>
  <si>
    <t>측정후</t>
    <phoneticPr fontId="3" type="noConversion"/>
  </si>
  <si>
    <t>구분</t>
    <phoneticPr fontId="3" type="noConversion"/>
  </si>
  <si>
    <t>수분량</t>
    <phoneticPr fontId="3" type="noConversion"/>
  </si>
  <si>
    <t>가스미터압</t>
    <phoneticPr fontId="3" type="noConversion"/>
  </si>
  <si>
    <t>(mm Hg)</t>
    <phoneticPr fontId="3" type="noConversion"/>
  </si>
  <si>
    <t>수분량 측정</t>
    <phoneticPr fontId="3" type="noConversion"/>
  </si>
  <si>
    <t>노즐 및 측정시간 산정</t>
    <phoneticPr fontId="3" type="noConversion"/>
  </si>
  <si>
    <t>(%)</t>
    <phoneticPr fontId="3" type="noConversion"/>
  </si>
  <si>
    <t>r</t>
    <phoneticPr fontId="3" type="noConversion"/>
  </si>
  <si>
    <t>배출가스밀도</t>
    <phoneticPr fontId="3" type="noConversion"/>
  </si>
  <si>
    <t>가스유속</t>
    <phoneticPr fontId="3" type="noConversion"/>
  </si>
  <si>
    <t>(L)</t>
    <phoneticPr fontId="3" type="noConversion"/>
  </si>
  <si>
    <t>(m/s)</t>
    <phoneticPr fontId="3" type="noConversion"/>
  </si>
  <si>
    <t>℃</t>
    <phoneticPr fontId="3" type="noConversion"/>
  </si>
  <si>
    <t>min</t>
    <phoneticPr fontId="3" type="noConversion"/>
  </si>
  <si>
    <t>(L)</t>
  </si>
  <si>
    <t># 1</t>
  </si>
  <si>
    <t># 2</t>
  </si>
  <si>
    <t># 3</t>
  </si>
  <si>
    <t># 4</t>
  </si>
  <si>
    <t># 5</t>
  </si>
  <si>
    <t>시료측정위치 선정</t>
    <phoneticPr fontId="3" type="noConversion"/>
  </si>
  <si>
    <t>D(m)</t>
    <phoneticPr fontId="3" type="noConversion"/>
  </si>
  <si>
    <t>먼지측정 결과보고서</t>
    <phoneticPr fontId="3" type="noConversion"/>
  </si>
  <si>
    <t>1. 일반사항</t>
    <phoneticPr fontId="3" type="noConversion"/>
  </si>
  <si>
    <t xml:space="preserve">라. 최대 연료사용량 : </t>
    <phoneticPr fontId="3" type="noConversion"/>
  </si>
  <si>
    <t>L/hr</t>
    <phoneticPr fontId="3" type="noConversion"/>
  </si>
  <si>
    <t xml:space="preserve">마. 측정당시연료사용량 : </t>
    <phoneticPr fontId="3" type="noConversion"/>
  </si>
  <si>
    <t>2. 측정결과</t>
    <phoneticPr fontId="3" type="noConversion"/>
  </si>
  <si>
    <t>가. 측정산소 농도 :</t>
    <phoneticPr fontId="3" type="noConversion"/>
  </si>
  <si>
    <t>나. 표준산소농도 :</t>
    <phoneticPr fontId="3" type="noConversion"/>
  </si>
  <si>
    <t>다. 수분량 :</t>
    <phoneticPr fontId="3" type="noConversion"/>
  </si>
  <si>
    <t>라. 등속계수(I) :</t>
    <phoneticPr fontId="3" type="noConversion"/>
  </si>
  <si>
    <t>마. 측정먼지농도</t>
    <phoneticPr fontId="3" type="noConversion"/>
  </si>
  <si>
    <t>바.표준산소환산먼지농도 :</t>
    <phoneticPr fontId="3" type="noConversion"/>
  </si>
  <si>
    <t>사. 표준산소환산 측정유량 :</t>
    <phoneticPr fontId="3" type="noConversion"/>
  </si>
  <si>
    <t>아. 실측치를 이용한 최대배출가스유량 :</t>
    <phoneticPr fontId="3" type="noConversion"/>
  </si>
  <si>
    <t>3. 측정시 문제점 및 건의사항 (필요시 이면이나 별지를 사용)</t>
    <phoneticPr fontId="3" type="noConversion"/>
  </si>
  <si>
    <t>평균</t>
    <phoneticPr fontId="3" type="noConversion"/>
  </si>
  <si>
    <t>.</t>
    <phoneticPr fontId="3" type="noConversion"/>
  </si>
  <si>
    <t>+</t>
    <phoneticPr fontId="5" type="noConversion"/>
  </si>
  <si>
    <t>273 +</t>
    <phoneticPr fontId="5" type="noConversion"/>
  </si>
  <si>
    <t>273 +</t>
    <phoneticPr fontId="5" type="noConversion"/>
  </si>
  <si>
    <t>+</t>
    <phoneticPr fontId="5" type="noConversion"/>
  </si>
  <si>
    <t>Vic =</t>
    <phoneticPr fontId="5" type="noConversion"/>
  </si>
  <si>
    <t>/</t>
    <phoneticPr fontId="5" type="noConversion"/>
  </si>
  <si>
    <t>(</t>
    <phoneticPr fontId="5" type="noConversion"/>
  </si>
  <si>
    <t>)]</t>
    <phoneticPr fontId="5" type="noConversion"/>
  </si>
  <si>
    <t xml:space="preserve">I(%) = </t>
    <phoneticPr fontId="5" type="noConversion"/>
  </si>
  <si>
    <t>-</t>
    <phoneticPr fontId="5" type="noConversion"/>
  </si>
  <si>
    <t>C =</t>
    <phoneticPr fontId="5" type="noConversion"/>
  </si>
  <si>
    <t>Q =</t>
    <phoneticPr fontId="5" type="noConversion"/>
  </si>
  <si>
    <t>( 1 -</t>
    <phoneticPr fontId="5" type="noConversion"/>
  </si>
  <si>
    <t>)</t>
    <phoneticPr fontId="5" type="noConversion"/>
  </si>
  <si>
    <t>채취점
번호</t>
    <phoneticPr fontId="3" type="noConversion"/>
  </si>
  <si>
    <t>mmHg</t>
    <phoneticPr fontId="3" type="noConversion"/>
  </si>
  <si>
    <t>㎥</t>
    <phoneticPr fontId="3" type="noConversion"/>
  </si>
  <si>
    <t>건식가스미터에
서의 온도(℃)</t>
    <phoneticPr fontId="3" type="noConversion"/>
  </si>
  <si>
    <t xml:space="preserve"> 업소명 :</t>
    <phoneticPr fontId="3" type="noConversion"/>
  </si>
  <si>
    <t xml:space="preserve"> 측정대상명 :</t>
    <phoneticPr fontId="3" type="noConversion"/>
  </si>
  <si>
    <t xml:space="preserve"> 작성자명 :</t>
    <phoneticPr fontId="3" type="noConversion"/>
  </si>
  <si>
    <t xml:space="preserve"> 측정일 :</t>
    <phoneticPr fontId="3" type="noConversion"/>
  </si>
  <si>
    <t xml:space="preserve"> 측정번호 :</t>
    <phoneticPr fontId="3" type="noConversion"/>
  </si>
  <si>
    <t xml:space="preserve"> 오리피스미터 ΔH :</t>
    <phoneticPr fontId="3" type="noConversion"/>
  </si>
  <si>
    <t xml:space="preserve"> 산소량 (%) :</t>
    <phoneticPr fontId="3" type="noConversion"/>
  </si>
  <si>
    <t xml:space="preserve"> 피토우관계수 : </t>
    <phoneticPr fontId="3" type="noConversion"/>
  </si>
  <si>
    <t xml:space="preserve"> 배출가스정압 (mmHg)</t>
    <phoneticPr fontId="3" type="noConversion"/>
  </si>
  <si>
    <t xml:space="preserve"> 여과지 번호</t>
    <phoneticPr fontId="3" type="noConversion"/>
  </si>
  <si>
    <t xml:space="preserve"> 등속흡인계수 (%) :</t>
    <phoneticPr fontId="3" type="noConversion"/>
  </si>
  <si>
    <t xml:space="preserve"> 수분량 (%) :</t>
    <phoneticPr fontId="3" type="noConversion"/>
  </si>
  <si>
    <t xml:space="preserve"> 흡인관 길이 (m) :</t>
    <phoneticPr fontId="3" type="noConversion"/>
  </si>
  <si>
    <t xml:space="preserve"> 흡인노즐 직경 (cm) :</t>
    <phoneticPr fontId="3" type="noConversion"/>
  </si>
  <si>
    <t>Qa =</t>
    <phoneticPr fontId="5" type="noConversion"/>
  </si>
  <si>
    <t>×</t>
    <phoneticPr fontId="5" type="noConversion"/>
  </si>
  <si>
    <t>2 ×9.81 ×</t>
    <phoneticPr fontId="5" type="noConversion"/>
  </si>
  <si>
    <t>÷</t>
    <phoneticPr fontId="5" type="noConversion"/>
  </si>
  <si>
    <t>r =</t>
    <phoneticPr fontId="5" type="noConversion"/>
  </si>
  <si>
    <t>Xw =</t>
    <phoneticPr fontId="5" type="noConversion"/>
  </si>
  <si>
    <t>  수분량 (%)</t>
  </si>
  <si>
    <t>  배출가스유속 (m/sec)</t>
  </si>
  <si>
    <t>   임핀저와 실리카겔에 채취된 물의 총량 (㎖)</t>
  </si>
  <si>
    <t>  배출가스밀도 (Kg/㎥)</t>
  </si>
  <si>
    <t>=</t>
    <phoneticPr fontId="5" type="noConversion"/>
  </si>
  <si>
    <t xml:space="preserve"> 등속흡인계수 계산 (I factor) (%)</t>
    <phoneticPr fontId="5" type="noConversion"/>
  </si>
  <si>
    <t>× [ 0.00346 ×</t>
    <phoneticPr fontId="5" type="noConversion"/>
  </si>
  <si>
    <t>Ca =</t>
    <phoneticPr fontId="5" type="noConversion"/>
  </si>
  <si>
    <t>연도내경 (m)</t>
    <phoneticPr fontId="3" type="noConversion"/>
  </si>
  <si>
    <t>√</t>
    <phoneticPr fontId="5" type="noConversion"/>
  </si>
  <si>
    <t> 먼지농도 계산 (㎎/S㎥)</t>
    <phoneticPr fontId="5" type="noConversion"/>
  </si>
  <si>
    <t>측정공에서 기압</t>
    <phoneticPr fontId="3" type="noConversion"/>
  </si>
  <si>
    <t xml:space="preserve"> K factor :</t>
    <phoneticPr fontId="3" type="noConversion"/>
  </si>
  <si>
    <t>CO2(%)</t>
    <phoneticPr fontId="3" type="noConversion"/>
  </si>
  <si>
    <t>최종 샘플링 위치</t>
    <phoneticPr fontId="3" type="noConversion"/>
  </si>
  <si>
    <t xml:space="preserve">▣ 작성자 소속 : </t>
    <phoneticPr fontId="3" type="noConversion"/>
  </si>
  <si>
    <t>▣ 확인자 소속 :</t>
    <phoneticPr fontId="3" type="noConversion"/>
  </si>
  <si>
    <t xml:space="preserve">직급 : </t>
    <phoneticPr fontId="3" type="noConversion"/>
  </si>
  <si>
    <t>가. 측정기관(업소명) :</t>
    <phoneticPr fontId="3" type="noConversion"/>
  </si>
  <si>
    <t>나. 배출시설명 :</t>
    <phoneticPr fontId="3" type="noConversion"/>
  </si>
  <si>
    <t>다. 방지시설명 :</t>
    <phoneticPr fontId="3" type="noConversion"/>
  </si>
  <si>
    <t>▶ 시료채취 후 임핀저 무게 측정을 통한 수분량 무게 측정</t>
    <phoneticPr fontId="3" type="noConversion"/>
  </si>
  <si>
    <t>측정전 무게</t>
    <phoneticPr fontId="3" type="noConversion"/>
  </si>
  <si>
    <t>측정후 무게</t>
    <phoneticPr fontId="3" type="noConversion"/>
  </si>
  <si>
    <t>누출시험 기록부</t>
    <phoneticPr fontId="3" type="noConversion"/>
  </si>
  <si>
    <t>▶ 누출시험 방법</t>
    <phoneticPr fontId="3" type="noConversion"/>
  </si>
  <si>
    <t>측정일자</t>
    <phoneticPr fontId="3" type="noConversion"/>
  </si>
  <si>
    <t>시료채취장치</t>
    <phoneticPr fontId="3" type="noConversion"/>
  </si>
  <si>
    <t>임핀저 트레인</t>
    <phoneticPr fontId="3" type="noConversion"/>
  </si>
  <si>
    <t>시료채취부</t>
    <phoneticPr fontId="3" type="noConversion"/>
  </si>
  <si>
    <t>유량계 멈춤 여부 (O, X)</t>
    <phoneticPr fontId="3" type="noConversion"/>
  </si>
  <si>
    <t>▶ 기록부</t>
    <phoneticPr fontId="3" type="noConversion"/>
  </si>
  <si>
    <t>비고</t>
    <phoneticPr fontId="3" type="noConversion"/>
  </si>
  <si>
    <t>누출을 확인할 부위를 연결하여 모든 부분을 막은 후, 시료채취장치의 진공계 압력이 380 mmHg (15 inHg)가 되게 한 후 5초 동안의 누출여부로 판단함</t>
    <phoneticPr fontId="3" type="noConversion"/>
  </si>
  <si>
    <t>▶ 본 측정시 가스흡인량</t>
    <phoneticPr fontId="3" type="noConversion"/>
  </si>
  <si>
    <t>샘플러번호</t>
    <phoneticPr fontId="3" type="noConversion"/>
  </si>
  <si>
    <t>SN.</t>
    <phoneticPr fontId="3" type="noConversion"/>
  </si>
  <si>
    <t>1910162K</t>
    <phoneticPr fontId="3" type="noConversion"/>
  </si>
  <si>
    <t>1910163K</t>
    <phoneticPr fontId="3" type="noConversion"/>
  </si>
  <si>
    <t>1910164K</t>
    <phoneticPr fontId="3" type="noConversion"/>
  </si>
  <si>
    <t>1910165K</t>
    <phoneticPr fontId="3" type="noConversion"/>
  </si>
  <si>
    <t>Vic = (채취 전후의 실리카겔 무게차, mg) + (임핀저 내 물부피 차(mL) 또는 임핀저 무게차(g))</t>
    <phoneticPr fontId="5" type="noConversion"/>
  </si>
  <si>
    <t>항     목</t>
    <phoneticPr fontId="3" type="noConversion"/>
  </si>
  <si>
    <t>응축 수분량(전후차)</t>
    <phoneticPr fontId="3" type="noConversion"/>
  </si>
  <si>
    <t>Impinger 1</t>
    <phoneticPr fontId="3" type="noConversion"/>
  </si>
  <si>
    <t>Impinger 2</t>
    <phoneticPr fontId="3" type="noConversion"/>
  </si>
  <si>
    <t>Impinger 3</t>
    <phoneticPr fontId="3" type="noConversion"/>
  </si>
  <si>
    <t>Impinger 4</t>
    <phoneticPr fontId="3" type="noConversion"/>
  </si>
  <si>
    <t>배출가스 온도
(℃)</t>
    <phoneticPr fontId="3" type="noConversion"/>
  </si>
  <si>
    <t>시료채취 시간
(분)</t>
    <phoneticPr fontId="3" type="noConversion"/>
  </si>
  <si>
    <t>여과지
홀더 
온도(℃)</t>
    <phoneticPr fontId="3" type="noConversion"/>
  </si>
  <si>
    <t>최종
임핀저
출구온도(℃)</t>
    <phoneticPr fontId="3" type="noConversion"/>
  </si>
  <si>
    <t xml:space="preserve"> 기온(℃)  : </t>
    <phoneticPr fontId="3" type="noConversion"/>
  </si>
  <si>
    <t xml:space="preserve"> 기압 (mmHg)  :</t>
    <phoneticPr fontId="3" type="noConversion"/>
  </si>
  <si>
    <t xml:space="preserve"> 측정공 위치의 기압
 (mmHg) : </t>
    <phoneticPr fontId="3" type="noConversion"/>
  </si>
  <si>
    <t>가스미터지시값 (L)</t>
    <phoneticPr fontId="3" type="noConversion"/>
  </si>
  <si>
    <t>-</t>
    <phoneticPr fontId="3" type="noConversion"/>
  </si>
  <si>
    <t>배출가스 속도 (m/s)</t>
    <phoneticPr fontId="3" type="noConversion"/>
  </si>
  <si>
    <t>등속흡입계수 (%)</t>
    <phoneticPr fontId="3" type="noConversion"/>
  </si>
  <si>
    <t>표준산소Os
(%)</t>
    <phoneticPr fontId="3" type="noConversion"/>
  </si>
  <si>
    <t>측정전무게
Ws
(mg)</t>
    <phoneticPr fontId="3" type="noConversion"/>
  </si>
  <si>
    <t>측정후무게
We
(mg)</t>
    <phoneticPr fontId="3" type="noConversion"/>
  </si>
  <si>
    <t>연  소  가  스  분  석</t>
  </si>
  <si>
    <t>Item</t>
    <phoneticPr fontId="10" type="noConversion"/>
  </si>
  <si>
    <t>O₂[%]</t>
    <phoneticPr fontId="10" type="noConversion"/>
  </si>
  <si>
    <t>CO₂[%]</t>
    <phoneticPr fontId="10" type="noConversion"/>
  </si>
  <si>
    <t>Avg.</t>
  </si>
  <si>
    <t>Max.</t>
    <phoneticPr fontId="10" type="noConversion"/>
  </si>
  <si>
    <t>Min.</t>
    <phoneticPr fontId="10" type="noConversion"/>
  </si>
  <si>
    <t>O</t>
    <phoneticPr fontId="3" type="noConversion"/>
  </si>
  <si>
    <t>진공
게이지압(mmHg)</t>
    <phoneticPr fontId="3" type="noConversion"/>
  </si>
  <si>
    <t>수분량 (mL)</t>
    <phoneticPr fontId="3" type="noConversion"/>
  </si>
  <si>
    <t>-</t>
    <phoneticPr fontId="3" type="noConversion"/>
  </si>
  <si>
    <t>샘플러번호</t>
    <phoneticPr fontId="3" type="noConversion"/>
  </si>
  <si>
    <t>전압</t>
    <phoneticPr fontId="3" type="noConversion"/>
  </si>
  <si>
    <t>건조가스채취량</t>
    <phoneticPr fontId="3" type="noConversion"/>
  </si>
  <si>
    <t>Vmstd</t>
    <phoneticPr fontId="3" type="noConversion"/>
  </si>
  <si>
    <t>노즐번호</t>
    <phoneticPr fontId="3" type="noConversion"/>
  </si>
  <si>
    <t>사용노즐 번호</t>
    <phoneticPr fontId="3" type="noConversion"/>
  </si>
  <si>
    <t>배출가스 밀도</t>
    <phoneticPr fontId="3" type="noConversion"/>
  </si>
  <si>
    <t>▶수분량 자동측정기</t>
    <phoneticPr fontId="3" type="noConversion"/>
  </si>
  <si>
    <t>자동측정기</t>
    <phoneticPr fontId="3" type="noConversion"/>
  </si>
  <si>
    <t>임핀저</t>
    <phoneticPr fontId="3" type="noConversion"/>
  </si>
  <si>
    <t>번호</t>
    <phoneticPr fontId="3" type="noConversion"/>
  </si>
  <si>
    <t>선택번호</t>
    <phoneticPr fontId="3" type="noConversion"/>
  </si>
  <si>
    <t>횟수</t>
    <phoneticPr fontId="3" type="noConversion"/>
  </si>
  <si>
    <t>평균</t>
    <phoneticPr fontId="3" type="noConversion"/>
  </si>
  <si>
    <t>수분량 (%)</t>
    <phoneticPr fontId="3" type="noConversion"/>
  </si>
  <si>
    <t xml:space="preserve">CO [ppm] </t>
    <phoneticPr fontId="10" type="noConversion"/>
  </si>
  <si>
    <t xml:space="preserve">NOx [ppm] </t>
    <phoneticPr fontId="3" type="noConversion"/>
  </si>
  <si>
    <t xml:space="preserve">SOx [ppm] </t>
    <phoneticPr fontId="10" type="noConversion"/>
  </si>
  <si>
    <t>cm</t>
    <phoneticPr fontId="3" type="noConversion"/>
  </si>
  <si>
    <t>Sampling Location(cm)</t>
    <phoneticPr fontId="3" type="noConversion"/>
  </si>
  <si>
    <t xml:space="preserve"> </t>
    <phoneticPr fontId="3" type="noConversion"/>
  </si>
  <si>
    <t>원형굴뚝</t>
    <phoneticPr fontId="3" type="noConversion"/>
  </si>
  <si>
    <t>R(m)</t>
    <phoneticPr fontId="3" type="noConversion"/>
  </si>
  <si>
    <t>수직</t>
    <phoneticPr fontId="3" type="noConversion"/>
  </si>
  <si>
    <t>수평</t>
    <phoneticPr fontId="3" type="noConversion"/>
  </si>
  <si>
    <t>반경구분수</t>
    <phoneticPr fontId="3" type="noConversion"/>
  </si>
  <si>
    <t>측정점수</t>
    <phoneticPr fontId="3" type="noConversion"/>
  </si>
  <si>
    <t>(청) 플랜지</t>
    <phoneticPr fontId="3" type="noConversion"/>
  </si>
  <si>
    <t>중심에서의 거리(cm)</t>
    <phoneticPr fontId="3" type="noConversion"/>
  </si>
  <si>
    <t># R1</t>
    <phoneticPr fontId="3" type="noConversion"/>
  </si>
  <si>
    <t>안쪽</t>
    <phoneticPr fontId="3" type="noConversion"/>
  </si>
  <si>
    <t># R2</t>
    <phoneticPr fontId="3" type="noConversion"/>
  </si>
  <si>
    <t># R3</t>
    <phoneticPr fontId="3" type="noConversion"/>
  </si>
  <si>
    <t># R4</t>
    <phoneticPr fontId="3" type="noConversion"/>
  </si>
  <si>
    <t># R5</t>
    <phoneticPr fontId="3" type="noConversion"/>
  </si>
  <si>
    <t>바깥쪽</t>
    <phoneticPr fontId="3" type="noConversion"/>
  </si>
  <si>
    <t xml:space="preserve"> 표준산소 환산 배출가스 유량(Sm3/hr)</t>
    <phoneticPr fontId="5" type="noConversion"/>
  </si>
  <si>
    <t xml:space="preserve"> 표준산소 환산 먼지농도(㎎/S㎥)</t>
    <phoneticPr fontId="5" type="noConversion"/>
  </si>
  <si>
    <t>전체길이</t>
    <phoneticPr fontId="3" type="noConversion"/>
  </si>
  <si>
    <t>■MAMO-QP-13-03</t>
    <phoneticPr fontId="3" type="noConversion"/>
  </si>
  <si>
    <t>■MAMO-QP-13-03</t>
    <phoneticPr fontId="5" type="noConversion"/>
  </si>
  <si>
    <t xml:space="preserve"> 성명 :             (인)</t>
    <phoneticPr fontId="3" type="noConversion"/>
  </si>
  <si>
    <t>A2312850</t>
    <phoneticPr fontId="3" type="noConversion"/>
  </si>
  <si>
    <t>1지점</t>
    <phoneticPr fontId="3" type="noConversion"/>
  </si>
  <si>
    <t>깊이</t>
    <phoneticPr fontId="3" type="noConversion"/>
  </si>
  <si>
    <t>2지점</t>
  </si>
  <si>
    <t>3지점</t>
  </si>
  <si>
    <t>대상사업장</t>
    <phoneticPr fontId="3" type="noConversion"/>
  </si>
  <si>
    <t>:</t>
    <phoneticPr fontId="3" type="noConversion"/>
  </si>
  <si>
    <t>측 정 대 상</t>
    <phoneticPr fontId="3" type="noConversion"/>
  </si>
  <si>
    <t>측 정 일 시</t>
    <phoneticPr fontId="3" type="noConversion"/>
  </si>
  <si>
    <t>시료채취 관련 계산식</t>
    <phoneticPr fontId="3" type="noConversion"/>
  </si>
  <si>
    <t>▶ 배출가스 밀도 (배출가스 조성으로 계산)</t>
    <phoneticPr fontId="3" type="noConversion"/>
  </si>
  <si>
    <t>- Mᵢ: 성분별 분자량 (g/mol)</t>
  </si>
  <si>
    <t>- xᵢ: 성분별 부피백분율 (vol%)</t>
  </si>
  <si>
    <t>- Xw: 수분 비율(vol%)</t>
  </si>
  <si>
    <t>연소가스 조성(vol%) 및 밀도 계산</t>
    <phoneticPr fontId="15" type="noConversion"/>
  </si>
  <si>
    <t>가스분석기 자료로 밀도계산</t>
    <phoneticPr fontId="3" type="noConversion"/>
  </si>
  <si>
    <t>성분</t>
  </si>
  <si>
    <t>몰수</t>
  </si>
  <si>
    <t>분자량</t>
    <phoneticPr fontId="15" type="noConversion"/>
  </si>
  <si>
    <t>vol%</t>
  </si>
  <si>
    <t>수분(vol%)</t>
  </si>
  <si>
    <t>M_gas</t>
    <phoneticPr fontId="15" type="noConversion"/>
  </si>
  <si>
    <t>▶ 배출가스 밀도 (건조가스밀도계로 계산)</t>
    <phoneticPr fontId="3" type="noConversion"/>
  </si>
  <si>
    <t>CO</t>
    <phoneticPr fontId="15" type="noConversion"/>
  </si>
  <si>
    <t>4지점</t>
  </si>
  <si>
    <t>5지점</t>
  </si>
  <si>
    <r>
      <t>L</t>
    </r>
    <r>
      <rPr>
        <b/>
        <vertAlign val="subscript"/>
        <sz val="12"/>
        <rFont val="맑은 고딕"/>
        <family val="3"/>
        <charset val="129"/>
        <scheme val="major"/>
      </rPr>
      <t>nw</t>
    </r>
    <r>
      <rPr>
        <b/>
        <sz val="12"/>
        <rFont val="맑은 고딕"/>
        <family val="3"/>
        <charset val="129"/>
        <scheme val="major"/>
      </rPr>
      <t>(cm)</t>
    </r>
    <phoneticPr fontId="3" type="noConversion"/>
  </si>
  <si>
    <r>
      <t xml:space="preserve">합     계   ( </t>
    </r>
    <r>
      <rPr>
        <b/>
        <sz val="9"/>
        <color indexed="10"/>
        <rFont val="맑은 고딕"/>
        <family val="3"/>
        <charset val="129"/>
        <scheme val="minor"/>
      </rPr>
      <t>V</t>
    </r>
    <r>
      <rPr>
        <b/>
        <vertAlign val="subscript"/>
        <sz val="9"/>
        <color indexed="10"/>
        <rFont val="맑은 고딕"/>
        <family val="3"/>
        <charset val="129"/>
        <scheme val="minor"/>
      </rPr>
      <t>lc</t>
    </r>
    <r>
      <rPr>
        <sz val="9"/>
        <rFont val="맑은 고딕"/>
        <family val="3"/>
        <charset val="129"/>
        <scheme val="minor"/>
      </rPr>
      <t xml:space="preserve"> )</t>
    </r>
    <phoneticPr fontId="3" type="noConversion"/>
  </si>
  <si>
    <t>가스미터(L)</t>
    <phoneticPr fontId="3" type="noConversion"/>
  </si>
  <si>
    <r>
      <t>(mm H</t>
    </r>
    <r>
      <rPr>
        <vertAlign val="subscript"/>
        <sz val="11"/>
        <rFont val="맑은 고딕"/>
        <family val="3"/>
        <charset val="129"/>
        <scheme val="minor"/>
      </rPr>
      <t>2</t>
    </r>
    <r>
      <rPr>
        <sz val="11"/>
        <rFont val="맑은 고딕"/>
        <family val="3"/>
        <charset val="129"/>
        <scheme val="minor"/>
      </rPr>
      <t>O)</t>
    </r>
    <phoneticPr fontId="3" type="noConversion"/>
  </si>
  <si>
    <t>측정방법</t>
    <phoneticPr fontId="3" type="noConversion"/>
  </si>
  <si>
    <r>
      <t>△H</t>
    </r>
    <r>
      <rPr>
        <vertAlign val="subscript"/>
        <sz val="11"/>
        <rFont val="맑은 고딕"/>
        <family val="3"/>
        <charset val="129"/>
        <scheme val="major"/>
      </rPr>
      <t>@</t>
    </r>
    <phoneticPr fontId="3" type="noConversion"/>
  </si>
  <si>
    <r>
      <t>Y</t>
    </r>
    <r>
      <rPr>
        <vertAlign val="subscript"/>
        <sz val="11"/>
        <rFont val="맑은 고딕"/>
        <family val="3"/>
        <charset val="129"/>
        <scheme val="major"/>
      </rPr>
      <t>d</t>
    </r>
    <phoneticPr fontId="3" type="noConversion"/>
  </si>
  <si>
    <r>
      <t>r</t>
    </r>
    <r>
      <rPr>
        <vertAlign val="subscript"/>
        <sz val="11"/>
        <rFont val="맑은 고딕"/>
        <family val="3"/>
        <charset val="129"/>
        <scheme val="major"/>
      </rPr>
      <t>0</t>
    </r>
    <phoneticPr fontId="3" type="noConversion"/>
  </si>
  <si>
    <r>
      <t>O</t>
    </r>
    <r>
      <rPr>
        <vertAlign val="subscript"/>
        <sz val="11"/>
        <rFont val="맑은 고딕"/>
        <family val="3"/>
        <charset val="129"/>
        <scheme val="major"/>
      </rPr>
      <t>2</t>
    </r>
    <phoneticPr fontId="3" type="noConversion"/>
  </si>
  <si>
    <r>
      <t>CO</t>
    </r>
    <r>
      <rPr>
        <vertAlign val="subscript"/>
        <sz val="11"/>
        <rFont val="맑은 고딕"/>
        <family val="3"/>
        <charset val="129"/>
        <scheme val="major"/>
      </rPr>
      <t>2</t>
    </r>
    <phoneticPr fontId="3" type="noConversion"/>
  </si>
  <si>
    <r>
      <t>(mm H</t>
    </r>
    <r>
      <rPr>
        <vertAlign val="subscript"/>
        <sz val="11"/>
        <rFont val="맑은 고딕"/>
        <family val="3"/>
        <charset val="129"/>
        <scheme val="major"/>
      </rPr>
      <t>2</t>
    </r>
    <r>
      <rPr>
        <sz val="11"/>
        <rFont val="맑은 고딕"/>
        <family val="3"/>
        <charset val="129"/>
        <scheme val="major"/>
      </rPr>
      <t>O)</t>
    </r>
    <phoneticPr fontId="3" type="noConversion"/>
  </si>
  <si>
    <r>
      <t>γₒ (kg/m</t>
    </r>
    <r>
      <rPr>
        <b/>
        <vertAlign val="superscript"/>
        <sz val="11"/>
        <rFont val="맑은 고딕"/>
        <family val="3"/>
        <charset val="129"/>
        <scheme val="major"/>
      </rPr>
      <t>3</t>
    </r>
    <r>
      <rPr>
        <b/>
        <sz val="11"/>
        <rFont val="맑은 고딕"/>
        <family val="3"/>
        <charset val="129"/>
        <scheme val="major"/>
      </rPr>
      <t>)</t>
    </r>
    <phoneticPr fontId="15" type="noConversion"/>
  </si>
  <si>
    <r>
      <t>O</t>
    </r>
    <r>
      <rPr>
        <vertAlign val="subscript"/>
        <sz val="11"/>
        <color theme="1"/>
        <rFont val="맑은 고딕"/>
        <family val="3"/>
        <charset val="129"/>
        <scheme val="major"/>
      </rPr>
      <t>2</t>
    </r>
    <phoneticPr fontId="15" type="noConversion"/>
  </si>
  <si>
    <r>
      <t>CO</t>
    </r>
    <r>
      <rPr>
        <vertAlign val="subscript"/>
        <sz val="11"/>
        <color theme="1"/>
        <rFont val="맑은 고딕"/>
        <family val="3"/>
        <charset val="129"/>
        <scheme val="major"/>
      </rPr>
      <t>2</t>
    </r>
    <phoneticPr fontId="15" type="noConversion"/>
  </si>
  <si>
    <r>
      <t>N</t>
    </r>
    <r>
      <rPr>
        <vertAlign val="subscript"/>
        <sz val="11"/>
        <color theme="1"/>
        <rFont val="맑은 고딕"/>
        <family val="3"/>
        <charset val="129"/>
        <scheme val="major"/>
      </rPr>
      <t>2</t>
    </r>
    <phoneticPr fontId="15" type="noConversion"/>
  </si>
  <si>
    <r>
      <t>배출가스밀도 (r</t>
    </r>
    <r>
      <rPr>
        <b/>
        <vertAlign val="subscript"/>
        <sz val="11"/>
        <rFont val="맑은 고딕"/>
        <family val="3"/>
        <charset val="129"/>
        <scheme val="major"/>
      </rPr>
      <t>0</t>
    </r>
    <r>
      <rPr>
        <b/>
        <sz val="11"/>
        <rFont val="맑은 고딕"/>
        <family val="3"/>
        <charset val="129"/>
        <scheme val="major"/>
      </rPr>
      <t>)</t>
    </r>
    <phoneticPr fontId="3" type="noConversion"/>
  </si>
  <si>
    <t>(SL)</t>
    <phoneticPr fontId="3" type="noConversion"/>
  </si>
  <si>
    <r>
      <t>(Sm</t>
    </r>
    <r>
      <rPr>
        <vertAlign val="superscript"/>
        <sz val="11"/>
        <rFont val="맑은 고딕"/>
        <family val="3"/>
        <charset val="129"/>
        <scheme val="major"/>
      </rPr>
      <t>3</t>
    </r>
    <r>
      <rPr>
        <sz val="11"/>
        <rFont val="맑은 고딕"/>
        <family val="3"/>
        <charset val="129"/>
        <scheme val="major"/>
      </rPr>
      <t>)</t>
    </r>
    <phoneticPr fontId="3" type="noConversion"/>
  </si>
  <si>
    <r>
      <t xml:space="preserve"> 배출가스정압 (mmH</t>
    </r>
    <r>
      <rPr>
        <vertAlign val="sub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O)</t>
    </r>
    <phoneticPr fontId="3" type="noConversion"/>
  </si>
  <si>
    <r>
      <t>배출가스
동압(mmH</t>
    </r>
    <r>
      <rPr>
        <vertAlign val="sub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O)</t>
    </r>
    <phoneticPr fontId="3" type="noConversion"/>
  </si>
  <si>
    <r>
      <t>오리피스
압차(mmH</t>
    </r>
    <r>
      <rPr>
        <vertAlign val="sub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O)</t>
    </r>
    <phoneticPr fontId="3" type="noConversion"/>
  </si>
  <si>
    <r>
      <t>배출가스 밀도(kg/m</t>
    </r>
    <r>
      <rPr>
        <vertAlign val="superscript"/>
        <sz val="10"/>
        <rFont val="맑은 고딕"/>
        <family val="3"/>
        <charset val="129"/>
        <scheme val="major"/>
      </rPr>
      <t>3</t>
    </r>
    <r>
      <rPr>
        <sz val="10"/>
        <rFont val="맑은 고딕"/>
        <family val="3"/>
        <charset val="129"/>
        <scheme val="major"/>
      </rPr>
      <t>)</t>
    </r>
    <phoneticPr fontId="3" type="noConversion"/>
  </si>
  <si>
    <r>
      <t>mmH</t>
    </r>
    <r>
      <rPr>
        <b/>
        <vertAlign val="subscript"/>
        <sz val="10"/>
        <rFont val="맑은 고딕"/>
        <family val="3"/>
        <charset val="129"/>
        <scheme val="major"/>
      </rPr>
      <t>2</t>
    </r>
    <r>
      <rPr>
        <b/>
        <sz val="10"/>
        <rFont val="맑은 고딕"/>
        <family val="3"/>
        <charset val="129"/>
        <scheme val="major"/>
      </rPr>
      <t>O</t>
    </r>
    <phoneticPr fontId="3" type="noConversion"/>
  </si>
  <si>
    <r>
      <t>면적 (m</t>
    </r>
    <r>
      <rPr>
        <vertAlign val="super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)</t>
    </r>
    <phoneticPr fontId="3" type="noConversion"/>
  </si>
  <si>
    <r>
      <t xml:space="preserve">V </t>
    </r>
    <r>
      <rPr>
        <b/>
        <sz val="11"/>
        <rFont val="맑은 고딕"/>
        <family val="3"/>
        <charset val="129"/>
        <scheme val="major"/>
      </rPr>
      <t>=</t>
    </r>
    <phoneticPr fontId="5" type="noConversion"/>
  </si>
  <si>
    <r>
      <t>1.667×10</t>
    </r>
    <r>
      <rPr>
        <vertAlign val="superscript"/>
        <sz val="11"/>
        <rFont val="맑은 고딕"/>
        <family val="3"/>
        <charset val="129"/>
        <scheme val="major"/>
      </rPr>
      <t>4</t>
    </r>
    <phoneticPr fontId="5" type="noConversion"/>
  </si>
  <si>
    <r>
      <t xml:space="preserve"> 배출가스 유량 계산 (Sm</t>
    </r>
    <r>
      <rPr>
        <b/>
        <vertAlign val="superscript"/>
        <sz val="11"/>
        <rFont val="맑은 고딕"/>
        <family val="3"/>
        <charset val="129"/>
        <scheme val="major"/>
      </rPr>
      <t>3</t>
    </r>
    <r>
      <rPr>
        <b/>
        <sz val="11"/>
        <rFont val="맑은 고딕"/>
        <family val="3"/>
        <charset val="129"/>
        <scheme val="major"/>
      </rPr>
      <t>/hr)</t>
    </r>
    <phoneticPr fontId="5" type="noConversion"/>
  </si>
  <si>
    <t>채취시간</t>
    <phoneticPr fontId="3" type="noConversion"/>
  </si>
  <si>
    <t>시리얼넘버</t>
    <phoneticPr fontId="15" type="noConversion"/>
  </si>
  <si>
    <t>용도</t>
    <phoneticPr fontId="15" type="noConversion"/>
  </si>
  <si>
    <t>유효 길이</t>
    <phoneticPr fontId="15" type="noConversion"/>
  </si>
  <si>
    <t>검교정일</t>
  </si>
  <si>
    <t>유속1 (m/s)</t>
  </si>
  <si>
    <t>계수1</t>
  </si>
  <si>
    <t>유속2 (m/s)</t>
  </si>
  <si>
    <t>계수2</t>
  </si>
  <si>
    <t>유속3 (m/s)</t>
  </si>
  <si>
    <t>계수3</t>
  </si>
  <si>
    <t>유속4 (m/s)</t>
  </si>
  <si>
    <t>계수4</t>
  </si>
  <si>
    <t>유속5 (m/s)</t>
  </si>
  <si>
    <t>계수5</t>
  </si>
  <si>
    <t>유속6 (m/s)</t>
  </si>
  <si>
    <t>계수6</t>
  </si>
  <si>
    <t>유속7 (m/s)</t>
  </si>
  <si>
    <t>계수7</t>
  </si>
  <si>
    <t>유속8 (m/s)</t>
  </si>
  <si>
    <t>계수8</t>
  </si>
  <si>
    <t>YNJ0412</t>
  </si>
  <si>
    <t>입자</t>
    <phoneticPr fontId="15" type="noConversion"/>
  </si>
  <si>
    <t>2026-01-20</t>
  </si>
  <si>
    <t>GNT-TECH 525</t>
  </si>
  <si>
    <t>GNT-TECH 528</t>
  </si>
  <si>
    <t>GNT-TECH 621</t>
  </si>
  <si>
    <t>YNJ0022</t>
  </si>
  <si>
    <t>YNJ0854</t>
  </si>
  <si>
    <t>2026-01-21</t>
  </si>
  <si>
    <t>YNJ0046</t>
  </si>
  <si>
    <t>ENK2404</t>
  </si>
  <si>
    <t>GNT-TECH 1440</t>
  </si>
  <si>
    <t>GNT-TECH 1444</t>
  </si>
  <si>
    <t>ENK2407</t>
  </si>
  <si>
    <t>YNJ0557</t>
  </si>
  <si>
    <t>YNJ1336</t>
  </si>
  <si>
    <t>PAHs</t>
    <phoneticPr fontId="15" type="noConversion"/>
  </si>
  <si>
    <t>YNJ1319</t>
  </si>
  <si>
    <t>YNJ1374</t>
  </si>
  <si>
    <r>
      <t>r</t>
    </r>
    <r>
      <rPr>
        <b/>
        <vertAlign val="subscript"/>
        <sz val="11"/>
        <rFont val="맑은 고딕"/>
        <family val="3"/>
        <charset val="129"/>
        <scheme val="major"/>
      </rPr>
      <t>d</t>
    </r>
    <phoneticPr fontId="3" type="noConversion"/>
  </si>
  <si>
    <t>수은</t>
    <phoneticPr fontId="15" type="noConversion"/>
  </si>
  <si>
    <t>건조가스
분자량</t>
    <phoneticPr fontId="3" type="noConversion"/>
  </si>
  <si>
    <t>습가스
분자량</t>
    <phoneticPr fontId="3" type="noConversion"/>
  </si>
  <si>
    <t>시료 채취 기록지</t>
    <phoneticPr fontId="3" type="noConversion"/>
  </si>
  <si>
    <t>26년 추가</t>
    <phoneticPr fontId="3" type="noConversion"/>
  </si>
  <si>
    <r>
      <t>배출가스
정압(mmH</t>
    </r>
    <r>
      <rPr>
        <vertAlign val="subscript"/>
        <sz val="10"/>
        <color rgb="FFFF0000"/>
        <rFont val="맑은 고딕"/>
        <family val="3"/>
        <charset val="129"/>
        <scheme val="major"/>
      </rPr>
      <t>2</t>
    </r>
    <r>
      <rPr>
        <sz val="10"/>
        <color rgb="FFFF0000"/>
        <rFont val="맑은 고딕"/>
        <family val="3"/>
        <charset val="129"/>
        <scheme val="major"/>
      </rPr>
      <t>O)</t>
    </r>
    <phoneticPr fontId="3" type="noConversion"/>
  </si>
  <si>
    <t>각 시료채취장치, 임핀저 트레인, 시료채취부 부위별로 수행하거나, 전체부위를 연결하여 통합으로 수행하여 누출여부를 확인하다.</t>
    <phoneticPr fontId="3" type="noConversion"/>
  </si>
  <si>
    <t>▶ 임핀저</t>
    <phoneticPr fontId="3" type="noConversion"/>
  </si>
  <si>
    <t>이 상 석 (인)</t>
    <phoneticPr fontId="3" type="noConversion"/>
  </si>
  <si>
    <t>γₐ = 1 / (22.4 × 100) × [ (M₁x₁ + M₂x₂ + ... + Mₙxₙ) × (100 - Xw)/100 + 18 × Xw/100 ]</t>
    <phoneticPr fontId="3" type="noConversion"/>
  </si>
  <si>
    <r>
      <t>- γₐ: 연소가스 밀도 (kg/Sm</t>
    </r>
    <r>
      <rPr>
        <vertAlign val="superscript"/>
        <sz val="11"/>
        <color theme="1"/>
        <rFont val="맑은 고딕"/>
        <family val="3"/>
        <charset val="129"/>
        <scheme val="major"/>
      </rPr>
      <t>3</t>
    </r>
    <r>
      <rPr>
        <sz val="11"/>
        <color theme="1"/>
        <rFont val="맑은 고딕"/>
        <family val="3"/>
        <charset val="129"/>
        <scheme val="major"/>
      </rPr>
      <t>)</t>
    </r>
    <phoneticPr fontId="15" type="noConversion"/>
  </si>
  <si>
    <r>
      <t>mg/Sm</t>
    </r>
    <r>
      <rPr>
        <vertAlign val="superscript"/>
        <sz val="11"/>
        <rFont val="맑은 고딕"/>
        <family val="3"/>
        <charset val="129"/>
        <scheme val="major"/>
      </rPr>
      <t>3</t>
    </r>
    <phoneticPr fontId="3" type="noConversion"/>
  </si>
  <si>
    <r>
      <t>Sm</t>
    </r>
    <r>
      <rPr>
        <vertAlign val="superscript"/>
        <sz val="11"/>
        <rFont val="맑은 고딕"/>
        <family val="3"/>
        <charset val="129"/>
        <scheme val="major"/>
      </rPr>
      <t>3</t>
    </r>
    <r>
      <rPr>
        <sz val="11"/>
        <rFont val="맑은 고딕"/>
        <family val="3"/>
        <charset val="129"/>
        <scheme val="major"/>
      </rPr>
      <t>/hr</t>
    </r>
    <phoneticPr fontId="3" type="noConversion"/>
  </si>
  <si>
    <t>프로브 목록</t>
  </si>
  <si>
    <t>유효 길이(cm)</t>
  </si>
  <si>
    <t>선택 프로브</t>
  </si>
  <si>
    <t>선택 길이(cm)</t>
  </si>
  <si>
    <t>선택 용도</t>
  </si>
  <si>
    <t>계수 적용표</t>
  </si>
  <si>
    <t>피토계수</t>
  </si>
  <si>
    <t>피토우 선택/계수</t>
  </si>
  <si>
    <t>유효 길이(cm)</t>
    <phoneticPr fontId="3" type="noConversion"/>
  </si>
  <si>
    <t>유속</t>
    <phoneticPr fontId="3" type="noConversion"/>
  </si>
  <si>
    <t>0616-HOS-#A17-P-1</t>
    <phoneticPr fontId="3" type="noConversion"/>
  </si>
  <si>
    <t>먼지-1</t>
    <phoneticPr fontId="3" type="noConversion"/>
  </si>
  <si>
    <t>배출가스 중 유량 측정</t>
    <phoneticPr fontId="3" type="noConversion"/>
  </si>
  <si>
    <t>-</t>
    <phoneticPr fontId="3" type="noConversion"/>
  </si>
  <si>
    <t>서울특별시 탄천물재생센터</t>
    <phoneticPr fontId="3" type="noConversion"/>
  </si>
  <si>
    <t>#A1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</si>
</sst>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.000"/>
    <numFmt numFmtId="177" formatCode="0.0"/>
    <numFmt numFmtId="178" formatCode="0.0000"/>
    <numFmt numFmtId="179" formatCode="0.0000_ "/>
    <numFmt numFmtId="180" formatCode="0.0_ "/>
    <numFmt numFmtId="181" formatCode="0.000_ "/>
    <numFmt numFmtId="182" formatCode="0.00_ "/>
    <numFmt numFmtId="183" formatCode="0.00_);[Red]\(0.00\)"/>
    <numFmt numFmtId="184" formatCode="mm&quot;월&quot;\ dd&quot;일&quot;"/>
    <numFmt numFmtId="185" formatCode="yyyy&quot;년&quot;\ m&quot;월&quot;\ d&quot;일&quot;"/>
    <numFmt numFmtId="186" formatCode="#,##0.0_ "/>
    <numFmt numFmtId="187" formatCode="0_);[Red]\(0\)"/>
    <numFmt numFmtId="188" formatCode="0_ "/>
    <numFmt numFmtId="189" formatCode="yyyy\-mm\-dd"/>
    <numFmt numFmtId="190" formatCode="0.0000_);[Red]\(0.0000\)"/>
    <numFmt numFmtId="191" formatCode="0.0_);[Red]\(0.0\)"/>
  </numFmts>
  <fonts count="75">
    <font>
      <sz val="11"/>
      <name val="돋움"/>
      <family val="3"/>
      <charset val="129"/>
    </font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8"/>
      <name val="맑은 고딕"/>
      <family val="3"/>
      <charset val="129"/>
    </font>
    <font>
      <b/>
      <sz val="18"/>
      <name val="굴림"/>
      <family val="3"/>
      <charset val="129"/>
    </font>
    <font>
      <sz val="11"/>
      <name val="궁서"/>
      <family val="1"/>
      <charset val="129"/>
    </font>
    <font>
      <sz val="10"/>
      <color indexed="8"/>
      <name val="한컴바탕"/>
      <family val="1"/>
      <charset val="129"/>
    </font>
    <font>
      <sz val="10"/>
      <name val="Arial"/>
      <family val="2"/>
    </font>
    <font>
      <sz val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1"/>
      <name val="맑은 고딕"/>
      <family val="3"/>
      <charset val="129"/>
      <scheme val="minor"/>
    </font>
    <font>
      <b/>
      <sz val="18"/>
      <name val="맑은 고딕"/>
      <family val="3"/>
      <charset val="129"/>
      <scheme val="minor"/>
    </font>
    <font>
      <b/>
      <sz val="26"/>
      <name val="맑은 고딕"/>
      <family val="3"/>
      <charset val="129"/>
      <scheme val="minor"/>
    </font>
    <font>
      <b/>
      <sz val="24"/>
      <name val="맑은 고딕"/>
      <family val="3"/>
      <charset val="129"/>
      <scheme val="major"/>
    </font>
    <font>
      <b/>
      <sz val="14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2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b/>
      <vertAlign val="subscript"/>
      <sz val="12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  <font>
      <sz val="11"/>
      <color rgb="FF0000FF"/>
      <name val="맑은 고딕"/>
      <family val="3"/>
      <charset val="129"/>
      <scheme val="major"/>
    </font>
    <font>
      <b/>
      <sz val="24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9"/>
      <color indexed="10"/>
      <name val="맑은 고딕"/>
      <family val="3"/>
      <charset val="129"/>
      <scheme val="minor"/>
    </font>
    <font>
      <b/>
      <vertAlign val="subscript"/>
      <sz val="9"/>
      <color indexed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vertAlign val="subscript"/>
      <sz val="11"/>
      <name val="맑은 고딕"/>
      <family val="3"/>
      <charset val="129"/>
      <scheme val="minor"/>
    </font>
    <font>
      <b/>
      <sz val="9"/>
      <name val="맑은 고딕"/>
      <family val="3"/>
      <charset val="129"/>
      <scheme val="major"/>
    </font>
    <font>
      <b/>
      <sz val="8"/>
      <name val="맑은 고딕"/>
      <family val="3"/>
      <charset val="129"/>
      <scheme val="major"/>
    </font>
    <font>
      <vertAlign val="subscript"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  <scheme val="major"/>
    </font>
    <font>
      <b/>
      <vertAlign val="superscript"/>
      <sz val="11"/>
      <name val="맑은 고딕"/>
      <family val="3"/>
      <charset val="129"/>
      <scheme val="major"/>
    </font>
    <font>
      <vertAlign val="subscript"/>
      <sz val="11"/>
      <color theme="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vertAlign val="superscript"/>
      <sz val="11"/>
      <color theme="1"/>
      <name val="맑은 고딕"/>
      <family val="3"/>
      <charset val="129"/>
      <scheme val="major"/>
    </font>
    <font>
      <b/>
      <vertAlign val="subscript"/>
      <sz val="11"/>
      <name val="맑은 고딕"/>
      <family val="3"/>
      <charset val="129"/>
      <scheme val="major"/>
    </font>
    <font>
      <vertAlign val="superscript"/>
      <sz val="11"/>
      <name val="맑은 고딕"/>
      <family val="3"/>
      <charset val="129"/>
      <scheme val="major"/>
    </font>
    <font>
      <vertAlign val="subscript"/>
      <sz val="10"/>
      <name val="맑은 고딕"/>
      <family val="3"/>
      <charset val="129"/>
      <scheme val="major"/>
    </font>
    <font>
      <vertAlign val="superscript"/>
      <sz val="10"/>
      <name val="맑은 고딕"/>
      <family val="3"/>
      <charset val="129"/>
      <scheme val="major"/>
    </font>
    <font>
      <b/>
      <vertAlign val="subscript"/>
      <sz val="10"/>
      <name val="맑은 고딕"/>
      <family val="3"/>
      <charset val="129"/>
      <scheme val="major"/>
    </font>
    <font>
      <b/>
      <sz val="11"/>
      <color rgb="FF00B050"/>
      <name val="맑은 고딕"/>
      <family val="3"/>
      <charset val="129"/>
      <scheme val="major"/>
    </font>
    <font>
      <b/>
      <sz val="11"/>
      <color theme="4" tint="-0.249977111117893"/>
      <name val="맑은 고딕"/>
      <family val="3"/>
      <charset val="129"/>
      <scheme val="major"/>
    </font>
    <font>
      <b/>
      <sz val="11"/>
      <color theme="9" tint="-0.249977111117893"/>
      <name val="맑은 고딕"/>
      <family val="3"/>
      <charset val="129"/>
      <scheme val="major"/>
    </font>
    <font>
      <b/>
      <sz val="9"/>
      <color rgb="FF000000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sz val="33"/>
      <name val="맑은 고딕"/>
      <family val="3"/>
      <charset val="129"/>
      <scheme val="major"/>
    </font>
    <font>
      <b/>
      <sz val="10"/>
      <color theme="9" tint="-0.249977111117893"/>
      <name val="맑은 고딕"/>
      <family val="3"/>
      <charset val="129"/>
      <scheme val="major"/>
    </font>
    <font>
      <sz val="11"/>
      <color theme="1"/>
      <name val="맑은 고딕"/>
      <family val="2"/>
      <scheme val="minor"/>
    </font>
    <font>
      <b/>
      <sz val="11"/>
      <color rgb="FF00000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color rgb="FF000000"/>
      <name val="Arial Unicode MS"/>
      <family val="2"/>
    </font>
    <font>
      <sz val="11"/>
      <color rgb="FF000000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10"/>
      <color rgb="FFFF0000"/>
      <name val="맑은 고딕"/>
      <family val="3"/>
      <charset val="129"/>
      <scheme val="major"/>
    </font>
    <font>
      <vertAlign val="subscript"/>
      <sz val="10"/>
      <color rgb="FFFF0000"/>
      <name val="맑은 고딕"/>
      <family val="3"/>
      <charset val="129"/>
      <scheme val="major"/>
    </font>
    <font>
      <b/>
      <sz val="20"/>
      <name val="맑은 고딕"/>
      <family val="3"/>
      <charset val="129"/>
      <scheme val="major"/>
    </font>
    <font>
      <b/>
      <sz val="26"/>
      <name val="맑은 고딕"/>
      <family val="3"/>
      <charset val="129"/>
      <scheme val="major"/>
    </font>
    <font>
      <b/>
      <sz val="36"/>
      <name val="맑은 고딕"/>
      <family val="3"/>
      <charset val="129"/>
      <scheme val="major"/>
    </font>
    <font>
      <b/>
      <sz val="2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9"/>
      <name val="맑은 고딕"/>
      <family val="3"/>
      <charset val="129"/>
      <scheme val="minor"/>
    </font>
    <font>
      <sz val="9"/>
      <color indexed="9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</fonts>
  <fills count="2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rgb="FFA9D08E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4" fillId="0" borderId="0"/>
    <xf numFmtId="0" fontId="2" fillId="0" borderId="0"/>
    <xf numFmtId="0" fontId="1" fillId="0" borderId="0"/>
    <xf numFmtId="0" fontId="9" fillId="0" borderId="0"/>
    <xf numFmtId="0" fontId="1" fillId="0" borderId="0"/>
    <xf numFmtId="0" fontId="57" fillId="0" borderId="0"/>
  </cellStyleXfs>
  <cellXfs count="762">
    <xf numFmtId="0" fontId="0" fillId="0" borderId="0" xfId="0">
      <alignment vertical="center"/>
    </xf>
    <xf numFmtId="0" fontId="2" fillId="0" borderId="0" xfId="2"/>
    <xf numFmtId="0" fontId="2" fillId="0" borderId="0" xfId="2" applyAlignment="1">
      <alignment horizontal="centerContinuous"/>
    </xf>
    <xf numFmtId="0" fontId="7" fillId="0" borderId="0" xfId="2" applyFont="1"/>
    <xf numFmtId="0" fontId="8" fillId="0" borderId="0" xfId="0" applyFont="1" applyAlignment="1">
      <alignment horizontal="justify" vertical="center"/>
    </xf>
    <xf numFmtId="0" fontId="6" fillId="0" borderId="0" xfId="2" applyFont="1"/>
    <xf numFmtId="0" fontId="0" fillId="0" borderId="0" xfId="2" applyFont="1"/>
    <xf numFmtId="0" fontId="16" fillId="0" borderId="0" xfId="0" applyFont="1">
      <alignment vertical="center"/>
    </xf>
    <xf numFmtId="0" fontId="19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20" fillId="0" borderId="0" xfId="2" applyFont="1" applyAlignment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16" fillId="0" borderId="0" xfId="0" applyFont="1" applyAlignment="1">
      <alignment horizontal="left" vertical="center" wrapText="1"/>
    </xf>
    <xf numFmtId="0" fontId="24" fillId="7" borderId="1" xfId="0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5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0" fontId="26" fillId="7" borderId="1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42" xfId="0" applyFont="1" applyBorder="1" applyAlignment="1">
      <alignment horizontal="center" vertical="center"/>
    </xf>
    <xf numFmtId="187" fontId="16" fillId="0" borderId="0" xfId="0" applyNumberFormat="1" applyFont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5" fillId="0" borderId="43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25" fillId="6" borderId="3" xfId="0" applyFont="1" applyFill="1" applyBorder="1" applyAlignment="1">
      <alignment horizontal="center" vertical="center"/>
    </xf>
    <xf numFmtId="178" fontId="16" fillId="0" borderId="0" xfId="0" applyNumberFormat="1" applyFont="1">
      <alignment vertical="center"/>
    </xf>
    <xf numFmtId="0" fontId="16" fillId="6" borderId="0" xfId="0" applyFont="1" applyFill="1">
      <alignment vertical="center"/>
    </xf>
    <xf numFmtId="0" fontId="28" fillId="0" borderId="0" xfId="0" applyFont="1" applyAlignment="1">
      <alignment horizontal="center" vertical="center"/>
    </xf>
    <xf numFmtId="0" fontId="25" fillId="0" borderId="9" xfId="0" applyFont="1" applyBorder="1" applyAlignment="1" applyProtection="1">
      <alignment horizontal="center" vertical="center"/>
      <protection locked="0"/>
    </xf>
    <xf numFmtId="183" fontId="25" fillId="0" borderId="10" xfId="1" applyNumberFormat="1" applyFont="1" applyBorder="1" applyAlignment="1" applyProtection="1">
      <alignment horizontal="center" vertical="center"/>
      <protection locked="0"/>
    </xf>
    <xf numFmtId="0" fontId="16" fillId="0" borderId="9" xfId="0" applyFont="1" applyBorder="1" applyAlignment="1" applyProtection="1">
      <alignment horizontal="center" vertical="center"/>
      <protection locked="0"/>
    </xf>
    <xf numFmtId="183" fontId="25" fillId="0" borderId="5" xfId="1" applyNumberFormat="1" applyFont="1" applyBorder="1" applyAlignment="1" applyProtection="1">
      <alignment horizontal="center" vertical="center"/>
      <protection locked="0"/>
    </xf>
    <xf numFmtId="182" fontId="25" fillId="6" borderId="28" xfId="1" applyNumberFormat="1" applyFont="1" applyFill="1" applyBorder="1" applyAlignment="1" applyProtection="1">
      <alignment horizontal="center" vertical="center"/>
      <protection locked="0"/>
    </xf>
    <xf numFmtId="182" fontId="29" fillId="0" borderId="0" xfId="0" applyNumberFormat="1" applyFont="1" applyAlignment="1">
      <alignment horizontal="center" vertical="center"/>
    </xf>
    <xf numFmtId="183" fontId="28" fillId="0" borderId="0" xfId="0" applyNumberFormat="1" applyFont="1" applyAlignment="1">
      <alignment horizontal="center" vertical="center"/>
    </xf>
    <xf numFmtId="182" fontId="25" fillId="6" borderId="8" xfId="1" applyNumberFormat="1" applyFont="1" applyFill="1" applyBorder="1" applyAlignment="1" applyProtection="1">
      <alignment horizontal="center" vertical="center"/>
      <protection locked="0"/>
    </xf>
    <xf numFmtId="183" fontId="25" fillId="0" borderId="10" xfId="0" applyNumberFormat="1" applyFont="1" applyBorder="1" applyAlignment="1" applyProtection="1">
      <alignment horizontal="center" vertical="center"/>
      <protection locked="0"/>
    </xf>
    <xf numFmtId="0" fontId="25" fillId="0" borderId="14" xfId="0" applyFont="1" applyBorder="1" applyAlignment="1" applyProtection="1">
      <alignment horizontal="center" vertical="center"/>
      <protection locked="0"/>
    </xf>
    <xf numFmtId="183" fontId="25" fillId="0" borderId="16" xfId="0" applyNumberFormat="1" applyFont="1" applyBorder="1" applyAlignment="1" applyProtection="1">
      <alignment horizontal="center" vertical="center"/>
      <protection locked="0"/>
    </xf>
    <xf numFmtId="0" fontId="16" fillId="0" borderId="14" xfId="0" applyFont="1" applyBorder="1" applyAlignment="1" applyProtection="1">
      <alignment horizontal="center" vertical="center"/>
      <protection locked="0"/>
    </xf>
    <xf numFmtId="183" fontId="25" fillId="0" borderId="15" xfId="1" applyNumberFormat="1" applyFont="1" applyBorder="1" applyAlignment="1" applyProtection="1">
      <alignment horizontal="center" vertical="center"/>
      <protection locked="0"/>
    </xf>
    <xf numFmtId="182" fontId="25" fillId="6" borderId="3" xfId="1" applyNumberFormat="1" applyFont="1" applyFill="1" applyBorder="1" applyAlignment="1" applyProtection="1">
      <alignment horizontal="center" vertical="center"/>
      <protection locked="0"/>
    </xf>
    <xf numFmtId="0" fontId="30" fillId="0" borderId="0" xfId="0" applyFont="1" applyAlignment="1">
      <alignment horizontal="center" vertical="center"/>
    </xf>
    <xf numFmtId="0" fontId="31" fillId="0" borderId="1" xfId="0" applyFont="1" applyBorder="1">
      <alignment vertical="center"/>
    </xf>
    <xf numFmtId="0" fontId="31" fillId="0" borderId="0" xfId="0" applyFont="1">
      <alignment vertical="center"/>
    </xf>
    <xf numFmtId="0" fontId="19" fillId="7" borderId="1" xfId="0" applyFont="1" applyFill="1" applyBorder="1" applyAlignment="1">
      <alignment horizontal="center" vertical="center"/>
    </xf>
    <xf numFmtId="0" fontId="19" fillId="0" borderId="1" xfId="0" applyFont="1" applyBorder="1">
      <alignment vertical="center"/>
    </xf>
    <xf numFmtId="0" fontId="19" fillId="2" borderId="12" xfId="0" applyFont="1" applyFill="1" applyBorder="1">
      <alignment vertical="center"/>
    </xf>
    <xf numFmtId="0" fontId="19" fillId="2" borderId="12" xfId="0" applyFont="1" applyFill="1" applyBorder="1" applyAlignment="1">
      <alignment horizontal="center" vertical="center"/>
    </xf>
    <xf numFmtId="182" fontId="19" fillId="8" borderId="37" xfId="0" applyNumberFormat="1" applyFont="1" applyFill="1" applyBorder="1">
      <alignment vertical="center"/>
    </xf>
    <xf numFmtId="182" fontId="19" fillId="8" borderId="39" xfId="0" applyNumberFormat="1" applyFont="1" applyFill="1" applyBorder="1" applyAlignment="1">
      <alignment horizontal="center" vertical="center"/>
    </xf>
    <xf numFmtId="182" fontId="19" fillId="0" borderId="0" xfId="0" applyNumberFormat="1" applyFont="1" applyAlignment="1">
      <alignment horizontal="center" vertical="center"/>
    </xf>
    <xf numFmtId="182" fontId="19" fillId="8" borderId="52" xfId="0" applyNumberFormat="1" applyFont="1" applyFill="1" applyBorder="1">
      <alignment vertical="center"/>
    </xf>
    <xf numFmtId="182" fontId="19" fillId="8" borderId="1" xfId="0" applyNumberFormat="1" applyFont="1" applyFill="1" applyBorder="1" applyAlignment="1">
      <alignment horizontal="center" vertical="center"/>
    </xf>
    <xf numFmtId="182" fontId="19" fillId="8" borderId="53" xfId="0" applyNumberFormat="1" applyFont="1" applyFill="1" applyBorder="1">
      <alignment vertical="center"/>
    </xf>
    <xf numFmtId="182" fontId="19" fillId="8" borderId="2" xfId="0" applyNumberFormat="1" applyFont="1" applyFill="1" applyBorder="1" applyAlignment="1">
      <alignment horizontal="center" vertical="center"/>
    </xf>
    <xf numFmtId="0" fontId="19" fillId="2" borderId="12" xfId="0" applyFont="1" applyFill="1" applyBorder="1" applyAlignment="1">
      <alignment horizontal="center" vertical="center" shrinkToFit="1"/>
    </xf>
    <xf numFmtId="0" fontId="19" fillId="2" borderId="13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 shrinkToFit="1"/>
    </xf>
    <xf numFmtId="0" fontId="19" fillId="2" borderId="15" xfId="0" applyFont="1" applyFill="1" applyBorder="1" applyAlignment="1">
      <alignment horizontal="center" vertical="center"/>
    </xf>
    <xf numFmtId="0" fontId="19" fillId="2" borderId="16" xfId="0" applyFont="1" applyFill="1" applyBorder="1" applyAlignment="1">
      <alignment horizontal="center" vertical="center"/>
    </xf>
    <xf numFmtId="20" fontId="19" fillId="0" borderId="0" xfId="0" applyNumberFormat="1" applyFont="1">
      <alignment vertical="center"/>
    </xf>
    <xf numFmtId="177" fontId="19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82" fontId="19" fillId="0" borderId="0" xfId="0" applyNumberFormat="1" applyFont="1">
      <alignment vertical="center"/>
    </xf>
    <xf numFmtId="0" fontId="19" fillId="0" borderId="25" xfId="0" applyFont="1" applyBorder="1">
      <alignment vertical="center"/>
    </xf>
    <xf numFmtId="0" fontId="19" fillId="0" borderId="26" xfId="0" applyFont="1" applyBorder="1">
      <alignment vertical="center"/>
    </xf>
    <xf numFmtId="0" fontId="19" fillId="0" borderId="58" xfId="0" applyFont="1" applyBorder="1">
      <alignment vertical="center"/>
    </xf>
    <xf numFmtId="0" fontId="31" fillId="7" borderId="1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16" fillId="10" borderId="12" xfId="0" applyFont="1" applyFill="1" applyBorder="1" applyAlignment="1">
      <alignment horizontal="center" vertical="center"/>
    </xf>
    <xf numFmtId="180" fontId="16" fillId="0" borderId="0" xfId="0" applyNumberFormat="1" applyFont="1" applyAlignment="1">
      <alignment horizontal="center" vertical="center"/>
    </xf>
    <xf numFmtId="0" fontId="16" fillId="0" borderId="0" xfId="0" applyFont="1" applyAlignment="1"/>
    <xf numFmtId="0" fontId="39" fillId="0" borderId="0" xfId="0" applyFont="1" applyAlignment="1">
      <alignment horizontal="center"/>
    </xf>
    <xf numFmtId="182" fontId="16" fillId="0" borderId="0" xfId="0" applyNumberFormat="1" applyFont="1" applyFill="1" applyAlignment="1">
      <alignment horizontal="center" vertical="center"/>
    </xf>
    <xf numFmtId="0" fontId="39" fillId="0" borderId="0" xfId="0" applyFont="1" applyAlignment="1"/>
    <xf numFmtId="0" fontId="24" fillId="15" borderId="1" xfId="0" applyFont="1" applyFill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182" fontId="16" fillId="0" borderId="0" xfId="0" applyNumberFormat="1" applyFont="1" applyAlignment="1">
      <alignment horizontal="center" vertical="center"/>
    </xf>
    <xf numFmtId="180" fontId="16" fillId="0" borderId="33" xfId="0" applyNumberFormat="1" applyFont="1" applyBorder="1" applyAlignment="1">
      <alignment horizontal="center" vertical="center"/>
    </xf>
    <xf numFmtId="182" fontId="16" fillId="0" borderId="5" xfId="0" applyNumberFormat="1" applyFont="1" applyBorder="1">
      <alignment vertical="center"/>
    </xf>
    <xf numFmtId="188" fontId="24" fillId="0" borderId="27" xfId="0" applyNumberFormat="1" applyFont="1" applyBorder="1" applyAlignment="1">
      <alignment horizontal="center" vertical="center"/>
    </xf>
    <xf numFmtId="183" fontId="16" fillId="0" borderId="1" xfId="0" applyNumberFormat="1" applyFont="1" applyBorder="1" applyAlignment="1">
      <alignment horizontal="center" vertical="center"/>
    </xf>
    <xf numFmtId="182" fontId="24" fillId="5" borderId="1" xfId="0" applyNumberFormat="1" applyFont="1" applyFill="1" applyBorder="1">
      <alignment vertical="center"/>
    </xf>
    <xf numFmtId="180" fontId="16" fillId="0" borderId="1" xfId="0" applyNumberFormat="1" applyFont="1" applyBorder="1">
      <alignment vertical="center"/>
    </xf>
    <xf numFmtId="181" fontId="16" fillId="11" borderId="8" xfId="0" applyNumberFormat="1" applyFont="1" applyFill="1" applyBorder="1">
      <alignment vertical="center"/>
    </xf>
    <xf numFmtId="183" fontId="16" fillId="4" borderId="1" xfId="0" applyNumberFormat="1" applyFont="1" applyFill="1" applyBorder="1" applyAlignment="1">
      <alignment horizontal="center" vertical="center"/>
    </xf>
    <xf numFmtId="179" fontId="16" fillId="4" borderId="1" xfId="0" applyNumberFormat="1" applyFont="1" applyFill="1" applyBorder="1" applyAlignment="1">
      <alignment horizontal="center" vertical="center"/>
    </xf>
    <xf numFmtId="178" fontId="16" fillId="4" borderId="1" xfId="0" applyNumberFormat="1" applyFont="1" applyFill="1" applyBorder="1" applyAlignment="1">
      <alignment horizontal="center" vertical="center"/>
    </xf>
    <xf numFmtId="178" fontId="16" fillId="0" borderId="1" xfId="0" applyNumberFormat="1" applyFont="1" applyBorder="1" applyAlignment="1">
      <alignment horizontal="center" vertical="center"/>
    </xf>
    <xf numFmtId="0" fontId="16" fillId="0" borderId="0" xfId="0" applyFont="1" applyBorder="1">
      <alignment vertical="center"/>
    </xf>
    <xf numFmtId="0" fontId="16" fillId="4" borderId="0" xfId="3" applyFont="1" applyFill="1" applyAlignment="1" applyProtection="1">
      <alignment vertical="center"/>
      <protection locked="0"/>
    </xf>
    <xf numFmtId="182" fontId="18" fillId="4" borderId="0" xfId="3" applyNumberFormat="1" applyFont="1" applyFill="1" applyAlignment="1" applyProtection="1">
      <alignment horizontal="center" vertical="center"/>
      <protection locked="0"/>
    </xf>
    <xf numFmtId="2" fontId="18" fillId="4" borderId="0" xfId="3" applyNumberFormat="1" applyFont="1" applyFill="1" applyAlignment="1" applyProtection="1">
      <alignment vertical="center"/>
      <protection locked="0"/>
    </xf>
    <xf numFmtId="176" fontId="18" fillId="4" borderId="0" xfId="3" applyNumberFormat="1" applyFont="1" applyFill="1" applyAlignment="1" applyProtection="1">
      <alignment vertical="center"/>
      <protection locked="0"/>
    </xf>
    <xf numFmtId="0" fontId="16" fillId="4" borderId="0" xfId="3" applyFont="1" applyFill="1" applyAlignment="1" applyProtection="1">
      <alignment horizontal="center" vertical="center" wrapText="1"/>
      <protection locked="0"/>
    </xf>
    <xf numFmtId="0" fontId="18" fillId="4" borderId="0" xfId="3" applyFont="1" applyFill="1" applyAlignment="1" applyProtection="1">
      <alignment vertical="center"/>
      <protection locked="0"/>
    </xf>
    <xf numFmtId="178" fontId="18" fillId="4" borderId="0" xfId="3" applyNumberFormat="1" applyFont="1" applyFill="1" applyAlignment="1" applyProtection="1">
      <alignment vertical="center"/>
      <protection locked="0"/>
    </xf>
    <xf numFmtId="0" fontId="16" fillId="4" borderId="0" xfId="3" applyFont="1" applyFill="1" applyAlignment="1" applyProtection="1">
      <alignment horizontal="center" vertical="center"/>
      <protection locked="0"/>
    </xf>
    <xf numFmtId="1" fontId="18" fillId="4" borderId="0" xfId="3" applyNumberFormat="1" applyFont="1" applyFill="1" applyAlignment="1" applyProtection="1">
      <alignment vertical="center"/>
      <protection locked="0"/>
    </xf>
    <xf numFmtId="2" fontId="18" fillId="0" borderId="1" xfId="3" applyNumberFormat="1" applyFont="1" applyBorder="1" applyAlignment="1" applyProtection="1">
      <alignment horizontal="center" vertical="center"/>
      <protection locked="0"/>
    </xf>
    <xf numFmtId="0" fontId="16" fillId="4" borderId="0" xfId="3" applyFont="1" applyFill="1" applyAlignment="1" applyProtection="1">
      <alignment vertical="center" wrapText="1"/>
      <protection locked="0"/>
    </xf>
    <xf numFmtId="176" fontId="18" fillId="0" borderId="1" xfId="3" applyNumberFormat="1" applyFont="1" applyBorder="1" applyAlignment="1">
      <alignment horizontal="center" vertical="center"/>
    </xf>
    <xf numFmtId="0" fontId="18" fillId="0" borderId="1" xfId="3" applyFont="1" applyBorder="1" applyAlignment="1" applyProtection="1">
      <alignment horizontal="center" vertical="center"/>
      <protection locked="0"/>
    </xf>
    <xf numFmtId="0" fontId="18" fillId="4" borderId="0" xfId="3" applyFont="1" applyFill="1" applyAlignment="1" applyProtection="1">
      <alignment horizontal="center" vertical="center" wrapText="1"/>
      <protection locked="0"/>
    </xf>
    <xf numFmtId="0" fontId="18" fillId="0" borderId="6" xfId="3" applyFont="1" applyBorder="1" applyAlignment="1" applyProtection="1">
      <alignment horizontal="center" vertical="center" wrapText="1"/>
      <protection locked="0"/>
    </xf>
    <xf numFmtId="0" fontId="18" fillId="7" borderId="1" xfId="3" applyFont="1" applyFill="1" applyBorder="1" applyAlignment="1" applyProtection="1">
      <alignment horizontal="center" vertical="center"/>
      <protection locked="0"/>
    </xf>
    <xf numFmtId="177" fontId="18" fillId="0" borderId="1" xfId="3" applyNumberFormat="1" applyFont="1" applyBorder="1" applyAlignment="1" applyProtection="1">
      <alignment horizontal="center" vertical="center" wrapText="1"/>
      <protection locked="0"/>
    </xf>
    <xf numFmtId="177" fontId="17" fillId="7" borderId="1" xfId="3" applyNumberFormat="1" applyFont="1" applyFill="1" applyBorder="1" applyAlignment="1" applyProtection="1">
      <alignment horizontal="center" vertical="center"/>
      <protection locked="0"/>
    </xf>
    <xf numFmtId="0" fontId="18" fillId="0" borderId="1" xfId="3" applyFont="1" applyBorder="1" applyAlignment="1" applyProtection="1">
      <alignment horizontal="center" vertical="center" wrapText="1"/>
      <protection locked="0"/>
    </xf>
    <xf numFmtId="0" fontId="16" fillId="0" borderId="1" xfId="3" applyFont="1" applyBorder="1" applyAlignment="1" applyProtection="1">
      <alignment vertical="center"/>
      <protection locked="0"/>
    </xf>
    <xf numFmtId="0" fontId="16" fillId="0" borderId="41" xfId="3" applyFont="1" applyBorder="1" applyAlignment="1" applyProtection="1">
      <alignment horizontal="center" vertical="center"/>
      <protection locked="0"/>
    </xf>
    <xf numFmtId="180" fontId="18" fillId="0" borderId="1" xfId="3" applyNumberFormat="1" applyFont="1" applyBorder="1" applyAlignment="1" applyProtection="1">
      <alignment horizontal="center" vertical="center"/>
      <protection locked="0"/>
    </xf>
    <xf numFmtId="0" fontId="18" fillId="12" borderId="0" xfId="3" applyFont="1" applyFill="1" applyAlignment="1" applyProtection="1">
      <alignment horizontal="center" vertical="center"/>
      <protection locked="0"/>
    </xf>
    <xf numFmtId="0" fontId="17" fillId="0" borderId="9" xfId="3" applyFont="1" applyBorder="1" applyAlignment="1" applyProtection="1">
      <alignment horizontal="center" vertical="center"/>
      <protection locked="0"/>
    </xf>
    <xf numFmtId="180" fontId="17" fillId="0" borderId="5" xfId="3" applyNumberFormat="1" applyFont="1" applyBorder="1" applyAlignment="1">
      <alignment horizontal="center" vertical="center"/>
    </xf>
    <xf numFmtId="177" fontId="17" fillId="0" borderId="5" xfId="3" applyNumberFormat="1" applyFont="1" applyBorder="1" applyAlignment="1">
      <alignment horizontal="center" vertical="center"/>
    </xf>
    <xf numFmtId="2" fontId="17" fillId="0" borderId="5" xfId="3" applyNumberFormat="1" applyFont="1" applyBorder="1" applyAlignment="1">
      <alignment horizontal="center" vertical="center"/>
    </xf>
    <xf numFmtId="181" fontId="17" fillId="0" borderId="5" xfId="3" applyNumberFormat="1" applyFont="1" applyBorder="1" applyAlignment="1">
      <alignment horizontal="center" vertical="center"/>
    </xf>
    <xf numFmtId="180" fontId="17" fillId="0" borderId="10" xfId="3" applyNumberFormat="1" applyFont="1" applyBorder="1" applyAlignment="1">
      <alignment horizontal="center" vertical="center"/>
    </xf>
    <xf numFmtId="0" fontId="17" fillId="0" borderId="7" xfId="3" applyFont="1" applyBorder="1" applyAlignment="1" applyProtection="1">
      <alignment horizontal="center" vertical="center"/>
      <protection locked="0"/>
    </xf>
    <xf numFmtId="0" fontId="17" fillId="0" borderId="2" xfId="3" applyFont="1" applyBorder="1" applyAlignment="1" applyProtection="1">
      <alignment horizontal="center" vertical="center" wrapText="1"/>
      <protection locked="0"/>
    </xf>
    <xf numFmtId="0" fontId="17" fillId="0" borderId="2" xfId="3" applyFont="1" applyBorder="1" applyAlignment="1" applyProtection="1">
      <alignment horizontal="center" vertical="center"/>
      <protection locked="0"/>
    </xf>
    <xf numFmtId="0" fontId="17" fillId="0" borderId="3" xfId="3" applyFont="1" applyBorder="1" applyAlignment="1" applyProtection="1">
      <alignment horizontal="center" vertical="center"/>
      <protection locked="0"/>
    </xf>
    <xf numFmtId="0" fontId="17" fillId="4" borderId="22" xfId="3" applyFont="1" applyFill="1" applyBorder="1" applyAlignment="1" applyProtection="1">
      <alignment horizontal="center" vertical="center"/>
      <protection locked="0"/>
    </xf>
    <xf numFmtId="0" fontId="17" fillId="4" borderId="0" xfId="3" applyFont="1" applyFill="1" applyAlignment="1" applyProtection="1">
      <alignment horizontal="center" vertical="center" wrapText="1"/>
      <protection locked="0"/>
    </xf>
    <xf numFmtId="0" fontId="17" fillId="4" borderId="0" xfId="3" applyFont="1" applyFill="1" applyAlignment="1" applyProtection="1">
      <alignment horizontal="center" vertical="center"/>
      <protection locked="0"/>
    </xf>
    <xf numFmtId="0" fontId="17" fillId="4" borderId="23" xfId="3" applyFont="1" applyFill="1" applyBorder="1" applyAlignment="1" applyProtection="1">
      <alignment horizontal="center" vertical="center"/>
      <protection locked="0"/>
    </xf>
    <xf numFmtId="0" fontId="16" fillId="4" borderId="22" xfId="3" applyFont="1" applyFill="1" applyBorder="1" applyAlignment="1" applyProtection="1">
      <alignment vertical="center"/>
      <protection locked="0"/>
    </xf>
    <xf numFmtId="0" fontId="16" fillId="4" borderId="23" xfId="3" applyFont="1" applyFill="1" applyBorder="1" applyAlignment="1" applyProtection="1">
      <alignment vertical="center"/>
      <protection locked="0"/>
    </xf>
    <xf numFmtId="0" fontId="24" fillId="0" borderId="22" xfId="0" applyFont="1" applyBorder="1">
      <alignment vertical="center"/>
    </xf>
    <xf numFmtId="0" fontId="16" fillId="0" borderId="23" xfId="0" applyFont="1" applyBorder="1">
      <alignment vertical="center"/>
    </xf>
    <xf numFmtId="0" fontId="16" fillId="0" borderId="22" xfId="0" applyFont="1" applyBorder="1">
      <alignment vertical="center"/>
    </xf>
    <xf numFmtId="0" fontId="16" fillId="0" borderId="17" xfId="0" applyFont="1" applyBorder="1">
      <alignment vertical="center"/>
    </xf>
    <xf numFmtId="180" fontId="51" fillId="0" borderId="17" xfId="0" applyNumberFormat="1" applyFont="1" applyBorder="1">
      <alignment vertical="center"/>
    </xf>
    <xf numFmtId="0" fontId="16" fillId="0" borderId="18" xfId="0" applyFont="1" applyBorder="1" applyAlignment="1">
      <alignment horizontal="center" vertical="center"/>
    </xf>
    <xf numFmtId="0" fontId="16" fillId="0" borderId="25" xfId="0" applyFont="1" applyBorder="1">
      <alignment vertical="center"/>
    </xf>
    <xf numFmtId="0" fontId="16" fillId="0" borderId="26" xfId="0" applyFont="1" applyBorder="1">
      <alignment vertical="center"/>
    </xf>
    <xf numFmtId="0" fontId="16" fillId="0" borderId="27" xfId="0" applyFont="1" applyBorder="1">
      <alignment vertical="center"/>
    </xf>
    <xf numFmtId="0" fontId="24" fillId="0" borderId="20" xfId="0" applyFont="1" applyBorder="1">
      <alignment vertical="center"/>
    </xf>
    <xf numFmtId="0" fontId="16" fillId="0" borderId="19" xfId="0" applyFont="1" applyBorder="1">
      <alignment vertical="center"/>
    </xf>
    <xf numFmtId="0" fontId="53" fillId="0" borderId="22" xfId="0" applyFont="1" applyBorder="1" applyAlignment="1">
      <alignment horizontal="justify" vertical="center"/>
    </xf>
    <xf numFmtId="180" fontId="50" fillId="0" borderId="17" xfId="0" applyNumberFormat="1" applyFont="1" applyBorder="1" applyAlignment="1">
      <alignment horizontal="center" vertical="center"/>
    </xf>
    <xf numFmtId="2" fontId="50" fillId="0" borderId="17" xfId="0" applyNumberFormat="1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51" fillId="0" borderId="26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181" fontId="51" fillId="0" borderId="26" xfId="0" applyNumberFormat="1" applyFont="1" applyBorder="1" applyAlignment="1">
      <alignment horizontal="center" vertical="center"/>
    </xf>
    <xf numFmtId="0" fontId="24" fillId="0" borderId="20" xfId="0" applyFont="1" applyBorder="1" applyAlignment="1">
      <alignment horizontal="left" vertical="center"/>
    </xf>
    <xf numFmtId="0" fontId="51" fillId="0" borderId="19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181" fontId="51" fillId="0" borderId="19" xfId="0" applyNumberFormat="1" applyFont="1" applyBorder="1" applyAlignment="1">
      <alignment horizontal="center" vertical="center"/>
    </xf>
    <xf numFmtId="0" fontId="16" fillId="0" borderId="21" xfId="0" applyFont="1" applyBorder="1">
      <alignment vertical="center"/>
    </xf>
    <xf numFmtId="181" fontId="50" fillId="0" borderId="17" xfId="0" applyNumberFormat="1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24" fillId="0" borderId="26" xfId="3" applyFont="1" applyBorder="1" applyAlignment="1">
      <alignment horizontal="center" vertical="center" wrapText="1"/>
    </xf>
    <xf numFmtId="180" fontId="52" fillId="0" borderId="26" xfId="3" applyNumberFormat="1" applyFont="1" applyBorder="1" applyAlignment="1">
      <alignment horizontal="center" vertical="center"/>
    </xf>
    <xf numFmtId="0" fontId="16" fillId="0" borderId="20" xfId="0" applyFont="1" applyBorder="1">
      <alignment vertical="center"/>
    </xf>
    <xf numFmtId="0" fontId="51" fillId="0" borderId="17" xfId="0" applyFont="1" applyBorder="1">
      <alignment vertical="center"/>
    </xf>
    <xf numFmtId="0" fontId="51" fillId="0" borderId="17" xfId="0" applyFont="1" applyBorder="1" applyAlignment="1">
      <alignment horizontal="right" vertical="center"/>
    </xf>
    <xf numFmtId="0" fontId="50" fillId="0" borderId="17" xfId="0" applyFont="1" applyBorder="1" applyAlignment="1">
      <alignment horizontal="center" vertical="center"/>
    </xf>
    <xf numFmtId="0" fontId="51" fillId="0" borderId="17" xfId="0" applyFont="1" applyBorder="1" applyAlignment="1">
      <alignment horizontal="center" vertical="center"/>
    </xf>
    <xf numFmtId="0" fontId="51" fillId="0" borderId="17" xfId="0" applyFont="1" applyBorder="1" applyAlignment="1">
      <alignment horizontal="left" vertical="center"/>
    </xf>
    <xf numFmtId="2" fontId="50" fillId="0" borderId="18" xfId="0" applyNumberFormat="1" applyFont="1" applyBorder="1" applyAlignment="1">
      <alignment horizontal="center" vertical="center"/>
    </xf>
    <xf numFmtId="180" fontId="16" fillId="0" borderId="18" xfId="0" applyNumberFormat="1" applyFont="1" applyBorder="1" applyAlignment="1">
      <alignment horizontal="center" vertical="center"/>
    </xf>
    <xf numFmtId="182" fontId="16" fillId="8" borderId="52" xfId="0" applyNumberFormat="1" applyFont="1" applyFill="1" applyBorder="1" applyAlignment="1">
      <alignment horizontal="center" vertical="center"/>
    </xf>
    <xf numFmtId="182" fontId="16" fillId="8" borderId="53" xfId="0" applyNumberFormat="1" applyFont="1" applyFill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0" fontId="16" fillId="0" borderId="60" xfId="0" applyFont="1" applyBorder="1" applyAlignment="1">
      <alignment horizontal="center" vertical="center"/>
    </xf>
    <xf numFmtId="0" fontId="16" fillId="0" borderId="6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8" fillId="21" borderId="1" xfId="6" applyFont="1" applyFill="1" applyBorder="1" applyAlignment="1">
      <alignment horizontal="center" vertical="center"/>
    </xf>
    <xf numFmtId="0" fontId="39" fillId="21" borderId="0" xfId="6" applyFont="1" applyFill="1" applyAlignment="1">
      <alignment horizontal="center"/>
    </xf>
    <xf numFmtId="0" fontId="39" fillId="22" borderId="1" xfId="6" applyFont="1" applyFill="1" applyBorder="1" applyAlignment="1">
      <alignment horizontal="center" vertical="center"/>
    </xf>
    <xf numFmtId="189" fontId="39" fillId="22" borderId="1" xfId="6" applyNumberFormat="1" applyFont="1" applyFill="1" applyBorder="1" applyAlignment="1">
      <alignment horizontal="center" vertical="center"/>
    </xf>
    <xf numFmtId="2" fontId="39" fillId="22" borderId="1" xfId="6" applyNumberFormat="1" applyFont="1" applyFill="1" applyBorder="1" applyAlignment="1">
      <alignment horizontal="center" vertical="center"/>
    </xf>
    <xf numFmtId="176" fontId="39" fillId="22" borderId="1" xfId="6" applyNumberFormat="1" applyFont="1" applyFill="1" applyBorder="1" applyAlignment="1">
      <alignment horizontal="center" vertical="center"/>
    </xf>
    <xf numFmtId="0" fontId="39" fillId="22" borderId="0" xfId="6" applyFont="1" applyFill="1" applyAlignment="1">
      <alignment horizontal="center"/>
    </xf>
    <xf numFmtId="0" fontId="39" fillId="23" borderId="1" xfId="6" applyFont="1" applyFill="1" applyBorder="1" applyAlignment="1">
      <alignment horizontal="center" vertical="center"/>
    </xf>
    <xf numFmtId="189" fontId="39" fillId="23" borderId="1" xfId="6" applyNumberFormat="1" applyFont="1" applyFill="1" applyBorder="1" applyAlignment="1">
      <alignment horizontal="center" vertical="center"/>
    </xf>
    <xf numFmtId="2" fontId="39" fillId="23" borderId="1" xfId="6" applyNumberFormat="1" applyFont="1" applyFill="1" applyBorder="1" applyAlignment="1">
      <alignment horizontal="center" vertical="center"/>
    </xf>
    <xf numFmtId="176" fontId="39" fillId="23" borderId="1" xfId="6" applyNumberFormat="1" applyFont="1" applyFill="1" applyBorder="1" applyAlignment="1">
      <alignment horizontal="center" vertical="center"/>
    </xf>
    <xf numFmtId="0" fontId="39" fillId="23" borderId="0" xfId="6" applyFont="1" applyFill="1" applyAlignment="1">
      <alignment horizontal="center"/>
    </xf>
    <xf numFmtId="0" fontId="39" fillId="17" borderId="1" xfId="6" applyFont="1" applyFill="1" applyBorder="1" applyAlignment="1">
      <alignment horizontal="center" vertical="center"/>
    </xf>
    <xf numFmtId="189" fontId="39" fillId="17" borderId="1" xfId="6" applyNumberFormat="1" applyFont="1" applyFill="1" applyBorder="1" applyAlignment="1">
      <alignment horizontal="center" vertical="center"/>
    </xf>
    <xf numFmtId="2" fontId="39" fillId="17" borderId="1" xfId="6" applyNumberFormat="1" applyFont="1" applyFill="1" applyBorder="1" applyAlignment="1">
      <alignment horizontal="center" vertical="center"/>
    </xf>
    <xf numFmtId="176" fontId="39" fillId="17" borderId="1" xfId="6" applyNumberFormat="1" applyFont="1" applyFill="1" applyBorder="1" applyAlignment="1">
      <alignment horizontal="center" vertical="center"/>
    </xf>
    <xf numFmtId="0" fontId="39" fillId="17" borderId="0" xfId="6" applyFont="1" applyFill="1" applyAlignment="1">
      <alignment horizontal="center"/>
    </xf>
    <xf numFmtId="0" fontId="39" fillId="0" borderId="0" xfId="6" applyFont="1" applyAlignment="1">
      <alignment horizontal="center"/>
    </xf>
    <xf numFmtId="180" fontId="24" fillId="20" borderId="59" xfId="0" applyNumberFormat="1" applyFont="1" applyFill="1" applyBorder="1" applyAlignment="1">
      <alignment horizontal="center" vertical="center"/>
    </xf>
    <xf numFmtId="0" fontId="24" fillId="15" borderId="6" xfId="0" applyFont="1" applyFill="1" applyBorder="1" applyAlignment="1">
      <alignment horizontal="center" vertical="center"/>
    </xf>
    <xf numFmtId="0" fontId="24" fillId="15" borderId="8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18" fillId="24" borderId="6" xfId="3" applyFont="1" applyFill="1" applyBorder="1" applyAlignment="1" applyProtection="1">
      <alignment horizontal="center" vertical="center"/>
      <protection locked="0"/>
    </xf>
    <xf numFmtId="0" fontId="18" fillId="24" borderId="1" xfId="3" applyFont="1" applyFill="1" applyBorder="1" applyAlignment="1" applyProtection="1">
      <alignment horizontal="center" vertical="center"/>
      <protection locked="0"/>
    </xf>
    <xf numFmtId="0" fontId="60" fillId="0" borderId="0" xfId="0" applyFont="1">
      <alignment vertical="center"/>
    </xf>
    <xf numFmtId="187" fontId="39" fillId="22" borderId="1" xfId="6" applyNumberFormat="1" applyFont="1" applyFill="1" applyBorder="1" applyAlignment="1">
      <alignment horizontal="center" vertical="center"/>
    </xf>
    <xf numFmtId="187" fontId="39" fillId="23" borderId="1" xfId="6" applyNumberFormat="1" applyFont="1" applyFill="1" applyBorder="1" applyAlignment="1">
      <alignment horizontal="center" vertical="center"/>
    </xf>
    <xf numFmtId="187" fontId="39" fillId="17" borderId="1" xfId="6" applyNumberFormat="1" applyFont="1" applyFill="1" applyBorder="1" applyAlignment="1">
      <alignment horizontal="center" vertical="center"/>
    </xf>
    <xf numFmtId="0" fontId="39" fillId="22" borderId="1" xfId="6" applyNumberFormat="1" applyFont="1" applyFill="1" applyBorder="1" applyAlignment="1">
      <alignment horizontal="center" vertical="center"/>
    </xf>
    <xf numFmtId="0" fontId="39" fillId="23" borderId="1" xfId="6" applyNumberFormat="1" applyFont="1" applyFill="1" applyBorder="1" applyAlignment="1">
      <alignment horizontal="center" vertical="center"/>
    </xf>
    <xf numFmtId="0" fontId="39" fillId="17" borderId="1" xfId="6" applyNumberFormat="1" applyFont="1" applyFill="1" applyBorder="1" applyAlignment="1">
      <alignment horizontal="center" vertical="center"/>
    </xf>
    <xf numFmtId="0" fontId="39" fillId="0" borderId="0" xfId="6" applyNumberFormat="1" applyFont="1" applyAlignment="1">
      <alignment horizontal="center"/>
    </xf>
    <xf numFmtId="0" fontId="58" fillId="21" borderId="1" xfId="6" applyNumberFormat="1" applyFont="1" applyFill="1" applyBorder="1" applyAlignment="1">
      <alignment horizontal="center" vertical="center"/>
    </xf>
    <xf numFmtId="187" fontId="39" fillId="0" borderId="0" xfId="6" applyNumberFormat="1" applyFont="1" applyAlignment="1">
      <alignment horizontal="center"/>
    </xf>
    <xf numFmtId="0" fontId="61" fillId="0" borderId="0" xfId="0" applyFont="1" applyAlignment="1">
      <alignment horizontal="center" vertical="center"/>
    </xf>
    <xf numFmtId="178" fontId="16" fillId="0" borderId="0" xfId="0" applyNumberFormat="1" applyFont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7" fillId="8" borderId="21" xfId="0" applyFont="1" applyFill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16" fillId="2" borderId="29" xfId="0" applyFont="1" applyFill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 shrinkToFit="1"/>
    </xf>
    <xf numFmtId="0" fontId="16" fillId="2" borderId="7" xfId="0" applyFont="1" applyFill="1" applyBorder="1" applyAlignment="1">
      <alignment horizontal="center" vertical="center"/>
    </xf>
    <xf numFmtId="0" fontId="61" fillId="0" borderId="0" xfId="0" applyFont="1" applyAlignment="1">
      <alignment vertical="center"/>
    </xf>
    <xf numFmtId="0" fontId="61" fillId="22" borderId="6" xfId="0" applyFont="1" applyFill="1" applyBorder="1" applyAlignment="1">
      <alignment horizontal="center" vertical="center"/>
    </xf>
    <xf numFmtId="0" fontId="16" fillId="22" borderId="7" xfId="0" applyFont="1" applyFill="1" applyBorder="1" applyAlignment="1">
      <alignment horizontal="center" vertical="center"/>
    </xf>
    <xf numFmtId="0" fontId="16" fillId="23" borderId="3" xfId="0" applyFont="1" applyFill="1" applyBorder="1" applyAlignment="1">
      <alignment horizontal="center" vertical="center"/>
    </xf>
    <xf numFmtId="0" fontId="16" fillId="4" borderId="1" xfId="3" applyFont="1" applyFill="1" applyBorder="1" applyAlignment="1" applyProtection="1">
      <alignment horizontal="center" vertical="center"/>
      <protection locked="0"/>
    </xf>
    <xf numFmtId="0" fontId="18" fillId="2" borderId="39" xfId="0" applyFont="1" applyFill="1" applyBorder="1" applyAlignment="1">
      <alignment horizontal="center" vertical="center"/>
    </xf>
    <xf numFmtId="0" fontId="16" fillId="2" borderId="65" xfId="0" applyFont="1" applyFill="1" applyBorder="1" applyAlignment="1">
      <alignment horizontal="center" vertical="center"/>
    </xf>
    <xf numFmtId="0" fontId="16" fillId="2" borderId="36" xfId="0" applyFont="1" applyFill="1" applyBorder="1" applyAlignment="1">
      <alignment horizontal="center" vertical="center"/>
    </xf>
    <xf numFmtId="0" fontId="16" fillId="10" borderId="36" xfId="0" applyFont="1" applyFill="1" applyBorder="1" applyAlignment="1">
      <alignment horizontal="center" vertical="center"/>
    </xf>
    <xf numFmtId="182" fontId="16" fillId="8" borderId="5" xfId="0" applyNumberFormat="1" applyFont="1" applyFill="1" applyBorder="1" applyAlignment="1">
      <alignment horizontal="center" vertical="center"/>
    </xf>
    <xf numFmtId="182" fontId="16" fillId="8" borderId="56" xfId="0" applyNumberFormat="1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64" xfId="0" applyFont="1" applyFill="1" applyBorder="1" applyAlignment="1">
      <alignment horizontal="center" vertical="center"/>
    </xf>
    <xf numFmtId="180" fontId="18" fillId="24" borderId="1" xfId="3" applyNumberFormat="1" applyFont="1" applyFill="1" applyBorder="1" applyAlignment="1" applyProtection="1">
      <alignment horizontal="center" vertical="center"/>
      <protection locked="0"/>
    </xf>
    <xf numFmtId="182" fontId="16" fillId="0" borderId="1" xfId="3" applyNumberFormat="1" applyFont="1" applyBorder="1" applyAlignment="1" applyProtection="1">
      <alignment horizontal="center" vertical="center"/>
      <protection locked="0"/>
    </xf>
    <xf numFmtId="180" fontId="16" fillId="0" borderId="41" xfId="3" applyNumberFormat="1" applyFont="1" applyBorder="1" applyAlignment="1" applyProtection="1">
      <alignment horizontal="center" vertical="center"/>
      <protection locked="0"/>
    </xf>
    <xf numFmtId="2" fontId="16" fillId="4" borderId="1" xfId="3" applyNumberFormat="1" applyFont="1" applyFill="1" applyBorder="1" applyAlignment="1" applyProtection="1">
      <alignment horizontal="center" vertical="center"/>
      <protection locked="0"/>
    </xf>
    <xf numFmtId="188" fontId="18" fillId="17" borderId="1" xfId="3" applyNumberFormat="1" applyFont="1" applyFill="1" applyBorder="1" applyAlignment="1" applyProtection="1">
      <alignment horizontal="center" vertical="center"/>
      <protection locked="0"/>
    </xf>
    <xf numFmtId="0" fontId="18" fillId="17" borderId="1" xfId="3" applyFont="1" applyFill="1" applyBorder="1" applyAlignment="1" applyProtection="1">
      <alignment horizontal="center" vertical="center"/>
      <protection locked="0"/>
    </xf>
    <xf numFmtId="182" fontId="18" fillId="17" borderId="1" xfId="3" applyNumberFormat="1" applyFont="1" applyFill="1" applyBorder="1" applyAlignment="1" applyProtection="1">
      <alignment horizontal="center" vertical="center"/>
      <protection locked="0"/>
    </xf>
    <xf numFmtId="188" fontId="18" fillId="17" borderId="8" xfId="3" applyNumberFormat="1" applyFont="1" applyFill="1" applyBorder="1" applyAlignment="1" applyProtection="1">
      <alignment horizontal="center" vertical="center"/>
      <protection locked="0"/>
    </xf>
    <xf numFmtId="0" fontId="26" fillId="18" borderId="37" xfId="0" applyFont="1" applyFill="1" applyBorder="1" applyAlignment="1">
      <alignment horizontal="center" vertical="center"/>
    </xf>
    <xf numFmtId="2" fontId="19" fillId="0" borderId="1" xfId="0" applyNumberFormat="1" applyFont="1" applyBorder="1">
      <alignment vertical="center"/>
    </xf>
    <xf numFmtId="0" fontId="18" fillId="23" borderId="6" xfId="3" applyFont="1" applyFill="1" applyBorder="1" applyAlignment="1" applyProtection="1">
      <alignment horizontal="center" vertical="center"/>
      <protection locked="0"/>
    </xf>
    <xf numFmtId="0" fontId="18" fillId="23" borderId="1" xfId="3" applyFont="1" applyFill="1" applyBorder="1" applyAlignment="1" applyProtection="1">
      <alignment horizontal="center" vertical="center"/>
      <protection locked="0"/>
    </xf>
    <xf numFmtId="188" fontId="18" fillId="23" borderId="1" xfId="3" applyNumberFormat="1" applyFont="1" applyFill="1" applyBorder="1" applyAlignment="1" applyProtection="1">
      <alignment horizontal="center" vertical="center"/>
      <protection locked="0"/>
    </xf>
    <xf numFmtId="182" fontId="18" fillId="23" borderId="1" xfId="3" applyNumberFormat="1" applyFont="1" applyFill="1" applyBorder="1" applyAlignment="1" applyProtection="1">
      <alignment horizontal="center" vertical="center"/>
      <protection locked="0"/>
    </xf>
    <xf numFmtId="180" fontId="18" fillId="23" borderId="1" xfId="3" applyNumberFormat="1" applyFont="1" applyFill="1" applyBorder="1" applyAlignment="1" applyProtection="1">
      <alignment horizontal="center" vertical="center"/>
      <protection locked="0"/>
    </xf>
    <xf numFmtId="188" fontId="18" fillId="23" borderId="8" xfId="3" applyNumberFormat="1" applyFont="1" applyFill="1" applyBorder="1" applyAlignment="1" applyProtection="1">
      <alignment horizontal="center" vertical="center"/>
      <protection locked="0"/>
    </xf>
    <xf numFmtId="182" fontId="19" fillId="8" borderId="2" xfId="0" applyNumberFormat="1" applyFont="1" applyFill="1" applyBorder="1" applyAlignment="1">
      <alignment horizontal="center" vertical="center"/>
    </xf>
    <xf numFmtId="2" fontId="18" fillId="0" borderId="1" xfId="3" applyNumberFormat="1" applyFont="1" applyBorder="1" applyAlignment="1" applyProtection="1">
      <alignment horizontal="center" vertical="center"/>
      <protection locked="0"/>
    </xf>
    <xf numFmtId="183" fontId="19" fillId="8" borderId="1" xfId="0" applyNumberFormat="1" applyFont="1" applyFill="1" applyBorder="1">
      <alignment vertical="center"/>
    </xf>
    <xf numFmtId="0" fontId="28" fillId="0" borderId="0" xfId="0" applyFont="1">
      <alignment vertical="center"/>
    </xf>
    <xf numFmtId="0" fontId="24" fillId="0" borderId="22" xfId="0" applyFont="1" applyBorder="1" applyAlignment="1">
      <alignment horizontal="center" vertical="center"/>
    </xf>
    <xf numFmtId="182" fontId="50" fillId="0" borderId="17" xfId="0" applyNumberFormat="1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180" fontId="52" fillId="0" borderId="26" xfId="0" applyNumberFormat="1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181" fontId="50" fillId="0" borderId="0" xfId="0" applyNumberFormat="1" applyFont="1" applyBorder="1" applyAlignment="1">
      <alignment horizontal="center" vertical="center"/>
    </xf>
    <xf numFmtId="0" fontId="24" fillId="0" borderId="0" xfId="3" applyFont="1" applyBorder="1" applyAlignment="1">
      <alignment horizontal="center" vertical="center" wrapText="1"/>
    </xf>
    <xf numFmtId="177" fontId="52" fillId="0" borderId="0" xfId="3" applyNumberFormat="1" applyFont="1" applyBorder="1" applyAlignment="1">
      <alignment horizontal="center" vertical="center"/>
    </xf>
    <xf numFmtId="180" fontId="52" fillId="0" borderId="23" xfId="3" applyNumberFormat="1" applyFont="1" applyBorder="1" applyAlignment="1">
      <alignment horizontal="center" vertical="center"/>
    </xf>
    <xf numFmtId="180" fontId="52" fillId="0" borderId="0" xfId="0" applyNumberFormat="1" applyFont="1" applyBorder="1" applyAlignment="1">
      <alignment horizontal="center" vertical="center"/>
    </xf>
    <xf numFmtId="0" fontId="50" fillId="0" borderId="23" xfId="0" applyFont="1" applyBorder="1" applyAlignment="1">
      <alignment horizontal="center" vertical="center"/>
    </xf>
    <xf numFmtId="0" fontId="25" fillId="0" borderId="26" xfId="0" applyFont="1" applyBorder="1">
      <alignment vertical="center"/>
    </xf>
    <xf numFmtId="180" fontId="50" fillId="0" borderId="26" xfId="0" applyNumberFormat="1" applyFont="1" applyBorder="1" applyAlignment="1">
      <alignment horizontal="center" vertical="center"/>
    </xf>
    <xf numFmtId="177" fontId="50" fillId="0" borderId="26" xfId="0" applyNumberFormat="1" applyFont="1" applyBorder="1" applyAlignment="1">
      <alignment horizontal="center" vertical="center"/>
    </xf>
    <xf numFmtId="0" fontId="24" fillId="0" borderId="26" xfId="0" applyFont="1" applyBorder="1">
      <alignment vertical="center"/>
    </xf>
    <xf numFmtId="0" fontId="50" fillId="0" borderId="26" xfId="0" applyFont="1" applyBorder="1" applyAlignment="1">
      <alignment horizontal="center" vertical="center"/>
    </xf>
    <xf numFmtId="0" fontId="50" fillId="0" borderId="27" xfId="0" applyFont="1" applyBorder="1" applyAlignment="1">
      <alignment horizontal="center" vertical="center"/>
    </xf>
    <xf numFmtId="180" fontId="51" fillId="0" borderId="0" xfId="0" applyNumberFormat="1" applyFont="1" applyBorder="1">
      <alignment vertical="center"/>
    </xf>
    <xf numFmtId="180" fontId="50" fillId="0" borderId="0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right" vertical="center"/>
    </xf>
    <xf numFmtId="177" fontId="50" fillId="0" borderId="0" xfId="0" applyNumberFormat="1" applyFont="1" applyBorder="1" applyAlignment="1">
      <alignment horizontal="center" vertical="center"/>
    </xf>
    <xf numFmtId="2" fontId="50" fillId="0" borderId="0" xfId="0" applyNumberFormat="1" applyFont="1" applyBorder="1" applyAlignment="1">
      <alignment horizontal="center" vertical="center"/>
    </xf>
    <xf numFmtId="182" fontId="50" fillId="0" borderId="0" xfId="0" applyNumberFormat="1" applyFont="1" applyBorder="1" applyAlignment="1">
      <alignment horizontal="center" vertical="center"/>
    </xf>
    <xf numFmtId="181" fontId="52" fillId="0" borderId="0" xfId="0" applyNumberFormat="1" applyFont="1" applyBorder="1" applyAlignment="1">
      <alignment horizontal="center" vertical="center"/>
    </xf>
    <xf numFmtId="0" fontId="50" fillId="0" borderId="0" xfId="0" applyFont="1" applyBorder="1" applyAlignment="1">
      <alignment horizontal="center" vertical="center"/>
    </xf>
    <xf numFmtId="0" fontId="55" fillId="0" borderId="0" xfId="0" applyFont="1" applyBorder="1">
      <alignment vertical="center"/>
    </xf>
    <xf numFmtId="2" fontId="56" fillId="0" borderId="0" xfId="3" applyNumberFormat="1" applyFont="1" applyBorder="1" applyAlignment="1">
      <alignment horizontal="center" vertical="center"/>
    </xf>
    <xf numFmtId="0" fontId="51" fillId="0" borderId="0" xfId="0" applyFont="1" applyBorder="1" applyAlignment="1">
      <alignment horizontal="center" vertical="center"/>
    </xf>
    <xf numFmtId="181" fontId="51" fillId="0" borderId="0" xfId="0" applyNumberFormat="1" applyFont="1" applyBorder="1" applyAlignment="1">
      <alignment horizontal="center" vertical="center"/>
    </xf>
    <xf numFmtId="0" fontId="24" fillId="0" borderId="0" xfId="0" applyFont="1" applyBorder="1" applyAlignment="1">
      <alignment horizontal="left" vertical="center"/>
    </xf>
    <xf numFmtId="180" fontId="52" fillId="0" borderId="0" xfId="3" applyNumberFormat="1" applyFont="1" applyBorder="1" applyAlignment="1">
      <alignment horizontal="center" vertical="center"/>
    </xf>
    <xf numFmtId="0" fontId="25" fillId="0" borderId="0" xfId="0" applyFont="1" applyBorder="1">
      <alignment vertical="center"/>
    </xf>
    <xf numFmtId="0" fontId="24" fillId="0" borderId="0" xfId="0" applyFont="1" applyBorder="1">
      <alignment vertical="center"/>
    </xf>
    <xf numFmtId="0" fontId="24" fillId="0" borderId="0" xfId="3" applyFont="1" applyBorder="1" applyAlignment="1">
      <alignment vertical="center" wrapText="1"/>
    </xf>
    <xf numFmtId="0" fontId="28" fillId="4" borderId="0" xfId="3" quotePrefix="1" applyFont="1" applyFill="1" applyAlignment="1" applyProtection="1">
      <alignment vertical="center"/>
      <protection locked="0"/>
    </xf>
    <xf numFmtId="0" fontId="63" fillId="17" borderId="1" xfId="3" applyFont="1" applyFill="1" applyBorder="1" applyAlignment="1" applyProtection="1">
      <alignment horizontal="center" vertical="center"/>
      <protection locked="0"/>
    </xf>
    <xf numFmtId="0" fontId="63" fillId="23" borderId="1" xfId="3" applyFont="1" applyFill="1" applyBorder="1" applyAlignment="1" applyProtection="1">
      <alignment horizontal="center" vertical="center"/>
      <protection locked="0"/>
    </xf>
    <xf numFmtId="0" fontId="16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6" fontId="63" fillId="25" borderId="1" xfId="3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/>
    </xf>
    <xf numFmtId="0" fontId="39" fillId="8" borderId="34" xfId="0" applyFont="1" applyFill="1" applyBorder="1" applyAlignment="1">
      <alignment horizontal="center" vertical="center"/>
    </xf>
    <xf numFmtId="0" fontId="39" fillId="8" borderId="67" xfId="0" applyFont="1" applyFill="1" applyBorder="1" applyAlignment="1">
      <alignment horizontal="center" vertical="center"/>
    </xf>
    <xf numFmtId="0" fontId="39" fillId="8" borderId="68" xfId="0" applyFont="1" applyFill="1" applyBorder="1" applyAlignment="1">
      <alignment horizontal="center" vertical="center"/>
    </xf>
    <xf numFmtId="0" fontId="39" fillId="8" borderId="25" xfId="0" applyFont="1" applyFill="1" applyBorder="1" applyAlignment="1">
      <alignment horizontal="center" vertical="center"/>
    </xf>
    <xf numFmtId="182" fontId="16" fillId="10" borderId="39" xfId="0" applyNumberFormat="1" applyFont="1" applyFill="1" applyBorder="1" applyAlignment="1">
      <alignment horizontal="center" vertical="center"/>
    </xf>
    <xf numFmtId="182" fontId="16" fillId="10" borderId="1" xfId="0" applyNumberFormat="1" applyFont="1" applyFill="1" applyBorder="1" applyAlignment="1">
      <alignment horizontal="center" vertical="center"/>
    </xf>
    <xf numFmtId="182" fontId="16" fillId="10" borderId="2" xfId="0" applyNumberFormat="1" applyFont="1" applyFill="1" applyBorder="1" applyAlignment="1">
      <alignment horizontal="center" vertical="center"/>
    </xf>
    <xf numFmtId="180" fontId="17" fillId="0" borderId="1" xfId="3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2" borderId="12" xfId="0" applyFont="1" applyFill="1" applyBorder="1" applyAlignment="1">
      <alignment horizontal="center" vertical="center"/>
    </xf>
    <xf numFmtId="2" fontId="39" fillId="0" borderId="1" xfId="0" applyNumberFormat="1" applyFont="1" applyBorder="1" applyAlignment="1">
      <alignment horizontal="center" vertical="center"/>
    </xf>
    <xf numFmtId="2" fontId="39" fillId="0" borderId="2" xfId="0" applyNumberFormat="1" applyFont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180" fontId="16" fillId="8" borderId="1" xfId="0" applyNumberFormat="1" applyFont="1" applyFill="1" applyBorder="1" applyAlignment="1">
      <alignment horizontal="center" vertical="center"/>
    </xf>
    <xf numFmtId="180" fontId="16" fillId="8" borderId="2" xfId="0" applyNumberFormat="1" applyFont="1" applyFill="1" applyBorder="1" applyAlignment="1">
      <alignment horizontal="center" vertical="center"/>
    </xf>
    <xf numFmtId="182" fontId="16" fillId="8" borderId="1" xfId="0" applyNumberFormat="1" applyFont="1" applyFill="1" applyBorder="1" applyAlignment="1">
      <alignment horizontal="center" vertical="center"/>
    </xf>
    <xf numFmtId="182" fontId="16" fillId="8" borderId="2" xfId="0" applyNumberFormat="1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9" fillId="17" borderId="22" xfId="0" applyFont="1" applyFill="1" applyBorder="1" applyAlignment="1">
      <alignment horizontal="center"/>
    </xf>
    <xf numFmtId="0" fontId="59" fillId="17" borderId="0" xfId="0" applyFont="1" applyFill="1" applyBorder="1" applyAlignment="1">
      <alignment horizontal="center"/>
    </xf>
    <xf numFmtId="0" fontId="59" fillId="17" borderId="23" xfId="0" applyFont="1" applyFill="1" applyBorder="1" applyAlignment="1">
      <alignment horizontal="center"/>
    </xf>
    <xf numFmtId="0" fontId="19" fillId="0" borderId="0" xfId="5" applyFont="1" applyAlignment="1" applyProtection="1">
      <alignment vertical="center"/>
      <protection hidden="1"/>
    </xf>
    <xf numFmtId="0" fontId="70" fillId="0" borderId="0" xfId="5" applyFont="1" applyAlignment="1" applyProtection="1">
      <alignment horizontal="center" vertical="center"/>
      <protection hidden="1"/>
    </xf>
    <xf numFmtId="0" fontId="70" fillId="0" borderId="0" xfId="5" applyFont="1" applyAlignment="1" applyProtection="1">
      <alignment vertical="center"/>
      <protection hidden="1"/>
    </xf>
    <xf numFmtId="0" fontId="71" fillId="9" borderId="49" xfId="5" applyFont="1" applyFill="1" applyBorder="1" applyAlignment="1" applyProtection="1">
      <alignment horizontal="center" vertical="center"/>
      <protection hidden="1"/>
    </xf>
    <xf numFmtId="0" fontId="72" fillId="9" borderId="49" xfId="5" applyFont="1" applyFill="1" applyBorder="1" applyAlignment="1" applyProtection="1">
      <alignment horizontal="center" vertical="center"/>
      <protection hidden="1"/>
    </xf>
    <xf numFmtId="0" fontId="34" fillId="0" borderId="0" xfId="5" applyFont="1" applyAlignment="1" applyProtection="1">
      <alignment vertical="center"/>
      <protection hidden="1"/>
    </xf>
    <xf numFmtId="0" fontId="70" fillId="7" borderId="5" xfId="5" applyFont="1" applyFill="1" applyBorder="1" applyAlignment="1" applyProtection="1">
      <alignment horizontal="center" vertical="center"/>
      <protection hidden="1"/>
    </xf>
    <xf numFmtId="183" fontId="70" fillId="7" borderId="5" xfId="5" applyNumberFormat="1" applyFont="1" applyFill="1" applyBorder="1" applyAlignment="1" applyProtection="1">
      <alignment horizontal="center" vertical="center"/>
      <protection hidden="1"/>
    </xf>
    <xf numFmtId="191" fontId="70" fillId="7" borderId="5" xfId="5" applyNumberFormat="1" applyFont="1" applyFill="1" applyBorder="1" applyAlignment="1" applyProtection="1">
      <alignment horizontal="center" vertical="center"/>
      <protection hidden="1"/>
    </xf>
    <xf numFmtId="0" fontId="70" fillId="7" borderId="1" xfId="5" applyFont="1" applyFill="1" applyBorder="1" applyAlignment="1" applyProtection="1">
      <alignment horizontal="center" vertical="center"/>
      <protection hidden="1"/>
    </xf>
    <xf numFmtId="183" fontId="70" fillId="7" borderId="1" xfId="5" applyNumberFormat="1" applyFont="1" applyFill="1" applyBorder="1" applyAlignment="1" applyProtection="1">
      <alignment horizontal="center" vertical="center"/>
      <protection hidden="1"/>
    </xf>
    <xf numFmtId="191" fontId="70" fillId="7" borderId="1" xfId="5" applyNumberFormat="1" applyFont="1" applyFill="1" applyBorder="1" applyAlignment="1" applyProtection="1">
      <alignment horizontal="center" vertical="center"/>
      <protection hidden="1"/>
    </xf>
    <xf numFmtId="187" fontId="70" fillId="7" borderId="1" xfId="5" applyNumberFormat="1" applyFont="1" applyFill="1" applyBorder="1" applyAlignment="1" applyProtection="1">
      <alignment horizontal="center" vertical="center"/>
      <protection hidden="1"/>
    </xf>
    <xf numFmtId="0" fontId="70" fillId="7" borderId="49" xfId="5" applyFont="1" applyFill="1" applyBorder="1" applyAlignment="1" applyProtection="1">
      <alignment horizontal="center" vertical="center"/>
      <protection hidden="1"/>
    </xf>
    <xf numFmtId="183" fontId="70" fillId="7" borderId="49" xfId="5" applyNumberFormat="1" applyFont="1" applyFill="1" applyBorder="1" applyAlignment="1" applyProtection="1">
      <alignment horizontal="center" vertical="center"/>
      <protection hidden="1"/>
    </xf>
    <xf numFmtId="191" fontId="70" fillId="7" borderId="49" xfId="5" applyNumberFormat="1" applyFont="1" applyFill="1" applyBorder="1" applyAlignment="1" applyProtection="1">
      <alignment horizontal="center" vertical="center"/>
      <protection hidden="1"/>
    </xf>
    <xf numFmtId="187" fontId="70" fillId="7" borderId="49" xfId="5" applyNumberFormat="1" applyFont="1" applyFill="1" applyBorder="1" applyAlignment="1" applyProtection="1">
      <alignment horizontal="center" vertical="center"/>
      <protection hidden="1"/>
    </xf>
    <xf numFmtId="20" fontId="70" fillId="8" borderId="50" xfId="5" applyNumberFormat="1" applyFont="1" applyFill="1" applyBorder="1" applyAlignment="1" applyProtection="1">
      <alignment horizontal="center" vertical="center"/>
      <protection locked="0"/>
    </xf>
    <xf numFmtId="183" fontId="70" fillId="8" borderId="50" xfId="5" applyNumberFormat="1" applyFont="1" applyFill="1" applyBorder="1" applyAlignment="1" applyProtection="1">
      <alignment horizontal="center" vertical="center"/>
      <protection locked="0"/>
    </xf>
    <xf numFmtId="191" fontId="70" fillId="8" borderId="50" xfId="5" applyNumberFormat="1" applyFont="1" applyFill="1" applyBorder="1" applyAlignment="1" applyProtection="1">
      <alignment horizontal="center" vertical="center"/>
      <protection locked="0"/>
    </xf>
    <xf numFmtId="187" fontId="70" fillId="8" borderId="50" xfId="5" applyNumberFormat="1" applyFont="1" applyFill="1" applyBorder="1" applyAlignment="1" applyProtection="1">
      <alignment horizontal="center" vertical="center"/>
      <protection locked="0"/>
    </xf>
    <xf numFmtId="20" fontId="70" fillId="8" borderId="51" xfId="5" applyNumberFormat="1" applyFont="1" applyFill="1" applyBorder="1" applyAlignment="1" applyProtection="1">
      <alignment horizontal="center" vertical="center"/>
      <protection locked="0"/>
    </xf>
    <xf numFmtId="183" fontId="70" fillId="8" borderId="51" xfId="5" applyNumberFormat="1" applyFont="1" applyFill="1" applyBorder="1" applyAlignment="1" applyProtection="1">
      <alignment horizontal="center" vertical="center"/>
      <protection locked="0"/>
    </xf>
    <xf numFmtId="191" fontId="70" fillId="8" borderId="51" xfId="5" applyNumberFormat="1" applyFont="1" applyFill="1" applyBorder="1" applyAlignment="1" applyProtection="1">
      <alignment horizontal="center" vertical="center"/>
      <protection locked="0"/>
    </xf>
    <xf numFmtId="187" fontId="70" fillId="8" borderId="51" xfId="5" applyNumberFormat="1" applyFont="1" applyFill="1" applyBorder="1" applyAlignment="1" applyProtection="1">
      <alignment horizontal="center" vertical="center"/>
      <protection locked="0"/>
    </xf>
    <xf numFmtId="186" fontId="70" fillId="8" borderId="51" xfId="5" applyNumberFormat="1" applyFont="1" applyFill="1" applyBorder="1" applyAlignment="1" applyProtection="1">
      <alignment horizontal="center" vertical="center"/>
      <protection locked="0"/>
    </xf>
    <xf numFmtId="0" fontId="19" fillId="8" borderId="0" xfId="5" applyFont="1" applyFill="1" applyAlignment="1" applyProtection="1">
      <alignment vertical="center"/>
      <protection hidden="1"/>
    </xf>
    <xf numFmtId="20" fontId="70" fillId="8" borderId="69" xfId="5" applyNumberFormat="1" applyFont="1" applyFill="1" applyBorder="1" applyAlignment="1" applyProtection="1">
      <alignment horizontal="center" vertical="center"/>
      <protection locked="0"/>
    </xf>
    <xf numFmtId="186" fontId="70" fillId="8" borderId="69" xfId="5" applyNumberFormat="1" applyFont="1" applyFill="1" applyBorder="1" applyAlignment="1" applyProtection="1">
      <alignment horizontal="center" vertical="center"/>
      <protection locked="0"/>
    </xf>
    <xf numFmtId="0" fontId="73" fillId="0" borderId="0" xfId="3" applyFont="1" applyAlignment="1">
      <alignment horizontal="centerContinuous" vertical="center"/>
    </xf>
    <xf numFmtId="0" fontId="16" fillId="0" borderId="0" xfId="3" applyFont="1" applyAlignment="1">
      <alignment vertical="center"/>
    </xf>
    <xf numFmtId="0" fontId="24" fillId="0" borderId="0" xfId="3" applyFont="1" applyAlignment="1">
      <alignment vertical="center"/>
    </xf>
    <xf numFmtId="0" fontId="16" fillId="0" borderId="17" xfId="3" applyFont="1" applyBorder="1" applyAlignment="1">
      <alignment vertical="center"/>
    </xf>
    <xf numFmtId="0" fontId="16" fillId="0" borderId="18" xfId="3" applyFont="1" applyBorder="1" applyAlignment="1">
      <alignment vertical="center"/>
    </xf>
    <xf numFmtId="177" fontId="16" fillId="0" borderId="17" xfId="3" applyNumberFormat="1" applyFont="1" applyBorder="1" applyAlignment="1">
      <alignment vertical="center"/>
    </xf>
    <xf numFmtId="177" fontId="16" fillId="0" borderId="18" xfId="3" applyNumberFormat="1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23" borderId="8" xfId="0" applyFont="1" applyFill="1" applyBorder="1" applyAlignment="1">
      <alignment horizontal="center" vertical="center"/>
    </xf>
    <xf numFmtId="0" fontId="16" fillId="22" borderId="6" xfId="0" applyFont="1" applyFill="1" applyBorder="1" applyAlignment="1">
      <alignment horizontal="center" vertical="center"/>
    </xf>
    <xf numFmtId="0" fontId="16" fillId="22" borderId="6" xfId="0" applyNumberFormat="1" applyFont="1" applyFill="1" applyBorder="1" applyAlignment="1">
      <alignment horizontal="center" vertical="center"/>
    </xf>
    <xf numFmtId="0" fontId="24" fillId="10" borderId="1" xfId="3" applyFont="1" applyFill="1" applyBorder="1" applyAlignment="1" applyProtection="1">
      <alignment horizontal="center" vertical="center"/>
      <protection locked="0"/>
    </xf>
    <xf numFmtId="181" fontId="24" fillId="10" borderId="1" xfId="3" applyNumberFormat="1" applyFont="1" applyFill="1" applyBorder="1" applyAlignment="1" applyProtection="1">
      <alignment horizontal="center" vertical="center"/>
      <protection locked="0"/>
    </xf>
    <xf numFmtId="0" fontId="16" fillId="0" borderId="1" xfId="0" applyFont="1" applyBorder="1" applyAlignment="1">
      <alignment horizontal="center" vertical="center"/>
    </xf>
    <xf numFmtId="0" fontId="16" fillId="2" borderId="12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22" borderId="29" xfId="0" applyFont="1" applyFill="1" applyBorder="1" applyAlignment="1">
      <alignment horizontal="center" vertical="center"/>
    </xf>
    <xf numFmtId="0" fontId="16" fillId="22" borderId="8" xfId="0" applyNumberFormat="1" applyFont="1" applyFill="1" applyBorder="1" applyAlignment="1">
      <alignment horizontal="center" vertical="center"/>
    </xf>
    <xf numFmtId="0" fontId="16" fillId="22" borderId="8" xfId="0" applyFont="1" applyFill="1" applyBorder="1" applyAlignment="1">
      <alignment horizontal="center" vertical="center"/>
    </xf>
    <xf numFmtId="0" fontId="16" fillId="22" borderId="3" xfId="0" applyFont="1" applyFill="1" applyBorder="1" applyAlignment="1">
      <alignment horizontal="center" vertical="center"/>
    </xf>
    <xf numFmtId="0" fontId="16" fillId="23" borderId="43" xfId="0" applyFont="1" applyFill="1" applyBorder="1" applyAlignment="1">
      <alignment horizontal="center" vertical="center"/>
    </xf>
    <xf numFmtId="0" fontId="16" fillId="23" borderId="44" xfId="0" applyFont="1" applyFill="1" applyBorder="1" applyAlignment="1">
      <alignment horizontal="center" vertical="center"/>
    </xf>
    <xf numFmtId="0" fontId="16" fillId="23" borderId="41" xfId="0" applyFont="1" applyFill="1" applyBorder="1" applyAlignment="1">
      <alignment horizontal="center" vertical="center"/>
    </xf>
    <xf numFmtId="0" fontId="16" fillId="23" borderId="4" xfId="0" applyFont="1" applyFill="1" applyBorder="1" applyAlignment="1">
      <alignment horizontal="center" vertical="center"/>
    </xf>
    <xf numFmtId="0" fontId="16" fillId="22" borderId="43" xfId="0" applyFont="1" applyFill="1" applyBorder="1" applyAlignment="1">
      <alignment horizontal="center" vertical="center"/>
    </xf>
    <xf numFmtId="183" fontId="16" fillId="0" borderId="2" xfId="0" applyNumberFormat="1" applyFont="1" applyBorder="1" applyAlignment="1">
      <alignment horizontal="center" vertical="center"/>
    </xf>
    <xf numFmtId="182" fontId="24" fillId="5" borderId="2" xfId="0" applyNumberFormat="1" applyFont="1" applyFill="1" applyBorder="1">
      <alignment vertical="center"/>
    </xf>
    <xf numFmtId="180" fontId="16" fillId="0" borderId="2" xfId="0" applyNumberFormat="1" applyFont="1" applyBorder="1">
      <alignment vertical="center"/>
    </xf>
    <xf numFmtId="181" fontId="16" fillId="11" borderId="3" xfId="0" applyNumberFormat="1" applyFont="1" applyFill="1" applyBorder="1">
      <alignment vertical="center"/>
    </xf>
    <xf numFmtId="0" fontId="16" fillId="0" borderId="39" xfId="0" applyFont="1" applyBorder="1" applyAlignment="1">
      <alignment horizontal="center" vertical="center"/>
    </xf>
    <xf numFmtId="183" fontId="16" fillId="0" borderId="39" xfId="0" applyNumberFormat="1" applyFont="1" applyBorder="1" applyAlignment="1">
      <alignment horizontal="center" vertical="center"/>
    </xf>
    <xf numFmtId="182" fontId="16" fillId="0" borderId="39" xfId="0" applyNumberFormat="1" applyFont="1" applyBorder="1">
      <alignment vertical="center"/>
    </xf>
    <xf numFmtId="182" fontId="24" fillId="5" borderId="39" xfId="0" applyNumberFormat="1" applyFont="1" applyFill="1" applyBorder="1">
      <alignment vertical="center"/>
    </xf>
    <xf numFmtId="180" fontId="16" fillId="0" borderId="39" xfId="0" applyNumberFormat="1" applyFont="1" applyBorder="1">
      <alignment vertical="center"/>
    </xf>
    <xf numFmtId="181" fontId="16" fillId="11" borderId="43" xfId="0" applyNumberFormat="1" applyFont="1" applyFill="1" applyBorder="1">
      <alignment vertical="center"/>
    </xf>
    <xf numFmtId="182" fontId="16" fillId="0" borderId="15" xfId="0" applyNumberFormat="1" applyFont="1" applyBorder="1">
      <alignment vertical="center"/>
    </xf>
    <xf numFmtId="2" fontId="18" fillId="0" borderId="1" xfId="3" applyNumberFormat="1" applyFont="1" applyBorder="1" applyAlignment="1" applyProtection="1">
      <alignment horizontal="center" vertical="center"/>
      <protection locked="0"/>
    </xf>
    <xf numFmtId="0" fontId="18" fillId="5" borderId="6" xfId="3" applyFont="1" applyFill="1" applyBorder="1" applyAlignment="1" applyProtection="1">
      <alignment horizontal="center" vertical="center"/>
      <protection locked="0"/>
    </xf>
    <xf numFmtId="0" fontId="18" fillId="5" borderId="1" xfId="3" applyFont="1" applyFill="1" applyBorder="1" applyAlignment="1" applyProtection="1">
      <alignment horizontal="center" vertical="center"/>
      <protection locked="0"/>
    </xf>
    <xf numFmtId="188" fontId="18" fillId="5" borderId="1" xfId="3" applyNumberFormat="1" applyFont="1" applyFill="1" applyBorder="1" applyAlignment="1" applyProtection="1">
      <alignment horizontal="center" vertical="center"/>
      <protection locked="0"/>
    </xf>
    <xf numFmtId="182" fontId="18" fillId="5" borderId="1" xfId="3" applyNumberFormat="1" applyFont="1" applyFill="1" applyBorder="1" applyAlignment="1" applyProtection="1">
      <alignment horizontal="center" vertical="center"/>
      <protection locked="0"/>
    </xf>
    <xf numFmtId="180" fontId="18" fillId="5" borderId="1" xfId="3" applyNumberFormat="1" applyFont="1" applyFill="1" applyBorder="1" applyAlignment="1" applyProtection="1">
      <alignment horizontal="center" vertical="center"/>
      <protection locked="0"/>
    </xf>
    <xf numFmtId="188" fontId="18" fillId="5" borderId="8" xfId="3" applyNumberFormat="1" applyFont="1" applyFill="1" applyBorder="1" applyAlignment="1" applyProtection="1">
      <alignment horizontal="center" vertical="center"/>
      <protection locked="0"/>
    </xf>
    <xf numFmtId="0" fontId="63" fillId="5" borderId="1" xfId="3" applyFont="1" applyFill="1" applyBorder="1" applyAlignment="1" applyProtection="1">
      <alignment horizontal="center" vertical="center"/>
      <protection locked="0"/>
    </xf>
    <xf numFmtId="0" fontId="19" fillId="0" borderId="0" xfId="5" applyFont="1" applyFill="1" applyAlignment="1" applyProtection="1">
      <alignment vertical="center"/>
      <protection locked="0"/>
    </xf>
    <xf numFmtId="0" fontId="16" fillId="0" borderId="0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180" fontId="50" fillId="0" borderId="0" xfId="0" applyNumberFormat="1" applyFont="1" applyBorder="1" applyAlignment="1">
      <alignment horizontal="center" vertical="center"/>
    </xf>
    <xf numFmtId="0" fontId="50" fillId="0" borderId="0" xfId="0" applyFont="1" applyBorder="1" applyAlignment="1">
      <alignment horizontal="center" vertical="center"/>
    </xf>
    <xf numFmtId="31" fontId="6" fillId="0" borderId="0" xfId="2" applyNumberFormat="1" applyFont="1" applyAlignment="1">
      <alignment horizontal="left"/>
    </xf>
    <xf numFmtId="0" fontId="0" fillId="0" borderId="0" xfId="2" applyFont="1" applyAlignment="1">
      <alignment horizontal="right"/>
    </xf>
    <xf numFmtId="0" fontId="2" fillId="0" borderId="0" xfId="2" applyAlignment="1">
      <alignment horizontal="right"/>
    </xf>
    <xf numFmtId="0" fontId="21" fillId="0" borderId="0" xfId="2" applyFont="1" applyAlignment="1">
      <alignment horizontal="center"/>
    </xf>
    <xf numFmtId="31" fontId="20" fillId="0" borderId="0" xfId="2" applyNumberFormat="1" applyFont="1" applyAlignment="1">
      <alignment horizontal="left" vertical="center"/>
    </xf>
    <xf numFmtId="0" fontId="16" fillId="0" borderId="0" xfId="0" applyFont="1" applyAlignment="1">
      <alignment horizontal="left" vertical="center" wrapText="1"/>
    </xf>
    <xf numFmtId="184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5" xfId="0" applyFont="1" applyBorder="1" applyAlignment="1">
      <alignment horizontal="right" vertical="center"/>
    </xf>
    <xf numFmtId="0" fontId="16" fillId="0" borderId="46" xfId="0" applyFont="1" applyBorder="1" applyAlignment="1">
      <alignment horizontal="right" vertical="center"/>
    </xf>
    <xf numFmtId="0" fontId="16" fillId="0" borderId="47" xfId="0" applyFont="1" applyBorder="1" applyAlignment="1">
      <alignment horizontal="right" vertical="center"/>
    </xf>
    <xf numFmtId="0" fontId="65" fillId="0" borderId="20" xfId="0" applyFont="1" applyBorder="1" applyAlignment="1">
      <alignment horizontal="center" vertical="center"/>
    </xf>
    <xf numFmtId="0" fontId="65" fillId="0" borderId="19" xfId="0" applyFont="1" applyBorder="1" applyAlignment="1">
      <alignment horizontal="center" vertical="center"/>
    </xf>
    <xf numFmtId="0" fontId="65" fillId="0" borderId="21" xfId="0" applyFont="1" applyBorder="1" applyAlignment="1">
      <alignment horizontal="center" vertical="center"/>
    </xf>
    <xf numFmtId="0" fontId="65" fillId="0" borderId="25" xfId="0" applyFont="1" applyBorder="1" applyAlignment="1">
      <alignment horizontal="center" vertical="center"/>
    </xf>
    <xf numFmtId="0" fontId="65" fillId="0" borderId="26" xfId="0" applyFont="1" applyBorder="1" applyAlignment="1">
      <alignment horizontal="center" vertical="center"/>
    </xf>
    <xf numFmtId="0" fontId="65" fillId="0" borderId="27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4" fillId="7" borderId="20" xfId="0" applyFont="1" applyFill="1" applyBorder="1" applyAlignment="1">
      <alignment horizontal="center" vertical="center"/>
    </xf>
    <xf numFmtId="0" fontId="24" fillId="7" borderId="21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7" borderId="27" xfId="0" applyFont="1" applyFill="1" applyBorder="1" applyAlignment="1">
      <alignment horizontal="center" vertical="center"/>
    </xf>
    <xf numFmtId="0" fontId="24" fillId="0" borderId="20" xfId="0" applyFont="1" applyBorder="1" applyAlignment="1" applyProtection="1">
      <alignment horizontal="center" vertical="center"/>
      <protection locked="0"/>
    </xf>
    <xf numFmtId="0" fontId="24" fillId="0" borderId="19" xfId="0" applyFont="1" applyBorder="1" applyAlignment="1" applyProtection="1">
      <alignment horizontal="center" vertical="center"/>
      <protection locked="0"/>
    </xf>
    <xf numFmtId="0" fontId="24" fillId="0" borderId="21" xfId="0" applyFont="1" applyBorder="1" applyAlignment="1" applyProtection="1">
      <alignment horizontal="center" vertical="center"/>
      <protection locked="0"/>
    </xf>
    <xf numFmtId="0" fontId="24" fillId="0" borderId="25" xfId="0" applyFont="1" applyBorder="1" applyAlignment="1" applyProtection="1">
      <alignment horizontal="center" vertical="center"/>
      <protection locked="0"/>
    </xf>
    <xf numFmtId="0" fontId="24" fillId="0" borderId="26" xfId="0" applyFont="1" applyBorder="1" applyAlignment="1" applyProtection="1">
      <alignment horizontal="center" vertical="center"/>
      <protection locked="0"/>
    </xf>
    <xf numFmtId="0" fontId="24" fillId="0" borderId="27" xfId="0" applyFont="1" applyBorder="1" applyAlignment="1" applyProtection="1">
      <alignment horizontal="center" vertical="center"/>
      <protection locked="0"/>
    </xf>
    <xf numFmtId="0" fontId="26" fillId="2" borderId="29" xfId="1" applyFont="1" applyFill="1" applyBorder="1" applyAlignment="1" applyProtection="1">
      <alignment horizontal="center" vertical="center"/>
      <protection locked="0"/>
    </xf>
    <xf numFmtId="0" fontId="26" fillId="2" borderId="6" xfId="1" applyFont="1" applyFill="1" applyBorder="1" applyAlignment="1" applyProtection="1">
      <alignment horizontal="center" vertical="center"/>
      <protection locked="0"/>
    </xf>
    <xf numFmtId="0" fontId="26" fillId="2" borderId="13" xfId="1" applyFont="1" applyFill="1" applyBorder="1" applyAlignment="1" applyProtection="1">
      <alignment horizontal="center" vertical="center"/>
      <protection locked="0"/>
    </xf>
    <xf numFmtId="0" fontId="26" fillId="2" borderId="10" xfId="1" applyFont="1" applyFill="1" applyBorder="1" applyAlignment="1" applyProtection="1">
      <alignment horizontal="center" vertical="center"/>
      <protection locked="0"/>
    </xf>
    <xf numFmtId="190" fontId="16" fillId="8" borderId="30" xfId="0" applyNumberFormat="1" applyFont="1" applyFill="1" applyBorder="1" applyAlignment="1">
      <alignment horizontal="center" vertical="center"/>
    </xf>
    <xf numFmtId="190" fontId="16" fillId="8" borderId="14" xfId="0" applyNumberFormat="1" applyFont="1" applyFill="1" applyBorder="1" applyAlignment="1">
      <alignment horizontal="center" vertical="center"/>
    </xf>
    <xf numFmtId="190" fontId="16" fillId="8" borderId="31" xfId="0" applyNumberFormat="1" applyFont="1" applyFill="1" applyBorder="1" applyAlignment="1">
      <alignment horizontal="center" vertical="center"/>
    </xf>
    <xf numFmtId="190" fontId="16" fillId="8" borderId="16" xfId="0" applyNumberFormat="1" applyFont="1" applyFill="1" applyBorder="1" applyAlignment="1">
      <alignment horizontal="center" vertical="center"/>
    </xf>
    <xf numFmtId="0" fontId="26" fillId="0" borderId="13" xfId="1" applyFont="1" applyBorder="1" applyAlignment="1" applyProtection="1">
      <alignment horizontal="center" vertical="center"/>
      <protection locked="0"/>
    </xf>
    <xf numFmtId="0" fontId="26" fillId="0" borderId="10" xfId="1" applyFont="1" applyBorder="1" applyAlignment="1" applyProtection="1">
      <alignment horizontal="center" vertical="center"/>
      <protection locked="0"/>
    </xf>
    <xf numFmtId="0" fontId="25" fillId="8" borderId="1" xfId="0" applyFont="1" applyFill="1" applyBorder="1" applyAlignment="1">
      <alignment horizontal="center" vertical="center"/>
    </xf>
    <xf numFmtId="190" fontId="16" fillId="0" borderId="31" xfId="0" applyNumberFormat="1" applyFont="1" applyBorder="1" applyAlignment="1">
      <alignment horizontal="center" vertical="center"/>
    </xf>
    <xf numFmtId="190" fontId="16" fillId="0" borderId="16" xfId="0" applyNumberFormat="1" applyFont="1" applyBorder="1" applyAlignment="1">
      <alignment horizontal="center" vertical="center"/>
    </xf>
    <xf numFmtId="182" fontId="19" fillId="0" borderId="56" xfId="0" applyNumberFormat="1" applyFont="1" applyBorder="1" applyAlignment="1">
      <alignment horizontal="center" vertical="center"/>
    </xf>
    <xf numFmtId="182" fontId="19" fillId="0" borderId="28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19" fillId="0" borderId="46" xfId="0" applyFont="1" applyBorder="1" applyAlignment="1">
      <alignment horizontal="center" vertical="center"/>
    </xf>
    <xf numFmtId="0" fontId="19" fillId="0" borderId="48" xfId="0" applyFont="1" applyBorder="1" applyAlignment="1">
      <alignment horizontal="center" vertical="center"/>
    </xf>
    <xf numFmtId="182" fontId="19" fillId="0" borderId="46" xfId="0" applyNumberFormat="1" applyFont="1" applyBorder="1" applyAlignment="1">
      <alignment horizontal="center" vertical="center"/>
    </xf>
    <xf numFmtId="182" fontId="19" fillId="0" borderId="47" xfId="0" applyNumberFormat="1" applyFont="1" applyBorder="1" applyAlignment="1">
      <alignment horizontal="center" vertical="center"/>
    </xf>
    <xf numFmtId="182" fontId="19" fillId="0" borderId="15" xfId="0" applyNumberFormat="1" applyFont="1" applyBorder="1" applyAlignment="1">
      <alignment horizontal="center" vertical="center"/>
    </xf>
    <xf numFmtId="182" fontId="19" fillId="0" borderId="16" xfId="0" applyNumberFormat="1" applyFont="1" applyBorder="1" applyAlignment="1">
      <alignment horizontal="center" vertical="center"/>
    </xf>
    <xf numFmtId="0" fontId="19" fillId="2" borderId="12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182" fontId="19" fillId="0" borderId="39" xfId="0" applyNumberFormat="1" applyFont="1" applyBorder="1" applyAlignment="1">
      <alignment horizontal="center" vertical="center"/>
    </xf>
    <xf numFmtId="182" fontId="19" fillId="0" borderId="43" xfId="0" applyNumberFormat="1" applyFont="1" applyBorder="1" applyAlignment="1">
      <alignment horizontal="center" vertical="center"/>
    </xf>
    <xf numFmtId="182" fontId="19" fillId="0" borderId="1" xfId="0" applyNumberFormat="1" applyFont="1" applyBorder="1" applyAlignment="1">
      <alignment horizontal="center" vertical="center"/>
    </xf>
    <xf numFmtId="182" fontId="19" fillId="0" borderId="8" xfId="0" applyNumberFormat="1" applyFont="1" applyBorder="1" applyAlignment="1">
      <alignment horizontal="center" vertical="center"/>
    </xf>
    <xf numFmtId="182" fontId="19" fillId="0" borderId="2" xfId="0" applyNumberFormat="1" applyFont="1" applyBorder="1" applyAlignment="1">
      <alignment horizontal="center" vertical="center"/>
    </xf>
    <xf numFmtId="182" fontId="19" fillId="0" borderId="3" xfId="0" applyNumberFormat="1" applyFont="1" applyBorder="1" applyAlignment="1">
      <alignment horizontal="center" vertical="center"/>
    </xf>
    <xf numFmtId="180" fontId="19" fillId="8" borderId="12" xfId="0" applyNumberFormat="1" applyFont="1" applyFill="1" applyBorder="1" applyAlignment="1">
      <alignment horizontal="center" vertical="center"/>
    </xf>
    <xf numFmtId="180" fontId="19" fillId="8" borderId="15" xfId="0" applyNumberFormat="1" applyFont="1" applyFill="1" applyBorder="1" applyAlignment="1">
      <alignment horizontal="center" vertical="center"/>
    </xf>
    <xf numFmtId="1" fontId="19" fillId="8" borderId="12" xfId="0" applyNumberFormat="1" applyFont="1" applyFill="1" applyBorder="1" applyAlignment="1">
      <alignment horizontal="center" vertical="center"/>
    </xf>
    <xf numFmtId="1" fontId="19" fillId="8" borderId="15" xfId="0" applyNumberFormat="1" applyFont="1" applyFill="1" applyBorder="1" applyAlignment="1">
      <alignment horizontal="center" vertical="center"/>
    </xf>
    <xf numFmtId="182" fontId="19" fillId="8" borderId="12" xfId="0" applyNumberFormat="1" applyFont="1" applyFill="1" applyBorder="1" applyAlignment="1">
      <alignment horizontal="center" vertical="center"/>
    </xf>
    <xf numFmtId="182" fontId="19" fillId="8" borderId="15" xfId="0" applyNumberFormat="1" applyFont="1" applyFill="1" applyBorder="1" applyAlignment="1">
      <alignment horizontal="center" vertical="center"/>
    </xf>
    <xf numFmtId="0" fontId="19" fillId="2" borderId="29" xfId="0" applyFont="1" applyFill="1" applyBorder="1" applyAlignment="1">
      <alignment horizontal="center" vertical="center"/>
    </xf>
    <xf numFmtId="0" fontId="19" fillId="2" borderId="39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8" borderId="1" xfId="0" applyFont="1" applyFill="1" applyBorder="1" applyAlignment="1">
      <alignment horizontal="center" vertical="center"/>
    </xf>
    <xf numFmtId="0" fontId="19" fillId="2" borderId="57" xfId="0" applyFont="1" applyFill="1" applyBorder="1" applyAlignment="1">
      <alignment horizontal="center" vertical="center"/>
    </xf>
    <xf numFmtId="0" fontId="19" fillId="2" borderId="47" xfId="0" applyFont="1" applyFill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81" fontId="19" fillId="0" borderId="13" xfId="0" applyNumberFormat="1" applyFont="1" applyBorder="1" applyAlignment="1">
      <alignment horizontal="center" vertical="center"/>
    </xf>
    <xf numFmtId="181" fontId="19" fillId="0" borderId="16" xfId="0" applyNumberFormat="1" applyFont="1" applyBorder="1" applyAlignment="1">
      <alignment horizontal="center" vertical="center"/>
    </xf>
    <xf numFmtId="182" fontId="19" fillId="0" borderId="36" xfId="0" applyNumberFormat="1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182" fontId="19" fillId="8" borderId="5" xfId="0" applyNumberFormat="1" applyFont="1" applyFill="1" applyBorder="1" applyAlignment="1">
      <alignment horizontal="center" vertical="center"/>
    </xf>
    <xf numFmtId="182" fontId="19" fillId="8" borderId="2" xfId="0" applyNumberFormat="1" applyFont="1" applyFill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19" fillId="0" borderId="45" xfId="0" applyFont="1" applyBorder="1" applyAlignment="1">
      <alignment horizontal="right" vertical="center"/>
    </xf>
    <xf numFmtId="0" fontId="19" fillId="0" borderId="46" xfId="0" applyFont="1" applyBorder="1" applyAlignment="1">
      <alignment horizontal="right" vertical="center"/>
    </xf>
    <xf numFmtId="0" fontId="19" fillId="0" borderId="47" xfId="0" applyFont="1" applyBorder="1" applyAlignment="1">
      <alignment horizontal="right" vertical="center"/>
    </xf>
    <xf numFmtId="182" fontId="19" fillId="0" borderId="40" xfId="0" applyNumberFormat="1" applyFont="1" applyBorder="1" applyAlignment="1">
      <alignment horizontal="center" vertical="center"/>
    </xf>
    <xf numFmtId="182" fontId="19" fillId="0" borderId="21" xfId="0" applyNumberFormat="1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1" fontId="19" fillId="0" borderId="12" xfId="0" applyNumberFormat="1" applyFont="1" applyBorder="1" applyAlignment="1">
      <alignment horizontal="center" vertical="center"/>
    </xf>
    <xf numFmtId="1" fontId="19" fillId="0" borderId="15" xfId="0" applyNumberFormat="1" applyFont="1" applyBorder="1" applyAlignment="1">
      <alignment horizontal="center" vertical="center"/>
    </xf>
    <xf numFmtId="182" fontId="19" fillId="0" borderId="12" xfId="0" applyNumberFormat="1" applyFont="1" applyBorder="1" applyAlignment="1">
      <alignment horizontal="center" vertical="center"/>
    </xf>
    <xf numFmtId="180" fontId="19" fillId="0" borderId="12" xfId="0" applyNumberFormat="1" applyFont="1" applyBorder="1" applyAlignment="1">
      <alignment horizontal="center" vertical="center"/>
    </xf>
    <xf numFmtId="180" fontId="19" fillId="0" borderId="15" xfId="0" applyNumberFormat="1" applyFont="1" applyBorder="1" applyAlignment="1">
      <alignment horizontal="center" vertical="center"/>
    </xf>
    <xf numFmtId="182" fontId="19" fillId="4" borderId="9" xfId="0" applyNumberFormat="1" applyFont="1" applyFill="1" applyBorder="1" applyAlignment="1">
      <alignment horizontal="center" vertical="center"/>
    </xf>
    <xf numFmtId="182" fontId="19" fillId="4" borderId="7" xfId="0" applyNumberFormat="1" applyFont="1" applyFill="1" applyBorder="1" applyAlignment="1">
      <alignment horizontal="center" vertical="center"/>
    </xf>
    <xf numFmtId="182" fontId="19" fillId="4" borderId="5" xfId="0" applyNumberFormat="1" applyFont="1" applyFill="1" applyBorder="1" applyAlignment="1">
      <alignment horizontal="center" vertical="center"/>
    </xf>
    <xf numFmtId="182" fontId="19" fillId="4" borderId="2" xfId="0" applyNumberFormat="1" applyFont="1" applyFill="1" applyBorder="1" applyAlignment="1">
      <alignment horizontal="center" vertical="center"/>
    </xf>
    <xf numFmtId="0" fontId="68" fillId="0" borderId="20" xfId="5" applyFont="1" applyFill="1" applyBorder="1" applyAlignment="1" applyProtection="1">
      <alignment horizontal="center" vertical="center"/>
      <protection hidden="1"/>
    </xf>
    <xf numFmtId="0" fontId="68" fillId="0" borderId="19" xfId="5" applyFont="1" applyFill="1" applyBorder="1" applyAlignment="1" applyProtection="1">
      <alignment horizontal="center" vertical="center"/>
      <protection hidden="1"/>
    </xf>
    <xf numFmtId="0" fontId="68" fillId="0" borderId="21" xfId="5" applyFont="1" applyFill="1" applyBorder="1" applyAlignment="1" applyProtection="1">
      <alignment horizontal="center" vertical="center"/>
      <protection hidden="1"/>
    </xf>
    <xf numFmtId="0" fontId="68" fillId="0" borderId="25" xfId="5" applyFont="1" applyFill="1" applyBorder="1" applyAlignment="1" applyProtection="1">
      <alignment horizontal="center" vertical="center"/>
      <protection hidden="1"/>
    </xf>
    <xf numFmtId="0" fontId="68" fillId="0" borderId="26" xfId="5" applyFont="1" applyFill="1" applyBorder="1" applyAlignment="1" applyProtection="1">
      <alignment horizontal="center" vertical="center"/>
      <protection hidden="1"/>
    </xf>
    <xf numFmtId="0" fontId="68" fillId="0" borderId="27" xfId="5" applyFont="1" applyFill="1" applyBorder="1" applyAlignment="1" applyProtection="1">
      <alignment horizontal="center" vertical="center"/>
      <protection hidden="1"/>
    </xf>
    <xf numFmtId="185" fontId="69" fillId="0" borderId="19" xfId="5" applyNumberFormat="1" applyFont="1" applyBorder="1" applyAlignment="1" applyProtection="1">
      <alignment horizontal="left" vertical="center"/>
      <protection hidden="1"/>
    </xf>
    <xf numFmtId="0" fontId="69" fillId="0" borderId="19" xfId="5" applyFont="1" applyBorder="1" applyAlignment="1" applyProtection="1">
      <alignment horizontal="right" vertical="center"/>
      <protection hidden="1"/>
    </xf>
    <xf numFmtId="20" fontId="70" fillId="0" borderId="45" xfId="5" applyNumberFormat="1" applyFont="1" applyBorder="1" applyAlignment="1" applyProtection="1">
      <alignment horizontal="right" vertical="center"/>
      <protection locked="0"/>
    </xf>
    <xf numFmtId="20" fontId="70" fillId="0" borderId="46" xfId="5" applyNumberFormat="1" applyFont="1" applyBorder="1" applyAlignment="1" applyProtection="1">
      <alignment horizontal="right" vertical="center"/>
      <protection locked="0"/>
    </xf>
    <xf numFmtId="20" fontId="70" fillId="0" borderId="47" xfId="5" applyNumberFormat="1" applyFont="1" applyBorder="1" applyAlignment="1" applyProtection="1">
      <alignment horizontal="right" vertical="center"/>
      <protection locked="0"/>
    </xf>
    <xf numFmtId="0" fontId="59" fillId="17" borderId="20" xfId="0" applyFont="1" applyFill="1" applyBorder="1" applyAlignment="1">
      <alignment horizontal="center"/>
    </xf>
    <xf numFmtId="0" fontId="59" fillId="17" borderId="19" xfId="0" applyFont="1" applyFill="1" applyBorder="1" applyAlignment="1">
      <alignment horizontal="center"/>
    </xf>
    <xf numFmtId="0" fontId="59" fillId="17" borderId="21" xfId="0" applyFont="1" applyFill="1" applyBorder="1" applyAlignment="1">
      <alignment horizontal="center"/>
    </xf>
    <xf numFmtId="0" fontId="59" fillId="17" borderId="22" xfId="0" applyFont="1" applyFill="1" applyBorder="1" applyAlignment="1">
      <alignment horizontal="center"/>
    </xf>
    <xf numFmtId="0" fontId="59" fillId="17" borderId="0" xfId="0" applyFont="1" applyFill="1" applyBorder="1" applyAlignment="1">
      <alignment horizontal="center"/>
    </xf>
    <xf numFmtId="0" fontId="59" fillId="17" borderId="23" xfId="0" applyFont="1" applyFill="1" applyBorder="1" applyAlignment="1">
      <alignment horizontal="center"/>
    </xf>
    <xf numFmtId="0" fontId="16" fillId="2" borderId="37" xfId="0" applyFont="1" applyFill="1" applyBorder="1" applyAlignment="1">
      <alignment horizontal="center" vertical="center"/>
    </xf>
    <xf numFmtId="0" fontId="16" fillId="2" borderId="38" xfId="0" applyFont="1" applyFill="1" applyBorder="1" applyAlignment="1">
      <alignment horizontal="center" vertical="center"/>
    </xf>
    <xf numFmtId="0" fontId="16" fillId="2" borderId="44" xfId="0" applyFont="1" applyFill="1" applyBorder="1" applyAlignment="1">
      <alignment horizontal="center" vertical="center"/>
    </xf>
    <xf numFmtId="181" fontId="16" fillId="0" borderId="43" xfId="0" applyNumberFormat="1" applyFont="1" applyBorder="1" applyAlignment="1">
      <alignment horizontal="center" vertical="center"/>
    </xf>
    <xf numFmtId="181" fontId="16" fillId="0" borderId="8" xfId="0" applyNumberFormat="1" applyFont="1" applyBorder="1" applyAlignment="1">
      <alignment horizontal="center" vertical="center"/>
    </xf>
    <xf numFmtId="181" fontId="16" fillId="0" borderId="3" xfId="0" applyNumberFormat="1" applyFont="1" applyBorder="1" applyAlignment="1">
      <alignment horizontal="center" vertical="center"/>
    </xf>
    <xf numFmtId="181" fontId="16" fillId="0" borderId="39" xfId="0" applyNumberFormat="1" applyFont="1" applyBorder="1" applyAlignment="1">
      <alignment horizontal="center" vertical="center"/>
    </xf>
    <xf numFmtId="181" fontId="16" fillId="0" borderId="1" xfId="0" applyNumberFormat="1" applyFont="1" applyBorder="1" applyAlignment="1">
      <alignment horizontal="center" vertical="center"/>
    </xf>
    <xf numFmtId="181" fontId="16" fillId="0" borderId="2" xfId="0" applyNumberFormat="1" applyFont="1" applyBorder="1" applyAlignment="1">
      <alignment horizontal="center" vertical="center"/>
    </xf>
    <xf numFmtId="0" fontId="16" fillId="7" borderId="39" xfId="0" applyFont="1" applyFill="1" applyBorder="1" applyAlignment="1">
      <alignment horizontal="center" vertical="center" wrapText="1"/>
    </xf>
    <xf numFmtId="0" fontId="16" fillId="7" borderId="2" xfId="0" applyFont="1" applyFill="1" applyBorder="1" applyAlignment="1">
      <alignment horizontal="center" vertical="center" wrapText="1"/>
    </xf>
    <xf numFmtId="0" fontId="16" fillId="2" borderId="40" xfId="0" applyFont="1" applyFill="1" applyBorder="1" applyAlignment="1">
      <alignment horizontal="center" vertical="center"/>
    </xf>
    <xf numFmtId="0" fontId="16" fillId="2" borderId="73" xfId="0" applyFont="1" applyFill="1" applyBorder="1" applyAlignment="1">
      <alignment horizontal="center" vertical="center"/>
    </xf>
    <xf numFmtId="0" fontId="16" fillId="2" borderId="74" xfId="0" applyFont="1" applyFill="1" applyBorder="1" applyAlignment="1">
      <alignment horizontal="center" vertical="center"/>
    </xf>
    <xf numFmtId="0" fontId="16" fillId="2" borderId="58" xfId="0" applyFont="1" applyFill="1" applyBorder="1" applyAlignment="1">
      <alignment horizontal="center" vertical="center"/>
    </xf>
    <xf numFmtId="1" fontId="16" fillId="8" borderId="39" xfId="0" applyNumberFormat="1" applyFont="1" applyFill="1" applyBorder="1" applyAlignment="1">
      <alignment horizontal="center" vertical="center"/>
    </xf>
    <xf numFmtId="1" fontId="16" fillId="8" borderId="1" xfId="0" applyNumberFormat="1" applyFont="1" applyFill="1" applyBorder="1" applyAlignment="1">
      <alignment horizontal="center" vertical="center"/>
    </xf>
    <xf numFmtId="1" fontId="16" fillId="8" borderId="2" xfId="0" applyNumberFormat="1" applyFont="1" applyFill="1" applyBorder="1" applyAlignment="1">
      <alignment horizontal="center" vertical="center"/>
    </xf>
    <xf numFmtId="179" fontId="16" fillId="0" borderId="39" xfId="0" applyNumberFormat="1" applyFont="1" applyBorder="1" applyAlignment="1">
      <alignment horizontal="center" vertical="center"/>
    </xf>
    <xf numFmtId="179" fontId="16" fillId="0" borderId="1" xfId="0" applyNumberFormat="1" applyFont="1" applyBorder="1" applyAlignment="1">
      <alignment horizontal="center" vertical="center"/>
    </xf>
    <xf numFmtId="179" fontId="16" fillId="0" borderId="2" xfId="0" applyNumberFormat="1" applyFont="1" applyBorder="1" applyAlignment="1">
      <alignment horizontal="center" vertical="center"/>
    </xf>
    <xf numFmtId="0" fontId="16" fillId="2" borderId="35" xfId="0" applyFont="1" applyFill="1" applyBorder="1" applyAlignment="1">
      <alignment horizontal="center" vertical="center"/>
    </xf>
    <xf numFmtId="180" fontId="16" fillId="8" borderId="1" xfId="0" applyNumberFormat="1" applyFont="1" applyFill="1" applyBorder="1" applyAlignment="1">
      <alignment horizontal="center" vertical="center"/>
    </xf>
    <xf numFmtId="180" fontId="16" fillId="8" borderId="2" xfId="0" applyNumberFormat="1" applyFont="1" applyFill="1" applyBorder="1" applyAlignment="1">
      <alignment horizontal="center" vertical="center"/>
    </xf>
    <xf numFmtId="182" fontId="16" fillId="8" borderId="8" xfId="0" applyNumberFormat="1" applyFont="1" applyFill="1" applyBorder="1" applyAlignment="1">
      <alignment horizontal="center" vertical="center"/>
    </xf>
    <xf numFmtId="182" fontId="16" fillId="8" borderId="3" xfId="0" applyNumberFormat="1" applyFont="1" applyFill="1" applyBorder="1" applyAlignment="1">
      <alignment horizontal="center" vertical="center"/>
    </xf>
    <xf numFmtId="181" fontId="16" fillId="0" borderId="23" xfId="0" applyNumberFormat="1" applyFont="1" applyBorder="1" applyAlignment="1">
      <alignment horizontal="center" vertical="center"/>
    </xf>
    <xf numFmtId="182" fontId="16" fillId="8" borderId="1" xfId="0" applyNumberFormat="1" applyFont="1" applyFill="1" applyBorder="1" applyAlignment="1">
      <alignment horizontal="center" vertical="center"/>
    </xf>
    <xf numFmtId="182" fontId="16" fillId="8" borderId="2" xfId="0" applyNumberFormat="1" applyFont="1" applyFill="1" applyBorder="1" applyAlignment="1">
      <alignment horizontal="center" vertical="center"/>
    </xf>
    <xf numFmtId="182" fontId="16" fillId="14" borderId="1" xfId="0" applyNumberFormat="1" applyFont="1" applyFill="1" applyBorder="1" applyAlignment="1">
      <alignment horizontal="center" vertical="center"/>
    </xf>
    <xf numFmtId="182" fontId="16" fillId="14" borderId="2" xfId="0" applyNumberFormat="1" applyFont="1" applyFill="1" applyBorder="1" applyAlignment="1">
      <alignment horizontal="center" vertical="center"/>
    </xf>
    <xf numFmtId="0" fontId="40" fillId="0" borderId="37" xfId="0" applyFont="1" applyBorder="1" applyAlignment="1">
      <alignment horizontal="center"/>
    </xf>
    <xf numFmtId="0" fontId="40" fillId="0" borderId="38" xfId="0" applyFont="1" applyBorder="1" applyAlignment="1">
      <alignment horizontal="center"/>
    </xf>
    <xf numFmtId="0" fontId="40" fillId="0" borderId="35" xfId="0" applyFont="1" applyBorder="1" applyAlignment="1">
      <alignment horizontal="center"/>
    </xf>
    <xf numFmtId="188" fontId="16" fillId="8" borderId="42" xfId="0" applyNumberFormat="1" applyFont="1" applyFill="1" applyBorder="1" applyAlignment="1">
      <alignment horizontal="center" vertical="center"/>
    </xf>
    <xf numFmtId="188" fontId="16" fillId="8" borderId="15" xfId="0" applyNumberFormat="1" applyFont="1" applyFill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16" fillId="2" borderId="39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2" borderId="42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39" fillId="17" borderId="25" xfId="0" applyFont="1" applyFill="1" applyBorder="1" applyAlignment="1">
      <alignment horizontal="center"/>
    </xf>
    <xf numFmtId="0" fontId="39" fillId="17" borderId="26" xfId="0" applyFont="1" applyFill="1" applyBorder="1" applyAlignment="1">
      <alignment horizontal="center"/>
    </xf>
    <xf numFmtId="0" fontId="39" fillId="17" borderId="27" xfId="0" applyFont="1" applyFill="1" applyBorder="1" applyAlignment="1">
      <alignment horizontal="center"/>
    </xf>
    <xf numFmtId="0" fontId="39" fillId="17" borderId="22" xfId="0" applyFont="1" applyFill="1" applyBorder="1" applyAlignment="1">
      <alignment horizontal="center"/>
    </xf>
    <xf numFmtId="0" fontId="39" fillId="17" borderId="0" xfId="0" applyFont="1" applyFill="1" applyBorder="1" applyAlignment="1">
      <alignment horizontal="center"/>
    </xf>
    <xf numFmtId="0" fontId="39" fillId="17" borderId="23" xfId="0" applyFont="1" applyFill="1" applyBorder="1" applyAlignment="1">
      <alignment horizontal="center"/>
    </xf>
    <xf numFmtId="0" fontId="39" fillId="17" borderId="22" xfId="0" quotePrefix="1" applyFont="1" applyFill="1" applyBorder="1" applyAlignment="1">
      <alignment horizontal="center"/>
    </xf>
    <xf numFmtId="0" fontId="39" fillId="17" borderId="0" xfId="0" quotePrefix="1" applyFont="1" applyFill="1" applyBorder="1" applyAlignment="1">
      <alignment horizontal="center"/>
    </xf>
    <xf numFmtId="0" fontId="39" fillId="17" borderId="23" xfId="0" quotePrefix="1" applyFont="1" applyFill="1" applyBorder="1" applyAlignment="1">
      <alignment horizontal="center"/>
    </xf>
    <xf numFmtId="182" fontId="16" fillId="0" borderId="12" xfId="0" applyNumberFormat="1" applyFont="1" applyBorder="1" applyAlignment="1">
      <alignment horizontal="center" vertical="center"/>
    </xf>
    <xf numFmtId="182" fontId="16" fillId="0" borderId="36" xfId="0" applyNumberFormat="1" applyFont="1" applyBorder="1" applyAlignment="1">
      <alignment horizontal="center" vertical="center"/>
    </xf>
    <xf numFmtId="182" fontId="16" fillId="0" borderId="15" xfId="0" applyNumberFormat="1" applyFont="1" applyBorder="1" applyAlignment="1">
      <alignment horizontal="center" vertical="center"/>
    </xf>
    <xf numFmtId="180" fontId="16" fillId="0" borderId="6" xfId="0" applyNumberFormat="1" applyFont="1" applyBorder="1" applyAlignment="1">
      <alignment horizontal="center" vertical="center"/>
    </xf>
    <xf numFmtId="180" fontId="16" fillId="0" borderId="7" xfId="0" applyNumberFormat="1" applyFont="1" applyBorder="1" applyAlignment="1">
      <alignment horizontal="center" vertical="center"/>
    </xf>
    <xf numFmtId="180" fontId="16" fillId="0" borderId="1" xfId="0" applyNumberFormat="1" applyFont="1" applyBorder="1" applyAlignment="1">
      <alignment horizontal="center" vertical="center"/>
    </xf>
    <xf numFmtId="180" fontId="16" fillId="0" borderId="2" xfId="0" applyNumberFormat="1" applyFont="1" applyBorder="1" applyAlignment="1">
      <alignment horizontal="center" vertical="center"/>
    </xf>
    <xf numFmtId="177" fontId="16" fillId="0" borderId="1" xfId="0" applyNumberFormat="1" applyFont="1" applyBorder="1" applyAlignment="1">
      <alignment horizontal="center" vertical="center"/>
    </xf>
    <xf numFmtId="177" fontId="16" fillId="0" borderId="2" xfId="0" applyNumberFormat="1" applyFont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4" xfId="0" applyFont="1" applyFill="1" applyBorder="1" applyAlignment="1">
      <alignment horizontal="center" vertical="center"/>
    </xf>
    <xf numFmtId="0" fontId="66" fillId="0" borderId="20" xfId="0" applyFont="1" applyBorder="1" applyAlignment="1">
      <alignment horizontal="center" vertical="center"/>
    </xf>
    <xf numFmtId="0" fontId="66" fillId="0" borderId="19" xfId="0" applyFont="1" applyBorder="1" applyAlignment="1">
      <alignment horizontal="center" vertical="center"/>
    </xf>
    <xf numFmtId="0" fontId="66" fillId="0" borderId="21" xfId="0" applyFont="1" applyBorder="1" applyAlignment="1">
      <alignment horizontal="center" vertical="center"/>
    </xf>
    <xf numFmtId="0" fontId="66" fillId="0" borderId="25" xfId="0" applyFont="1" applyBorder="1" applyAlignment="1">
      <alignment horizontal="center" vertical="center"/>
    </xf>
    <xf numFmtId="0" fontId="66" fillId="0" borderId="26" xfId="0" applyFont="1" applyBorder="1" applyAlignment="1">
      <alignment horizontal="center" vertical="center"/>
    </xf>
    <xf numFmtId="0" fontId="66" fillId="0" borderId="27" xfId="0" applyFont="1" applyBorder="1" applyAlignment="1">
      <alignment horizontal="center" vertical="center"/>
    </xf>
    <xf numFmtId="0" fontId="16" fillId="7" borderId="35" xfId="0" applyFont="1" applyFill="1" applyBorder="1" applyAlignment="1">
      <alignment horizontal="center" vertical="center" wrapText="1"/>
    </xf>
    <xf numFmtId="0" fontId="16" fillId="7" borderId="54" xfId="0" applyFont="1" applyFill="1" applyBorder="1" applyAlignment="1">
      <alignment horizontal="center" vertical="center" wrapText="1"/>
    </xf>
    <xf numFmtId="0" fontId="24" fillId="20" borderId="34" xfId="0" applyFont="1" applyFill="1" applyBorder="1" applyAlignment="1">
      <alignment horizontal="center" vertical="center"/>
    </xf>
    <xf numFmtId="0" fontId="24" fillId="20" borderId="35" xfId="0" applyFont="1" applyFill="1" applyBorder="1" applyAlignment="1">
      <alignment horizontal="center" vertical="center"/>
    </xf>
    <xf numFmtId="177" fontId="24" fillId="0" borderId="63" xfId="0" applyNumberFormat="1" applyFont="1" applyBorder="1" applyAlignment="1">
      <alignment horizontal="center" vertical="center"/>
    </xf>
    <xf numFmtId="177" fontId="24" fillId="0" borderId="61" xfId="0" applyNumberFormat="1" applyFont="1" applyBorder="1" applyAlignment="1">
      <alignment horizontal="center" vertical="center"/>
    </xf>
    <xf numFmtId="0" fontId="16" fillId="2" borderId="12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26" fillId="18" borderId="29" xfId="0" applyFont="1" applyFill="1" applyBorder="1" applyAlignment="1">
      <alignment horizontal="center" vertical="center"/>
    </xf>
    <xf numFmtId="0" fontId="26" fillId="18" borderId="39" xfId="0" applyFont="1" applyFill="1" applyBorder="1" applyAlignment="1">
      <alignment horizontal="center" vertical="center"/>
    </xf>
    <xf numFmtId="2" fontId="43" fillId="16" borderId="1" xfId="0" applyNumberFormat="1" applyFont="1" applyFill="1" applyBorder="1" applyAlignment="1">
      <alignment horizontal="center" vertical="center"/>
    </xf>
    <xf numFmtId="2" fontId="43" fillId="16" borderId="2" xfId="0" applyNumberFormat="1" applyFont="1" applyFill="1" applyBorder="1" applyAlignment="1">
      <alignment horizontal="center" vertical="center"/>
    </xf>
    <xf numFmtId="2" fontId="39" fillId="0" borderId="1" xfId="0" applyNumberFormat="1" applyFont="1" applyBorder="1" applyAlignment="1">
      <alignment horizontal="center" vertical="center"/>
    </xf>
    <xf numFmtId="2" fontId="39" fillId="0" borderId="2" xfId="0" applyNumberFormat="1" applyFont="1" applyBorder="1" applyAlignment="1">
      <alignment horizontal="center" vertical="center"/>
    </xf>
    <xf numFmtId="2" fontId="43" fillId="19" borderId="8" xfId="0" applyNumberFormat="1" applyFont="1" applyFill="1" applyBorder="1" applyAlignment="1">
      <alignment horizontal="center" vertical="center"/>
    </xf>
    <xf numFmtId="2" fontId="43" fillId="19" borderId="3" xfId="0" applyNumberFormat="1" applyFont="1" applyFill="1" applyBorder="1" applyAlignment="1">
      <alignment horizontal="center" vertical="center"/>
    </xf>
    <xf numFmtId="0" fontId="16" fillId="2" borderId="43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8" borderId="29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horizontal="center" vertical="center"/>
    </xf>
    <xf numFmtId="0" fontId="16" fillId="8" borderId="7" xfId="0" applyFont="1" applyFill="1" applyBorder="1" applyAlignment="1">
      <alignment horizontal="center" vertical="center"/>
    </xf>
    <xf numFmtId="0" fontId="16" fillId="2" borderId="32" xfId="0" applyFont="1" applyFill="1" applyBorder="1" applyAlignment="1">
      <alignment horizontal="center" vertical="center" wrapText="1"/>
    </xf>
    <xf numFmtId="0" fontId="16" fillId="2" borderId="33" xfId="0" applyFont="1" applyFill="1" applyBorder="1" applyAlignment="1">
      <alignment horizontal="center" vertical="center" wrapText="1"/>
    </xf>
    <xf numFmtId="0" fontId="63" fillId="0" borderId="1" xfId="3" applyFont="1" applyBorder="1" applyAlignment="1" applyProtection="1">
      <alignment horizontal="center" vertical="center" wrapText="1"/>
      <protection locked="0"/>
    </xf>
    <xf numFmtId="0" fontId="65" fillId="4" borderId="20" xfId="3" applyFont="1" applyFill="1" applyBorder="1" applyAlignment="1" applyProtection="1">
      <alignment horizontal="center" vertical="center"/>
      <protection locked="0"/>
    </xf>
    <xf numFmtId="0" fontId="65" fillId="4" borderId="19" xfId="3" applyFont="1" applyFill="1" applyBorder="1" applyAlignment="1" applyProtection="1">
      <alignment horizontal="center" vertical="center"/>
      <protection locked="0"/>
    </xf>
    <xf numFmtId="0" fontId="65" fillId="4" borderId="21" xfId="3" applyFont="1" applyFill="1" applyBorder="1" applyAlignment="1" applyProtection="1">
      <alignment horizontal="center" vertical="center"/>
      <protection locked="0"/>
    </xf>
    <xf numFmtId="0" fontId="65" fillId="4" borderId="22" xfId="3" applyFont="1" applyFill="1" applyBorder="1" applyAlignment="1" applyProtection="1">
      <alignment horizontal="center" vertical="center"/>
      <protection locked="0"/>
    </xf>
    <xf numFmtId="0" fontId="65" fillId="4" borderId="0" xfId="3" applyFont="1" applyFill="1" applyAlignment="1" applyProtection="1">
      <alignment horizontal="center" vertical="center"/>
      <protection locked="0"/>
    </xf>
    <xf numFmtId="0" fontId="65" fillId="4" borderId="23" xfId="3" applyFont="1" applyFill="1" applyBorder="1" applyAlignment="1" applyProtection="1">
      <alignment horizontal="center" vertical="center"/>
      <protection locked="0"/>
    </xf>
    <xf numFmtId="0" fontId="16" fillId="4" borderId="1" xfId="3" applyFont="1" applyFill="1" applyBorder="1" applyAlignment="1" applyProtection="1">
      <alignment horizontal="center" vertical="center"/>
      <protection locked="0"/>
    </xf>
    <xf numFmtId="0" fontId="16" fillId="0" borderId="41" xfId="3" applyFont="1" applyBorder="1" applyAlignment="1" applyProtection="1">
      <alignment horizontal="center" vertical="center" wrapText="1"/>
      <protection locked="0"/>
    </xf>
    <xf numFmtId="0" fontId="18" fillId="0" borderId="1" xfId="3" applyFont="1" applyBorder="1" applyAlignment="1" applyProtection="1">
      <alignment horizontal="center" vertical="center" wrapText="1"/>
      <protection locked="0"/>
    </xf>
    <xf numFmtId="0" fontId="18" fillId="0" borderId="6" xfId="3" applyFont="1" applyBorder="1" applyAlignment="1" applyProtection="1">
      <alignment horizontal="center" vertical="center" wrapText="1"/>
      <protection locked="0"/>
    </xf>
    <xf numFmtId="180" fontId="18" fillId="8" borderId="1" xfId="3" applyNumberFormat="1" applyFont="1" applyFill="1" applyBorder="1" applyAlignment="1" applyProtection="1">
      <alignment horizontal="center" vertical="center"/>
      <protection locked="0"/>
    </xf>
    <xf numFmtId="180" fontId="18" fillId="8" borderId="8" xfId="3" applyNumberFormat="1" applyFont="1" applyFill="1" applyBorder="1" applyAlignment="1" applyProtection="1">
      <alignment horizontal="center" vertical="center"/>
      <protection locked="0"/>
    </xf>
    <xf numFmtId="188" fontId="18" fillId="8" borderId="1" xfId="3" applyNumberFormat="1" applyFont="1" applyFill="1" applyBorder="1" applyAlignment="1" applyProtection="1">
      <alignment horizontal="center" vertical="center"/>
      <protection locked="0"/>
    </xf>
    <xf numFmtId="188" fontId="18" fillId="8" borderId="8" xfId="3" applyNumberFormat="1" applyFont="1" applyFill="1" applyBorder="1" applyAlignment="1" applyProtection="1">
      <alignment horizontal="center" vertical="center"/>
      <protection locked="0"/>
    </xf>
    <xf numFmtId="1" fontId="18" fillId="0" borderId="1" xfId="3" applyNumberFormat="1" applyFont="1" applyBorder="1" applyAlignment="1" applyProtection="1">
      <alignment horizontal="center" vertical="center"/>
      <protection locked="0"/>
    </xf>
    <xf numFmtId="0" fontId="18" fillId="0" borderId="8" xfId="3" applyFont="1" applyBorder="1" applyAlignment="1" applyProtection="1">
      <alignment horizontal="center" vertical="center"/>
      <protection locked="0"/>
    </xf>
    <xf numFmtId="2" fontId="18" fillId="0" borderId="1" xfId="3" applyNumberFormat="1" applyFont="1" applyBorder="1" applyAlignment="1" applyProtection="1">
      <alignment horizontal="center" vertical="center"/>
      <protection locked="0"/>
    </xf>
    <xf numFmtId="2" fontId="18" fillId="0" borderId="8" xfId="3" applyNumberFormat="1" applyFont="1" applyBorder="1" applyAlignment="1" applyProtection="1">
      <alignment horizontal="center" vertical="center"/>
      <protection locked="0"/>
    </xf>
    <xf numFmtId="176" fontId="18" fillId="0" borderId="1" xfId="3" applyNumberFormat="1" applyFont="1" applyBorder="1" applyAlignment="1">
      <alignment horizontal="center" vertical="center"/>
    </xf>
    <xf numFmtId="176" fontId="18" fillId="0" borderId="8" xfId="3" applyNumberFormat="1" applyFont="1" applyBorder="1" applyAlignment="1">
      <alignment horizontal="center" vertical="center"/>
    </xf>
    <xf numFmtId="182" fontId="18" fillId="8" borderId="1" xfId="3" applyNumberFormat="1" applyFont="1" applyFill="1" applyBorder="1" applyAlignment="1" applyProtection="1">
      <alignment horizontal="center" vertical="center"/>
      <protection locked="0"/>
    </xf>
    <xf numFmtId="182" fontId="18" fillId="8" borderId="8" xfId="3" applyNumberFormat="1" applyFont="1" applyFill="1" applyBorder="1" applyAlignment="1" applyProtection="1">
      <alignment horizontal="center" vertical="center"/>
      <protection locked="0"/>
    </xf>
    <xf numFmtId="0" fontId="74" fillId="0" borderId="52" xfId="3" applyFont="1" applyBorder="1" applyAlignment="1" applyProtection="1">
      <alignment horizontal="center" vertical="center" wrapText="1"/>
      <protection locked="0"/>
    </xf>
    <xf numFmtId="0" fontId="74" fillId="0" borderId="41" xfId="3" applyFont="1" applyBorder="1" applyAlignment="1" applyProtection="1">
      <alignment horizontal="center" vertical="center" wrapText="1"/>
      <protection locked="0"/>
    </xf>
    <xf numFmtId="0" fontId="17" fillId="0" borderId="53" xfId="3" applyFont="1" applyBorder="1" applyAlignment="1" applyProtection="1">
      <alignment horizontal="center" vertical="center"/>
      <protection locked="0"/>
    </xf>
    <xf numFmtId="0" fontId="17" fillId="0" borderId="4" xfId="3" applyFont="1" applyBorder="1" applyAlignment="1" applyProtection="1">
      <alignment horizontal="center" vertical="center"/>
      <protection locked="0"/>
    </xf>
    <xf numFmtId="180" fontId="17" fillId="0" borderId="52" xfId="3" applyNumberFormat="1" applyFont="1" applyBorder="1" applyAlignment="1">
      <alignment horizontal="center" vertical="center"/>
    </xf>
    <xf numFmtId="180" fontId="17" fillId="0" borderId="41" xfId="3" applyNumberFormat="1" applyFont="1" applyBorder="1" applyAlignment="1">
      <alignment horizontal="center" vertical="center"/>
    </xf>
    <xf numFmtId="0" fontId="18" fillId="0" borderId="8" xfId="3" applyFont="1" applyBorder="1" applyAlignment="1" applyProtection="1">
      <alignment horizontal="center" vertical="center" wrapText="1"/>
      <protection locked="0"/>
    </xf>
    <xf numFmtId="0" fontId="18" fillId="0" borderId="52" xfId="3" applyFont="1" applyBorder="1" applyAlignment="1" applyProtection="1">
      <alignment horizontal="center" vertical="center"/>
      <protection locked="0"/>
    </xf>
    <xf numFmtId="0" fontId="18" fillId="0" borderId="41" xfId="3" applyFont="1" applyBorder="1" applyAlignment="1" applyProtection="1">
      <alignment horizontal="center" vertical="center"/>
      <protection locked="0"/>
    </xf>
    <xf numFmtId="180" fontId="18" fillId="0" borderId="52" xfId="3" applyNumberFormat="1" applyFont="1" applyBorder="1" applyAlignment="1" applyProtection="1">
      <alignment horizontal="center" vertical="center" wrapText="1"/>
      <protection locked="0"/>
    </xf>
    <xf numFmtId="180" fontId="18" fillId="0" borderId="54" xfId="3" applyNumberFormat="1" applyFont="1" applyBorder="1" applyAlignment="1" applyProtection="1">
      <alignment horizontal="center" vertical="center" wrapText="1"/>
      <protection locked="0"/>
    </xf>
    <xf numFmtId="0" fontId="18" fillId="0" borderId="52" xfId="3" applyFont="1" applyBorder="1" applyAlignment="1" applyProtection="1">
      <alignment horizontal="center" vertical="center" wrapText="1"/>
      <protection locked="0"/>
    </xf>
    <xf numFmtId="0" fontId="18" fillId="0" borderId="41" xfId="3" applyFont="1" applyBorder="1" applyAlignment="1" applyProtection="1">
      <alignment horizontal="center" vertical="center" wrapText="1"/>
      <protection locked="0"/>
    </xf>
    <xf numFmtId="0" fontId="18" fillId="0" borderId="37" xfId="3" applyFont="1" applyBorder="1" applyAlignment="1" applyProtection="1">
      <alignment horizontal="center" vertical="center" shrinkToFit="1"/>
      <protection locked="0"/>
    </xf>
    <xf numFmtId="0" fontId="18" fillId="0" borderId="44" xfId="3" applyFont="1" applyBorder="1" applyAlignment="1" applyProtection="1">
      <alignment horizontal="center" vertical="center" shrinkToFit="1"/>
      <protection locked="0"/>
    </xf>
    <xf numFmtId="31" fontId="18" fillId="8" borderId="1" xfId="3" applyNumberFormat="1" applyFont="1" applyFill="1" applyBorder="1" applyAlignment="1" applyProtection="1">
      <alignment horizontal="center" vertical="center"/>
      <protection locked="0"/>
    </xf>
    <xf numFmtId="0" fontId="18" fillId="8" borderId="1" xfId="3" applyFont="1" applyFill="1" applyBorder="1" applyAlignment="1" applyProtection="1">
      <alignment horizontal="center" vertical="center"/>
      <protection locked="0"/>
    </xf>
    <xf numFmtId="0" fontId="18" fillId="0" borderId="52" xfId="3" applyFont="1" applyBorder="1" applyAlignment="1" applyProtection="1">
      <alignment horizontal="center" vertical="center" shrinkToFit="1"/>
      <protection locked="0"/>
    </xf>
    <xf numFmtId="0" fontId="18" fillId="0" borderId="41" xfId="3" applyFont="1" applyBorder="1" applyAlignment="1" applyProtection="1">
      <alignment horizontal="center" vertical="center" shrinkToFit="1"/>
      <protection locked="0"/>
    </xf>
    <xf numFmtId="0" fontId="18" fillId="0" borderId="52" xfId="3" applyFont="1" applyBorder="1" applyAlignment="1" applyProtection="1">
      <alignment horizontal="center" vertical="center" wrapText="1" shrinkToFit="1"/>
      <protection locked="0"/>
    </xf>
    <xf numFmtId="0" fontId="18" fillId="0" borderId="41" xfId="3" applyFont="1" applyBorder="1" applyAlignment="1" applyProtection="1">
      <alignment horizontal="center" vertical="center" wrapText="1" shrinkToFit="1"/>
      <protection locked="0"/>
    </xf>
    <xf numFmtId="0" fontId="74" fillId="0" borderId="52" xfId="3" applyFont="1" applyBorder="1" applyAlignment="1" applyProtection="1">
      <alignment horizontal="center" vertical="center" wrapText="1" shrinkToFit="1"/>
      <protection locked="0"/>
    </xf>
    <xf numFmtId="0" fontId="74" fillId="0" borderId="41" xfId="3" applyFont="1" applyBorder="1" applyAlignment="1" applyProtection="1">
      <alignment horizontal="center" vertical="center" wrapText="1" shrinkToFit="1"/>
      <protection locked="0"/>
    </xf>
    <xf numFmtId="31" fontId="18" fillId="0" borderId="1" xfId="3" applyNumberFormat="1" applyFont="1" applyBorder="1" applyAlignment="1" applyProtection="1">
      <alignment horizontal="center" vertical="center"/>
      <protection locked="0"/>
    </xf>
    <xf numFmtId="0" fontId="18" fillId="0" borderId="1" xfId="3" applyFont="1" applyBorder="1" applyAlignment="1" applyProtection="1">
      <alignment horizontal="center" vertical="center"/>
      <protection locked="0"/>
    </xf>
    <xf numFmtId="0" fontId="16" fillId="0" borderId="40" xfId="3" applyFont="1" applyBorder="1" applyAlignment="1" applyProtection="1">
      <alignment vertical="center"/>
      <protection locked="0"/>
    </xf>
    <xf numFmtId="0" fontId="16" fillId="0" borderId="19" xfId="3" applyFont="1" applyBorder="1" applyAlignment="1" applyProtection="1">
      <alignment vertical="center"/>
      <protection locked="0"/>
    </xf>
    <xf numFmtId="0" fontId="16" fillId="0" borderId="55" xfId="3" applyFont="1" applyBorder="1" applyAlignment="1" applyProtection="1">
      <alignment vertical="center"/>
      <protection locked="0"/>
    </xf>
    <xf numFmtId="0" fontId="16" fillId="0" borderId="0" xfId="3" applyFont="1" applyAlignment="1" applyProtection="1">
      <alignment vertical="center"/>
      <protection locked="0"/>
    </xf>
    <xf numFmtId="0" fontId="16" fillId="0" borderId="56" xfId="3" applyFont="1" applyBorder="1" applyAlignment="1" applyProtection="1">
      <alignment vertical="center"/>
      <protection locked="0"/>
    </xf>
    <xf numFmtId="0" fontId="16" fillId="0" borderId="17" xfId="3" applyFont="1" applyBorder="1" applyAlignment="1" applyProtection="1">
      <alignment vertical="center"/>
      <protection locked="0"/>
    </xf>
    <xf numFmtId="0" fontId="18" fillId="0" borderId="6" xfId="3" applyFont="1" applyBorder="1" applyAlignment="1" applyProtection="1">
      <alignment horizontal="left" vertical="center" wrapText="1" shrinkToFit="1"/>
      <protection locked="0"/>
    </xf>
    <xf numFmtId="0" fontId="18" fillId="0" borderId="1" xfId="3" applyFont="1" applyBorder="1" applyAlignment="1" applyProtection="1">
      <alignment horizontal="left" vertical="center" shrinkToFit="1"/>
      <protection locked="0"/>
    </xf>
    <xf numFmtId="0" fontId="18" fillId="0" borderId="29" xfId="3" applyFont="1" applyBorder="1" applyAlignment="1" applyProtection="1">
      <alignment horizontal="left" vertical="center" shrinkToFit="1"/>
      <protection locked="0"/>
    </xf>
    <xf numFmtId="0" fontId="18" fillId="0" borderId="39" xfId="3" applyFont="1" applyBorder="1" applyAlignment="1" applyProtection="1">
      <alignment horizontal="left" vertical="center" shrinkToFit="1"/>
      <protection locked="0"/>
    </xf>
    <xf numFmtId="0" fontId="18" fillId="0" borderId="6" xfId="3" applyFont="1" applyBorder="1" applyAlignment="1" applyProtection="1">
      <alignment horizontal="left" vertical="center" shrinkToFit="1"/>
      <protection locked="0"/>
    </xf>
    <xf numFmtId="0" fontId="16" fillId="4" borderId="45" xfId="3" applyFont="1" applyFill="1" applyBorder="1" applyAlignment="1" applyProtection="1">
      <alignment horizontal="right" vertical="center"/>
      <protection locked="0"/>
    </xf>
    <xf numFmtId="0" fontId="16" fillId="4" borderId="46" xfId="3" applyFont="1" applyFill="1" applyBorder="1" applyAlignment="1" applyProtection="1">
      <alignment horizontal="right" vertical="center"/>
      <protection locked="0"/>
    </xf>
    <xf numFmtId="0" fontId="16" fillId="4" borderId="47" xfId="3" applyFont="1" applyFill="1" applyBorder="1" applyAlignment="1" applyProtection="1">
      <alignment horizontal="right" vertical="center"/>
      <protection locked="0"/>
    </xf>
    <xf numFmtId="31" fontId="18" fillId="0" borderId="39" xfId="3" applyNumberFormat="1" applyFont="1" applyBorder="1" applyAlignment="1" applyProtection="1">
      <alignment horizontal="center" vertical="center" wrapText="1"/>
      <protection locked="0"/>
    </xf>
    <xf numFmtId="0" fontId="18" fillId="0" borderId="39" xfId="3" applyFont="1" applyBorder="1" applyAlignment="1" applyProtection="1">
      <alignment horizontal="center" vertical="center" wrapText="1"/>
      <protection locked="0"/>
    </xf>
    <xf numFmtId="190" fontId="18" fillId="0" borderId="39" xfId="3" applyNumberFormat="1" applyFont="1" applyBorder="1" applyAlignment="1" applyProtection="1">
      <alignment horizontal="center" vertical="center"/>
      <protection locked="0"/>
    </xf>
    <xf numFmtId="190" fontId="18" fillId="0" borderId="43" xfId="3" applyNumberFormat="1" applyFont="1" applyBorder="1" applyAlignment="1" applyProtection="1">
      <alignment horizontal="center" vertical="center"/>
      <protection locked="0"/>
    </xf>
    <xf numFmtId="177" fontId="18" fillId="13" borderId="1" xfId="3" applyNumberFormat="1" applyFont="1" applyFill="1" applyBorder="1" applyAlignment="1">
      <alignment horizontal="center" vertical="center"/>
    </xf>
    <xf numFmtId="180" fontId="18" fillId="0" borderId="1" xfId="3" applyNumberFormat="1" applyFont="1" applyBorder="1" applyAlignment="1" applyProtection="1">
      <alignment horizontal="center" vertical="center" wrapText="1"/>
      <protection locked="0"/>
    </xf>
    <xf numFmtId="0" fontId="18" fillId="0" borderId="1" xfId="3" applyFont="1" applyBorder="1" applyAlignment="1" applyProtection="1">
      <alignment horizontal="left" vertical="center" wrapText="1" shrinkToFit="1"/>
      <protection locked="0"/>
    </xf>
    <xf numFmtId="0" fontId="67" fillId="0" borderId="20" xfId="0" applyFont="1" applyBorder="1" applyAlignment="1">
      <alignment horizontal="center" vertical="center"/>
    </xf>
    <xf numFmtId="0" fontId="67" fillId="0" borderId="19" xfId="0" applyFont="1" applyBorder="1" applyAlignment="1">
      <alignment horizontal="center" vertical="center"/>
    </xf>
    <xf numFmtId="0" fontId="67" fillId="0" borderId="21" xfId="0" applyFont="1" applyBorder="1" applyAlignment="1">
      <alignment horizontal="center" vertical="center"/>
    </xf>
    <xf numFmtId="0" fontId="67" fillId="0" borderId="22" xfId="0" applyFont="1" applyBorder="1" applyAlignment="1">
      <alignment horizontal="center" vertical="center"/>
    </xf>
    <xf numFmtId="0" fontId="67" fillId="0" borderId="0" xfId="0" applyFont="1" applyBorder="1" applyAlignment="1">
      <alignment horizontal="center" vertical="center"/>
    </xf>
    <xf numFmtId="0" fontId="67" fillId="0" borderId="23" xfId="0" applyFont="1" applyBorder="1" applyAlignment="1">
      <alignment horizontal="center" vertical="center"/>
    </xf>
    <xf numFmtId="0" fontId="67" fillId="0" borderId="25" xfId="0" applyFont="1" applyBorder="1" applyAlignment="1">
      <alignment horizontal="center" vertical="center"/>
    </xf>
    <xf numFmtId="0" fontId="67" fillId="0" borderId="26" xfId="0" applyFont="1" applyBorder="1" applyAlignment="1">
      <alignment horizontal="center" vertical="center"/>
    </xf>
    <xf numFmtId="0" fontId="67" fillId="0" borderId="27" xfId="0" applyFont="1" applyBorder="1" applyAlignment="1">
      <alignment horizontal="center" vertical="center"/>
    </xf>
    <xf numFmtId="177" fontId="52" fillId="0" borderId="32" xfId="3" applyNumberFormat="1" applyFont="1" applyBorder="1" applyAlignment="1">
      <alignment horizontal="center" vertical="center"/>
    </xf>
    <xf numFmtId="177" fontId="52" fillId="0" borderId="33" xfId="3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3" fontId="16" fillId="0" borderId="0" xfId="0" applyNumberFormat="1" applyFont="1" applyBorder="1" applyAlignment="1">
      <alignment horizontal="center" vertical="center"/>
    </xf>
    <xf numFmtId="182" fontId="52" fillId="0" borderId="20" xfId="3" applyNumberFormat="1" applyFont="1" applyBorder="1" applyAlignment="1">
      <alignment horizontal="center" vertical="center"/>
    </xf>
    <xf numFmtId="182" fontId="52" fillId="0" borderId="21" xfId="3" applyNumberFormat="1" applyFont="1" applyBorder="1" applyAlignment="1">
      <alignment horizontal="center" vertical="center"/>
    </xf>
    <xf numFmtId="182" fontId="52" fillId="0" borderId="25" xfId="3" applyNumberFormat="1" applyFont="1" applyBorder="1" applyAlignment="1">
      <alignment horizontal="center" vertical="center"/>
    </xf>
    <xf numFmtId="182" fontId="52" fillId="0" borderId="27" xfId="3" applyNumberFormat="1" applyFont="1" applyBorder="1" applyAlignment="1">
      <alignment horizontal="center" vertical="center"/>
    </xf>
    <xf numFmtId="0" fontId="24" fillId="0" borderId="23" xfId="3" applyFont="1" applyBorder="1" applyAlignment="1">
      <alignment horizontal="center" vertical="center" wrapText="1"/>
    </xf>
    <xf numFmtId="182" fontId="52" fillId="4" borderId="32" xfId="0" applyNumberFormat="1" applyFont="1" applyFill="1" applyBorder="1" applyAlignment="1">
      <alignment horizontal="center" vertical="center"/>
    </xf>
    <xf numFmtId="182" fontId="52" fillId="4" borderId="33" xfId="0" applyNumberFormat="1" applyFont="1" applyFill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182" fontId="50" fillId="0" borderId="0" xfId="0" applyNumberFormat="1" applyFont="1" applyBorder="1" applyAlignment="1">
      <alignment horizontal="center" vertical="center"/>
    </xf>
    <xf numFmtId="182" fontId="50" fillId="0" borderId="17" xfId="0" applyNumberFormat="1" applyFont="1" applyBorder="1" applyAlignment="1">
      <alignment horizontal="center" vertical="center"/>
    </xf>
    <xf numFmtId="0" fontId="24" fillId="0" borderId="0" xfId="3" applyFont="1" applyBorder="1" applyAlignment="1">
      <alignment horizontal="center" vertical="center" wrapText="1"/>
    </xf>
    <xf numFmtId="0" fontId="16" fillId="0" borderId="24" xfId="0" applyFont="1" applyBorder="1" applyAlignment="1">
      <alignment horizontal="center" vertical="center"/>
    </xf>
    <xf numFmtId="2" fontId="52" fillId="0" borderId="32" xfId="3" applyNumberFormat="1" applyFont="1" applyBorder="1" applyAlignment="1">
      <alignment horizontal="center" vertical="center"/>
    </xf>
    <xf numFmtId="2" fontId="52" fillId="0" borderId="33" xfId="3" applyNumberFormat="1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50" fillId="0" borderId="0" xfId="0" applyFont="1" applyBorder="1" applyAlignment="1">
      <alignment horizontal="center" vertical="center"/>
    </xf>
    <xf numFmtId="2" fontId="50" fillId="0" borderId="0" xfId="0" applyNumberFormat="1" applyFont="1" applyBorder="1" applyAlignment="1">
      <alignment horizontal="center" vertical="center"/>
    </xf>
    <xf numFmtId="181" fontId="50" fillId="0" borderId="24" xfId="0" applyNumberFormat="1" applyFont="1" applyBorder="1" applyAlignment="1">
      <alignment horizontal="center" vertical="center"/>
    </xf>
    <xf numFmtId="181" fontId="52" fillId="0" borderId="32" xfId="0" applyNumberFormat="1" applyFont="1" applyBorder="1" applyAlignment="1">
      <alignment horizontal="center" vertical="center"/>
    </xf>
    <xf numFmtId="181" fontId="52" fillId="0" borderId="33" xfId="0" applyNumberFormat="1" applyFont="1" applyBorder="1" applyAlignment="1">
      <alignment horizontal="center" vertical="center"/>
    </xf>
    <xf numFmtId="181" fontId="52" fillId="0" borderId="20" xfId="0" applyNumberFormat="1" applyFont="1" applyBorder="1" applyAlignment="1">
      <alignment horizontal="center" vertical="center"/>
    </xf>
    <xf numFmtId="181" fontId="52" fillId="0" borderId="21" xfId="0" applyNumberFormat="1" applyFont="1" applyBorder="1" applyAlignment="1">
      <alignment horizontal="center" vertical="center"/>
    </xf>
    <xf numFmtId="181" fontId="52" fillId="0" borderId="25" xfId="0" applyNumberFormat="1" applyFont="1" applyBorder="1" applyAlignment="1">
      <alignment horizontal="center" vertical="center"/>
    </xf>
    <xf numFmtId="181" fontId="52" fillId="0" borderId="27" xfId="0" applyNumberFormat="1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181" fontId="50" fillId="0" borderId="0" xfId="0" applyNumberFormat="1" applyFont="1" applyBorder="1" applyAlignment="1">
      <alignment horizontal="center" vertical="center"/>
    </xf>
    <xf numFmtId="176" fontId="50" fillId="0" borderId="0" xfId="0" applyNumberFormat="1" applyFont="1" applyBorder="1" applyAlignment="1">
      <alignment horizontal="center" vertical="center"/>
    </xf>
    <xf numFmtId="0" fontId="55" fillId="0" borderId="0" xfId="0" applyFont="1" applyBorder="1">
      <alignment vertical="center"/>
    </xf>
    <xf numFmtId="180" fontId="52" fillId="0" borderId="20" xfId="3" applyNumberFormat="1" applyFont="1" applyBorder="1" applyAlignment="1">
      <alignment horizontal="center" vertical="center"/>
    </xf>
    <xf numFmtId="180" fontId="52" fillId="0" borderId="21" xfId="3" applyNumberFormat="1" applyFont="1" applyBorder="1" applyAlignment="1">
      <alignment horizontal="center" vertical="center"/>
    </xf>
    <xf numFmtId="180" fontId="52" fillId="0" borderId="25" xfId="3" applyNumberFormat="1" applyFont="1" applyBorder="1" applyAlignment="1">
      <alignment horizontal="center" vertical="center"/>
    </xf>
    <xf numFmtId="180" fontId="52" fillId="0" borderId="27" xfId="3" applyNumberFormat="1" applyFont="1" applyBorder="1" applyAlignment="1">
      <alignment horizontal="center" vertical="center"/>
    </xf>
    <xf numFmtId="180" fontId="50" fillId="0" borderId="0" xfId="0" applyNumberFormat="1" applyFont="1" applyBorder="1" applyAlignment="1">
      <alignment horizontal="center" vertical="center"/>
    </xf>
    <xf numFmtId="0" fontId="16" fillId="0" borderId="63" xfId="0" applyFont="1" applyBorder="1" applyAlignment="1">
      <alignment horizontal="right" vertical="center"/>
    </xf>
    <xf numFmtId="0" fontId="16" fillId="0" borderId="66" xfId="0" applyFont="1" applyBorder="1" applyAlignment="1">
      <alignment horizontal="right" vertical="center"/>
    </xf>
    <xf numFmtId="0" fontId="16" fillId="0" borderId="61" xfId="0" applyFont="1" applyBorder="1" applyAlignment="1">
      <alignment horizontal="right" vertical="center"/>
    </xf>
    <xf numFmtId="0" fontId="16" fillId="0" borderId="22" xfId="0" applyFont="1" applyBorder="1" applyAlignment="1">
      <alignment horizontal="center" vertical="center"/>
    </xf>
    <xf numFmtId="180" fontId="52" fillId="0" borderId="20" xfId="0" applyNumberFormat="1" applyFont="1" applyBorder="1" applyAlignment="1">
      <alignment horizontal="center" vertical="center"/>
    </xf>
    <xf numFmtId="180" fontId="52" fillId="0" borderId="19" xfId="0" applyNumberFormat="1" applyFont="1" applyBorder="1" applyAlignment="1">
      <alignment horizontal="center" vertical="center"/>
    </xf>
    <xf numFmtId="180" fontId="52" fillId="0" borderId="21" xfId="0" applyNumberFormat="1" applyFont="1" applyBorder="1" applyAlignment="1">
      <alignment horizontal="center" vertical="center"/>
    </xf>
    <xf numFmtId="180" fontId="52" fillId="0" borderId="25" xfId="0" applyNumberFormat="1" applyFont="1" applyBorder="1" applyAlignment="1">
      <alignment horizontal="center" vertical="center"/>
    </xf>
    <xf numFmtId="180" fontId="52" fillId="0" borderId="26" xfId="0" applyNumberFormat="1" applyFont="1" applyBorder="1" applyAlignment="1">
      <alignment horizontal="center" vertical="center"/>
    </xf>
    <xf numFmtId="180" fontId="52" fillId="0" borderId="27" xfId="0" applyNumberFormat="1" applyFont="1" applyBorder="1" applyAlignment="1">
      <alignment horizontal="center" vertical="center"/>
    </xf>
    <xf numFmtId="182" fontId="52" fillId="0" borderId="20" xfId="0" applyNumberFormat="1" applyFont="1" applyBorder="1" applyAlignment="1">
      <alignment horizontal="center" vertical="center"/>
    </xf>
    <xf numFmtId="182" fontId="52" fillId="0" borderId="19" xfId="0" applyNumberFormat="1" applyFont="1" applyBorder="1" applyAlignment="1">
      <alignment horizontal="center" vertical="center"/>
    </xf>
    <xf numFmtId="182" fontId="52" fillId="0" borderId="21" xfId="0" applyNumberFormat="1" applyFont="1" applyBorder="1" applyAlignment="1">
      <alignment horizontal="center" vertical="center"/>
    </xf>
    <xf numFmtId="182" fontId="52" fillId="0" borderId="25" xfId="0" applyNumberFormat="1" applyFont="1" applyBorder="1" applyAlignment="1">
      <alignment horizontal="center" vertical="center"/>
    </xf>
    <xf numFmtId="182" fontId="52" fillId="0" borderId="26" xfId="0" applyNumberFormat="1" applyFont="1" applyBorder="1" applyAlignment="1">
      <alignment horizontal="center" vertical="center"/>
    </xf>
    <xf numFmtId="182" fontId="52" fillId="0" borderId="27" xfId="0" applyNumberFormat="1" applyFont="1" applyBorder="1" applyAlignment="1">
      <alignment horizontal="center" vertical="center"/>
    </xf>
    <xf numFmtId="0" fontId="16" fillId="0" borderId="0" xfId="3" applyFont="1" applyAlignment="1">
      <alignment horizontal="right" vertical="center"/>
    </xf>
    <xf numFmtId="31" fontId="16" fillId="0" borderId="0" xfId="3" applyNumberFormat="1" applyFont="1" applyAlignment="1">
      <alignment horizontal="center" vertical="center"/>
    </xf>
    <xf numFmtId="0" fontId="73" fillId="0" borderId="0" xfId="3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NumberFormat="1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61" fillId="17" borderId="70" xfId="0" applyFont="1" applyFill="1" applyBorder="1" applyAlignment="1">
      <alignment horizontal="center" vertical="center"/>
    </xf>
    <xf numFmtId="0" fontId="61" fillId="17" borderId="71" xfId="0" applyFont="1" applyFill="1" applyBorder="1" applyAlignment="1">
      <alignment horizontal="center" vertical="center"/>
    </xf>
    <xf numFmtId="0" fontId="61" fillId="17" borderId="72" xfId="0" applyFont="1" applyFill="1" applyBorder="1" applyAlignment="1">
      <alignment horizontal="center" vertical="center"/>
    </xf>
    <xf numFmtId="180" fontId="16" fillId="0" borderId="0" xfId="0" applyNumberFormat="1" applyFont="1">
      <alignment vertical="center"/>
    </xf>
  </cellXfs>
  <cellStyles count="7">
    <cellStyle name="Normal_IsoKinetic Data" xfId="4" xr:uid="{00000000-0005-0000-0000-000000000000}"/>
    <cellStyle name="표준" xfId="0" builtinId="0"/>
    <cellStyle name="표준 2" xfId="5" xr:uid="{00000000-0005-0000-0000-000002000000}"/>
    <cellStyle name="표준 3" xfId="6" xr:uid="{AF0DF951-F7D0-4010-8D17-2C9C90AE010B}"/>
    <cellStyle name="표준_Title Page" xfId="1" xr:uid="{00000000-0005-0000-0000-000003000000}"/>
    <cellStyle name="표준_수은측정일지(구리)" xfId="2" xr:uid="{00000000-0005-0000-0000-000004000000}"/>
    <cellStyle name="표준_혜성" xfId="3" xr:uid="{00000000-0005-0000-0000-000005000000}"/>
  </cellStyles>
  <dxfs count="0"/>
  <tableStyles count="0" defaultTableStyle="TableStyleMedium9" defaultPivotStyle="PivotStyleLight16"/>
  <colors>
    <mruColors>
      <color rgb="FF0000FF"/>
      <color rgb="FFCCFFCC"/>
      <color rgb="FF99FFCC"/>
      <color rgb="FFFFFF99"/>
      <color rgb="FFFF3399"/>
      <color rgb="FFCCFFFF"/>
      <color rgb="FFE0E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739726027397"/>
          <c:y val="7.9646247137280884E-2"/>
          <c:w val="0.81335616438356151"/>
          <c:h val="0.69616719719993658"/>
        </c:manualLayout>
      </c:layout>
      <c:lineChart>
        <c:grouping val="standard"/>
        <c:varyColors val="0"/>
        <c:ser>
          <c:idx val="1"/>
          <c:order val="0"/>
          <c:tx>
            <c:strRef>
              <c:f>연소가스자료!$B$4</c:f>
              <c:strCache>
                <c:ptCount val="1"/>
                <c:pt idx="0">
                  <c:v>O₂[%]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0.43263888888888885</c:v>
                </c:pt>
                <c:pt idx="1">
                  <c:v>0.43611111111111112</c:v>
                </c:pt>
                <c:pt idx="2">
                  <c:v>0.43958333333333338</c:v>
                </c:pt>
              </c:numCache>
            </c:numRef>
          </c:cat>
          <c:val>
            <c:numRef>
              <c:f>연소가스자료!$B$8:$B$10</c:f>
              <c:numCache>
                <c:formatCode>0.00_);[Red]\(0.00\)</c:formatCode>
                <c:ptCount val="3"/>
                <c:pt idx="0">
                  <c:v>7.9</c:v>
                </c:pt>
                <c:pt idx="1">
                  <c:v>8.1999999999999993</c:v>
                </c:pt>
                <c:pt idx="2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24-4A05-871F-72D301BB5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87104"/>
        <c:axId val="68756608"/>
      </c:lineChart>
      <c:lineChart>
        <c:grouping val="standard"/>
        <c:varyColors val="0"/>
        <c:ser>
          <c:idx val="0"/>
          <c:order val="1"/>
          <c:tx>
            <c:strRef>
              <c:f>연소가스자료!$C$4</c:f>
              <c:strCache>
                <c:ptCount val="1"/>
                <c:pt idx="0">
                  <c:v>CO₂[%]</c:v>
                </c:pt>
              </c:strCache>
            </c:strRef>
          </c:tx>
          <c:spPr>
            <a:ln w="12700">
              <a:solidFill>
                <a:srgbClr val="002060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0.43263888888888885</c:v>
                </c:pt>
                <c:pt idx="1">
                  <c:v>0.43611111111111112</c:v>
                </c:pt>
                <c:pt idx="2">
                  <c:v>0.43958333333333338</c:v>
                </c:pt>
              </c:numCache>
            </c:numRef>
          </c:cat>
          <c:val>
            <c:numRef>
              <c:f>연소가스자료!$C$8:$C$10</c:f>
              <c:numCache>
                <c:formatCode>0.0_);[Red]\(0.0\)</c:formatCode>
                <c:ptCount val="3"/>
                <c:pt idx="0">
                  <c:v>7.6</c:v>
                </c:pt>
                <c:pt idx="1">
                  <c:v>7.4</c:v>
                </c:pt>
                <c:pt idx="2">
                  <c:v>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24-4A05-871F-72D301BB5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58528"/>
        <c:axId val="68760320"/>
      </c:lineChart>
      <c:catAx>
        <c:axId val="68287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ko-KR"/>
                  <a:t>time</a:t>
                </a:r>
                <a:r>
                  <a:rPr lang="en-US" altLang="ko-KR" baseline="0"/>
                  <a:t> (</a:t>
                </a:r>
                <a:r>
                  <a:rPr lang="en-US" altLang="ko-KR"/>
                  <a:t>min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87600869984709862"/>
              <c:y val="0.870890218722659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60000" vert="horz"/>
          <a:lstStyle/>
          <a:p>
            <a:pPr>
              <a:defRPr/>
            </a:pPr>
            <a:endParaRPr lang="ko-KR"/>
          </a:p>
        </c:txPr>
        <c:crossAx val="68756608"/>
        <c:crosses val="autoZero"/>
        <c:auto val="0"/>
        <c:lblAlgn val="ctr"/>
        <c:lblOffset val="100"/>
        <c:tickLblSkip val="120"/>
        <c:tickMarkSkip val="120"/>
        <c:noMultiLvlLbl val="0"/>
      </c:catAx>
      <c:valAx>
        <c:axId val="68756608"/>
        <c:scaling>
          <c:orientation val="minMax"/>
          <c:max val="2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/>
                </a:pPr>
                <a:r>
                  <a:rPr lang="en-US"/>
                  <a:t>O</a:t>
                </a:r>
                <a:r>
                  <a:rPr lang="en-US" baseline="-25000"/>
                  <a:t>2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1986301090279781E-2"/>
              <c:y val="1.868234470691164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68287104"/>
        <c:crosses val="autoZero"/>
        <c:crossBetween val="midCat"/>
      </c:valAx>
      <c:catAx>
        <c:axId val="68758528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68760320"/>
        <c:crosses val="autoZero"/>
        <c:auto val="0"/>
        <c:lblAlgn val="ctr"/>
        <c:lblOffset val="100"/>
        <c:noMultiLvlLbl val="0"/>
      </c:catAx>
      <c:valAx>
        <c:axId val="68760320"/>
        <c:scaling>
          <c:orientation val="minMax"/>
          <c:max val="2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/>
                </a:pPr>
                <a:r>
                  <a:rPr lang="en-US"/>
                  <a:t>CO</a:t>
                </a:r>
                <a:r>
                  <a:rPr lang="en-US" baseline="-25000"/>
                  <a:t>2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94812160162222714"/>
              <c:y val="1.8304951881014875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6875852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aseline="0">
                <a:latin typeface="+mn-ea"/>
                <a:ea typeface="맑은 고딕" pitchFamily="50" charset="-127"/>
              </a:defRPr>
            </a:pPr>
            <a:endParaRPr lang="ko-KR"/>
          </a:p>
        </c:txPr>
      </c:legendEntry>
      <c:layout>
        <c:manualLayout>
          <c:xMode val="edge"/>
          <c:yMode val="edge"/>
          <c:x val="0.22250082658796741"/>
          <c:y val="0.88423531058618055"/>
          <c:w val="0.5547945775829346"/>
          <c:h val="8.259611548556436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>
              <a:latin typeface="+mn-ea"/>
              <a:ea typeface="+mn-ea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+mn-ea"/>
          <a:ea typeface="+mn-ea"/>
          <a:cs typeface="돋움"/>
        </a:defRPr>
      </a:pPr>
      <a:endParaRPr lang="ko-KR"/>
    </a:p>
  </c:txPr>
  <c:printSettings>
    <c:headerFooter alignWithMargins="0">
      <c:oddHeader>&amp;A</c:oddHeader>
      <c:oddFooter>Page &amp;P</c:oddFooter>
    </c:headerFooter>
    <c:pageMargins b="1" l="0.75000000000000389" r="0.75000000000000389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02739726027399E-2"/>
          <c:y val="0.10290250724370677"/>
          <c:w val="0.82363013698630161"/>
          <c:h val="0.68073966330452729"/>
        </c:manualLayout>
      </c:layout>
      <c:lineChart>
        <c:grouping val="standard"/>
        <c:varyColors val="0"/>
        <c:ser>
          <c:idx val="1"/>
          <c:order val="0"/>
          <c:tx>
            <c:strRef>
              <c:f>연소가스자료!$D$4</c:f>
              <c:strCache>
                <c:ptCount val="1"/>
                <c:pt idx="0">
                  <c:v>CO [ppm] </c:v>
                </c:pt>
              </c:strCache>
            </c:strRef>
          </c:tx>
          <c:spPr>
            <a:ln w="12700">
              <a:solidFill>
                <a:srgbClr val="0070C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70C0"/>
              </a:solidFill>
              <a:ln>
                <a:solidFill>
                  <a:srgbClr val="0070C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0.43263888888888885</c:v>
                </c:pt>
                <c:pt idx="1">
                  <c:v>0.43611111111111112</c:v>
                </c:pt>
                <c:pt idx="2">
                  <c:v>0.43958333333333338</c:v>
                </c:pt>
              </c:numCache>
            </c:numRef>
          </c:cat>
          <c:val>
            <c:numRef>
              <c:f>연소가스자료!$D$8:$D$10</c:f>
              <c:numCache>
                <c:formatCode>0_);[Red]\(0\)</c:formatCode>
                <c:ptCount val="3"/>
                <c:pt idx="0">
                  <c:v>12</c:v>
                </c:pt>
                <c:pt idx="1">
                  <c:v>13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6-4F89-B9C4-2901269EC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7584"/>
        <c:axId val="68790144"/>
      </c:lineChart>
      <c:lineChart>
        <c:grouping val="standard"/>
        <c:varyColors val="0"/>
        <c:ser>
          <c:idx val="0"/>
          <c:order val="1"/>
          <c:tx>
            <c:strRef>
              <c:f>연소가스자료!$F$4</c:f>
              <c:strCache>
                <c:ptCount val="1"/>
                <c:pt idx="0">
                  <c:v>SOx [ppm] 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C000"/>
              </a:solidFill>
              <a:ln>
                <a:solidFill>
                  <a:srgbClr val="FFC00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0.43263888888888885</c:v>
                </c:pt>
                <c:pt idx="1">
                  <c:v>0.43611111111111112</c:v>
                </c:pt>
                <c:pt idx="2">
                  <c:v>0.43958333333333338</c:v>
                </c:pt>
              </c:numCache>
            </c:numRef>
          </c:cat>
          <c:val>
            <c:numRef>
              <c:f>연소가스자료!$F$8:$F$10</c:f>
              <c:numCache>
                <c:formatCode>0.0_);[Red]\(0.0\)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86-4F89-B9C4-2901269EC74B}"/>
            </c:ext>
          </c:extLst>
        </c:ser>
        <c:ser>
          <c:idx val="2"/>
          <c:order val="2"/>
          <c:tx>
            <c:strRef>
              <c:f>연소가스자료!$E$4</c:f>
              <c:strCache>
                <c:ptCount val="1"/>
                <c:pt idx="0">
                  <c:v>NOx [ppm] </c:v>
                </c:pt>
              </c:strCache>
            </c:strRef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0.43263888888888885</c:v>
                </c:pt>
                <c:pt idx="1">
                  <c:v>0.43611111111111112</c:v>
                </c:pt>
                <c:pt idx="2">
                  <c:v>0.43958333333333338</c:v>
                </c:pt>
              </c:numCache>
            </c:numRef>
          </c:cat>
          <c:val>
            <c:numRef>
              <c:f>연소가스자료!$E$8:$E$10</c:f>
              <c:numCache>
                <c:formatCode>0.0_);[Red]\(0.0\)</c:formatCode>
                <c:ptCount val="3"/>
                <c:pt idx="0">
                  <c:v>29</c:v>
                </c:pt>
                <c:pt idx="1">
                  <c:v>27</c:v>
                </c:pt>
                <c:pt idx="2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86-4F89-B9C4-2901269EC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92320"/>
        <c:axId val="68793856"/>
      </c:lineChart>
      <c:catAx>
        <c:axId val="68787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>
            <c:manualLayout>
              <c:xMode val="edge"/>
              <c:yMode val="edge"/>
              <c:x val="0.88579439252336833"/>
              <c:y val="0.87404036759556436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60000" vert="horz"/>
          <a:lstStyle/>
          <a:p>
            <a:pPr>
              <a:defRPr/>
            </a:pPr>
            <a:endParaRPr lang="ko-KR"/>
          </a:p>
        </c:txPr>
        <c:crossAx val="68790144"/>
        <c:crosses val="autoZero"/>
        <c:auto val="0"/>
        <c:lblAlgn val="ctr"/>
        <c:lblOffset val="100"/>
        <c:tickLblSkip val="120"/>
        <c:tickMarkSkip val="120"/>
        <c:noMultiLvlLbl val="0"/>
      </c:catAx>
      <c:valAx>
        <c:axId val="68790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/>
                </a:pPr>
                <a:r>
                  <a:rPr lang="en-US"/>
                  <a:t>CO, NOx, SOx</a:t>
                </a:r>
              </a:p>
            </c:rich>
          </c:tx>
          <c:layout>
            <c:manualLayout>
              <c:xMode val="edge"/>
              <c:yMode val="edge"/>
              <c:x val="9.3245353676585027E-3"/>
              <c:y val="1.9425119029932748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68787584"/>
        <c:crosses val="autoZero"/>
        <c:crossBetween val="midCat"/>
      </c:valAx>
      <c:catAx>
        <c:axId val="68792320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68793856"/>
        <c:crosses val="autoZero"/>
        <c:auto val="0"/>
        <c:lblAlgn val="ctr"/>
        <c:lblOffset val="100"/>
        <c:noMultiLvlLbl val="0"/>
      </c:catAx>
      <c:valAx>
        <c:axId val="68793856"/>
        <c:scaling>
          <c:orientation val="minMax"/>
          <c:max val="900"/>
        </c:scaling>
        <c:delete val="1"/>
        <c:axPos val="r"/>
        <c:numFmt formatCode="General" sourceLinked="0"/>
        <c:majorTickMark val="in"/>
        <c:minorTickMark val="none"/>
        <c:tickLblPos val="nextTo"/>
        <c:crossAx val="68792320"/>
        <c:crosses val="max"/>
        <c:crossBetween val="midCat"/>
        <c:majorUnit val="15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260570232459262"/>
          <c:y val="0.89357075648562789"/>
          <c:w val="0.77199712185509561"/>
          <c:h val="7.387850103642701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+mn-ea"/>
          <a:ea typeface="+mn-ea"/>
          <a:cs typeface="Arial"/>
        </a:defRPr>
      </a:pPr>
      <a:endParaRPr lang="ko-KR"/>
    </a:p>
  </c:txPr>
  <c:printSettings>
    <c:headerFooter alignWithMargins="0">
      <c:oddHeader>&amp;A</c:oddHeader>
      <c:oddFooter>Page &amp;P</c:oddFooter>
    </c:headerFooter>
    <c:pageMargins b="1" l="0.75000000000000389" r="0.75000000000000389" t="1" header="0.5" footer="0.5"/>
    <c:pageSetup paperSize="9"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1" Type="http://schemas.openxmlformats.org/officeDocument/2006/relationships/image" Target="../media/image17.png"/><Relationship Id="rId5" Type="http://schemas.openxmlformats.org/officeDocument/2006/relationships/image" Target="../media/image11.png"/><Relationship Id="rId15" Type="http://schemas.openxmlformats.org/officeDocument/2006/relationships/image" Target="../media/image21.png"/><Relationship Id="rId10" Type="http://schemas.openxmlformats.org/officeDocument/2006/relationships/image" Target="../media/image16.png"/><Relationship Id="rId19" Type="http://schemas.openxmlformats.org/officeDocument/2006/relationships/image" Target="../media/image25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4" Type="http://schemas.openxmlformats.org/officeDocument/2006/relationships/image" Target="../media/image2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806824</xdr:colOff>
      <xdr:row>41</xdr:row>
      <xdr:rowOff>33619</xdr:rowOff>
    </xdr:from>
    <xdr:to>
      <xdr:col>6</xdr:col>
      <xdr:colOff>190499</xdr:colOff>
      <xdr:row>45</xdr:row>
      <xdr:rowOff>147713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8824" y="7541560"/>
          <a:ext cx="3384175" cy="7864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426759</xdr:colOff>
      <xdr:row>2</xdr:row>
      <xdr:rowOff>190501</xdr:rowOff>
    </xdr:from>
    <xdr:to>
      <xdr:col>3</xdr:col>
      <xdr:colOff>381001</xdr:colOff>
      <xdr:row>12</xdr:row>
      <xdr:rowOff>30139</xdr:rowOff>
    </xdr:to>
    <xdr:pic>
      <xdr:nvPicPr>
        <xdr:cNvPr id="3391" name="Picture 17">
          <a:extLst>
            <a:ext uri="{FF2B5EF4-FFF2-40B4-BE49-F238E27FC236}">
              <a16:creationId xmlns:a16="http://schemas.microsoft.com/office/drawing/2014/main" id="{00000000-0008-0000-0200-00003F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7612" y="739589"/>
          <a:ext cx="2441948" cy="1935138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315445</xdr:colOff>
      <xdr:row>2</xdr:row>
      <xdr:rowOff>155202</xdr:rowOff>
    </xdr:from>
    <xdr:to>
      <xdr:col>7</xdr:col>
      <xdr:colOff>235323</xdr:colOff>
      <xdr:row>12</xdr:row>
      <xdr:rowOff>136761</xdr:rowOff>
    </xdr:to>
    <xdr:pic>
      <xdr:nvPicPr>
        <xdr:cNvPr id="3392" name="Picture 53">
          <a:extLst>
            <a:ext uri="{FF2B5EF4-FFF2-40B4-BE49-F238E27FC236}">
              <a16:creationId xmlns:a16="http://schemas.microsoft.com/office/drawing/2014/main" id="{00000000-0008-0000-0200-000040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6004" y="704290"/>
          <a:ext cx="2979084" cy="2077059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14</xdr:row>
          <xdr:rowOff>57150</xdr:rowOff>
        </xdr:from>
        <xdr:to>
          <xdr:col>7</xdr:col>
          <xdr:colOff>533400</xdr:colOff>
          <xdr:row>30</xdr:row>
          <xdr:rowOff>104775</xdr:rowOff>
        </xdr:to>
        <xdr:sp macro="" textlink="">
          <xdr:nvSpPr>
            <xdr:cNvPr id="3074" name="Object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3</xdr:row>
      <xdr:rowOff>171450</xdr:rowOff>
    </xdr:from>
    <xdr:to>
      <xdr:col>15</xdr:col>
      <xdr:colOff>7793</xdr:colOff>
      <xdr:row>24</xdr:row>
      <xdr:rowOff>129886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165100</xdr:colOff>
      <xdr:row>25</xdr:row>
      <xdr:rowOff>77066</xdr:rowOff>
    </xdr:from>
    <xdr:to>
      <xdr:col>15</xdr:col>
      <xdr:colOff>30018</xdr:colOff>
      <xdr:row>41</xdr:row>
      <xdr:rowOff>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490015</xdr:colOff>
          <xdr:row>4</xdr:row>
          <xdr:rowOff>21776</xdr:rowOff>
        </xdr:from>
        <xdr:to>
          <xdr:col>6</xdr:col>
          <xdr:colOff>945309</xdr:colOff>
          <xdr:row>10</xdr:row>
          <xdr:rowOff>6423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ShowPic" spid="_x0000_s5655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 bwMode="auto">
            <a:xfrm>
              <a:off x="3257868" y="974276"/>
              <a:ext cx="1800000" cy="1800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417578</xdr:colOff>
      <xdr:row>50</xdr:row>
      <xdr:rowOff>41141</xdr:rowOff>
    </xdr:from>
    <xdr:to>
      <xdr:col>10</xdr:col>
      <xdr:colOff>20811</xdr:colOff>
      <xdr:row>53</xdr:row>
      <xdr:rowOff>144016</xdr:rowOff>
    </xdr:to>
    <xdr:pic>
      <xdr:nvPicPr>
        <xdr:cNvPr id="15576" name="_x133882184" descr="DRW0000093c59cb">
          <a:extLst>
            <a:ext uri="{FF2B5EF4-FFF2-40B4-BE49-F238E27FC236}">
              <a16:creationId xmlns:a16="http://schemas.microsoft.com/office/drawing/2014/main" id="{00000000-0008-0000-0700-0000D8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578" y="6436498"/>
          <a:ext cx="5073304" cy="633554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628650</xdr:colOff>
      <xdr:row>29</xdr:row>
      <xdr:rowOff>38100</xdr:rowOff>
    </xdr:from>
    <xdr:to>
      <xdr:col>7</xdr:col>
      <xdr:colOff>133350</xdr:colOff>
      <xdr:row>31</xdr:row>
      <xdr:rowOff>123825</xdr:rowOff>
    </xdr:to>
    <xdr:pic>
      <xdr:nvPicPr>
        <xdr:cNvPr id="15578" name="_x134303384" descr="DRW0000093c59d1">
          <a:extLst>
            <a:ext uri="{FF2B5EF4-FFF2-40B4-BE49-F238E27FC236}">
              <a16:creationId xmlns:a16="http://schemas.microsoft.com/office/drawing/2014/main" id="{00000000-0008-0000-0700-0000DA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3200400"/>
          <a:ext cx="1933575" cy="428625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85725</xdr:colOff>
      <xdr:row>112</xdr:row>
      <xdr:rowOff>47625</xdr:rowOff>
    </xdr:from>
    <xdr:to>
      <xdr:col>4</xdr:col>
      <xdr:colOff>104775</xdr:colOff>
      <xdr:row>115</xdr:row>
      <xdr:rowOff>95250</xdr:rowOff>
    </xdr:to>
    <xdr:pic>
      <xdr:nvPicPr>
        <xdr:cNvPr id="15579" name="_x86845240" descr="DRW00000b3c627d">
          <a:extLst>
            <a:ext uri="{FF2B5EF4-FFF2-40B4-BE49-F238E27FC236}">
              <a16:creationId xmlns:a16="http://schemas.microsoft.com/office/drawing/2014/main" id="{00000000-0008-0000-0700-0000DB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10782300"/>
          <a:ext cx="1628775" cy="571500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85725</xdr:colOff>
      <xdr:row>92</xdr:row>
      <xdr:rowOff>76200</xdr:rowOff>
    </xdr:from>
    <xdr:to>
      <xdr:col>4</xdr:col>
      <xdr:colOff>114300</xdr:colOff>
      <xdr:row>95</xdr:row>
      <xdr:rowOff>38100</xdr:rowOff>
    </xdr:to>
    <xdr:pic>
      <xdr:nvPicPr>
        <xdr:cNvPr id="15580" name="_x86843880" descr="DRW00000b3c627f">
          <a:extLst>
            <a:ext uri="{FF2B5EF4-FFF2-40B4-BE49-F238E27FC236}">
              <a16:creationId xmlns:a16="http://schemas.microsoft.com/office/drawing/2014/main" id="{00000000-0008-0000-0700-0000DC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558" y="9177867"/>
          <a:ext cx="2293409" cy="607483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152400</xdr:colOff>
      <xdr:row>3</xdr:row>
      <xdr:rowOff>54088</xdr:rowOff>
    </xdr:from>
    <xdr:to>
      <xdr:col>8</xdr:col>
      <xdr:colOff>504265</xdr:colOff>
      <xdr:row>7</xdr:row>
      <xdr:rowOff>123825</xdr:rowOff>
    </xdr:to>
    <xdr:pic>
      <xdr:nvPicPr>
        <xdr:cNvPr id="15582" name="_x83189624" descr="DRW00000d902ab9">
          <a:extLst>
            <a:ext uri="{FF2B5EF4-FFF2-40B4-BE49-F238E27FC236}">
              <a16:creationId xmlns:a16="http://schemas.microsoft.com/office/drawing/2014/main" id="{00000000-0008-0000-0700-0000DE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4547" y="558353"/>
          <a:ext cx="3556747" cy="742090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704850</xdr:colOff>
      <xdr:row>18</xdr:row>
      <xdr:rowOff>28575</xdr:rowOff>
    </xdr:from>
    <xdr:to>
      <xdr:col>8</xdr:col>
      <xdr:colOff>38100</xdr:colOff>
      <xdr:row>20</xdr:row>
      <xdr:rowOff>161925</xdr:rowOff>
    </xdr:to>
    <xdr:pic>
      <xdr:nvPicPr>
        <xdr:cNvPr id="15583" name="_x83201912" descr="DRW00000d902abb">
          <a:extLst>
            <a:ext uri="{FF2B5EF4-FFF2-40B4-BE49-F238E27FC236}">
              <a16:creationId xmlns:a16="http://schemas.microsoft.com/office/drawing/2014/main" id="{00000000-0008-0000-0700-0000DF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1790700"/>
          <a:ext cx="2247900" cy="476250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60513</xdr:colOff>
      <xdr:row>67</xdr:row>
      <xdr:rowOff>87966</xdr:rowOff>
    </xdr:from>
    <xdr:to>
      <xdr:col>10</xdr:col>
      <xdr:colOff>291354</xdr:colOff>
      <xdr:row>72</xdr:row>
      <xdr:rowOff>62042</xdr:rowOff>
    </xdr:to>
    <xdr:pic>
      <xdr:nvPicPr>
        <xdr:cNvPr id="15584" name="_x83433656" descr="DRW00000d902abd">
          <a:extLst>
            <a:ext uri="{FF2B5EF4-FFF2-40B4-BE49-F238E27FC236}">
              <a16:creationId xmlns:a16="http://schemas.microsoft.com/office/drawing/2014/main" id="{00000000-0008-0000-0700-0000E0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6013" y="8682878"/>
          <a:ext cx="3581400" cy="848135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134470</xdr:colOff>
      <xdr:row>99</xdr:row>
      <xdr:rowOff>67237</xdr:rowOff>
    </xdr:from>
    <xdr:to>
      <xdr:col>7</xdr:col>
      <xdr:colOff>836351</xdr:colOff>
      <xdr:row>103</xdr:row>
      <xdr:rowOff>135490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91117" y="10410266"/>
          <a:ext cx="2801472" cy="87405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8</xdr:col>
      <xdr:colOff>56030</xdr:colOff>
      <xdr:row>25</xdr:row>
      <xdr:rowOff>112060</xdr:rowOff>
    </xdr:from>
    <xdr:to>
      <xdr:col>11</xdr:col>
      <xdr:colOff>273174</xdr:colOff>
      <xdr:row>27</xdr:row>
      <xdr:rowOff>178582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80605" y="5226985"/>
          <a:ext cx="3427069" cy="504672"/>
        </a:xfrm>
        <a:prstGeom prst="rect">
          <a:avLst/>
        </a:prstGeom>
      </xdr:spPr>
    </xdr:pic>
    <xdr:clientData/>
  </xdr:twoCellAnchor>
  <xdr:twoCellAnchor>
    <xdr:from>
      <xdr:col>1</xdr:col>
      <xdr:colOff>33617</xdr:colOff>
      <xdr:row>25</xdr:row>
      <xdr:rowOff>78441</xdr:rowOff>
    </xdr:from>
    <xdr:to>
      <xdr:col>7</xdr:col>
      <xdr:colOff>537883</xdr:colOff>
      <xdr:row>28</xdr:row>
      <xdr:rowOff>171525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520450" y="2311524"/>
          <a:ext cx="4843433" cy="728084"/>
          <a:chOff x="515470" y="5255559"/>
          <a:chExt cx="4852148" cy="731819"/>
        </a:xfrm>
      </xdr:grpSpPr>
      <xdr:pic>
        <xdr:nvPicPr>
          <xdr:cNvPr id="11" name="그림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582706" y="5255559"/>
            <a:ext cx="4784912" cy="549958"/>
          </a:xfrm>
          <a:prstGeom prst="rect">
            <a:avLst/>
          </a:prstGeom>
        </xdr:spPr>
      </xdr:pic>
      <xdr:pic>
        <xdr:nvPicPr>
          <xdr:cNvPr id="16" name="그림 15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515470" y="5748619"/>
            <a:ext cx="2718022" cy="238759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14407</xdr:colOff>
      <xdr:row>36</xdr:row>
      <xdr:rowOff>88272</xdr:rowOff>
    </xdr:from>
    <xdr:to>
      <xdr:col>4</xdr:col>
      <xdr:colOff>408284</xdr:colOff>
      <xdr:row>39</xdr:row>
      <xdr:rowOff>22412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-1686" t="-1778" r="1686" b="58108"/>
        <a:stretch/>
      </xdr:blipFill>
      <xdr:spPr>
        <a:xfrm>
          <a:off x="496260" y="7641037"/>
          <a:ext cx="2657465" cy="572875"/>
        </a:xfrm>
        <a:prstGeom prst="rect">
          <a:avLst/>
        </a:prstGeom>
      </xdr:spPr>
    </xdr:pic>
    <xdr:clientData/>
  </xdr:twoCellAnchor>
  <xdr:twoCellAnchor editAs="oneCell">
    <xdr:from>
      <xdr:col>8</xdr:col>
      <xdr:colOff>44823</xdr:colOff>
      <xdr:row>36</xdr:row>
      <xdr:rowOff>11205</xdr:rowOff>
    </xdr:from>
    <xdr:to>
      <xdr:col>10</xdr:col>
      <xdr:colOff>786082</xdr:colOff>
      <xdr:row>39</xdr:row>
      <xdr:rowOff>33617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t="40894"/>
        <a:stretch/>
      </xdr:blipFill>
      <xdr:spPr>
        <a:xfrm>
          <a:off x="6174441" y="7563970"/>
          <a:ext cx="2657465" cy="661147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76</xdr:row>
      <xdr:rowOff>179294</xdr:rowOff>
    </xdr:from>
    <xdr:to>
      <xdr:col>3</xdr:col>
      <xdr:colOff>677157</xdr:colOff>
      <xdr:row>79</xdr:row>
      <xdr:rowOff>169806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08187" y="16095569"/>
          <a:ext cx="2159695" cy="647737"/>
        </a:xfrm>
        <a:prstGeom prst="rect">
          <a:avLst/>
        </a:prstGeom>
      </xdr:spPr>
    </xdr:pic>
    <xdr:clientData/>
  </xdr:twoCellAnchor>
  <xdr:twoCellAnchor>
    <xdr:from>
      <xdr:col>8</xdr:col>
      <xdr:colOff>44822</xdr:colOff>
      <xdr:row>77</xdr:row>
      <xdr:rowOff>1</xdr:rowOff>
    </xdr:from>
    <xdr:to>
      <xdr:col>11</xdr:col>
      <xdr:colOff>329206</xdr:colOff>
      <xdr:row>81</xdr:row>
      <xdr:rowOff>118507</xdr:rowOff>
    </xdr:to>
    <xdr:grpSp>
      <xdr:nvGrpSpPr>
        <xdr:cNvPr id="33" name="그룹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GrpSpPr/>
      </xdr:nvGrpSpPr>
      <xdr:grpSpPr>
        <a:xfrm>
          <a:off x="6161989" y="7588251"/>
          <a:ext cx="3491134" cy="965173"/>
          <a:chOff x="6174440" y="16383001"/>
          <a:chExt cx="3500472" cy="970153"/>
        </a:xfrm>
      </xdr:grpSpPr>
      <xdr:pic>
        <xdr:nvPicPr>
          <xdr:cNvPr id="27" name="그림 26"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6174440" y="16853648"/>
            <a:ext cx="2990021" cy="251643"/>
          </a:xfrm>
          <a:prstGeom prst="rect">
            <a:avLst/>
          </a:prstGeom>
        </xdr:spPr>
      </xdr:pic>
      <xdr:pic>
        <xdr:nvPicPr>
          <xdr:cNvPr id="28" name="그림 27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6241678" y="16383001"/>
            <a:ext cx="3433234" cy="474008"/>
          </a:xfrm>
          <a:prstGeom prst="rect">
            <a:avLst/>
          </a:prstGeom>
        </xdr:spPr>
      </xdr:pic>
      <xdr:pic>
        <xdr:nvPicPr>
          <xdr:cNvPr id="30" name="그림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6196851" y="17122586"/>
            <a:ext cx="3030652" cy="230568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184096</xdr:colOff>
      <xdr:row>107</xdr:row>
      <xdr:rowOff>60452</xdr:rowOff>
    </xdr:from>
    <xdr:to>
      <xdr:col>3</xdr:col>
      <xdr:colOff>425824</xdr:colOff>
      <xdr:row>108</xdr:row>
      <xdr:rowOff>81315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69871" y="18929477"/>
          <a:ext cx="1746678" cy="230414"/>
        </a:xfrm>
        <a:prstGeom prst="rect">
          <a:avLst/>
        </a:prstGeom>
      </xdr:spPr>
    </xdr:pic>
    <xdr:clientData/>
  </xdr:twoCellAnchor>
  <xdr:twoCellAnchor editAs="oneCell">
    <xdr:from>
      <xdr:col>8</xdr:col>
      <xdr:colOff>165686</xdr:colOff>
      <xdr:row>107</xdr:row>
      <xdr:rowOff>44822</xdr:rowOff>
    </xdr:from>
    <xdr:to>
      <xdr:col>11</xdr:col>
      <xdr:colOff>29385</xdr:colOff>
      <xdr:row>110</xdr:row>
      <xdr:rowOff>162110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t="36631"/>
        <a:stretch/>
      </xdr:blipFill>
      <xdr:spPr>
        <a:xfrm>
          <a:off x="6290261" y="18913847"/>
          <a:ext cx="3073624" cy="745938"/>
        </a:xfrm>
        <a:prstGeom prst="rect">
          <a:avLst/>
        </a:prstGeom>
      </xdr:spPr>
    </xdr:pic>
    <xdr:clientData/>
  </xdr:twoCellAnchor>
  <xdr:twoCellAnchor editAs="oneCell">
    <xdr:from>
      <xdr:col>1</xdr:col>
      <xdr:colOff>123265</xdr:colOff>
      <xdr:row>108</xdr:row>
      <xdr:rowOff>112059</xdr:rowOff>
    </xdr:from>
    <xdr:to>
      <xdr:col>6</xdr:col>
      <xdr:colOff>98236</xdr:colOff>
      <xdr:row>110</xdr:row>
      <xdr:rowOff>156883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b="64308"/>
        <a:stretch/>
      </xdr:blipFill>
      <xdr:spPr>
        <a:xfrm>
          <a:off x="609040" y="19190634"/>
          <a:ext cx="3403971" cy="463923"/>
        </a:xfrm>
        <a:prstGeom prst="rect">
          <a:avLst/>
        </a:prstGeom>
      </xdr:spPr>
    </xdr:pic>
    <xdr:clientData/>
  </xdr:twoCellAnchor>
  <xdr:twoCellAnchor editAs="oneCell">
    <xdr:from>
      <xdr:col>8</xdr:col>
      <xdr:colOff>61633</xdr:colOff>
      <xdr:row>116</xdr:row>
      <xdr:rowOff>67236</xdr:rowOff>
    </xdr:from>
    <xdr:to>
      <xdr:col>10</xdr:col>
      <xdr:colOff>636877</xdr:colOff>
      <xdr:row>118</xdr:row>
      <xdr:rowOff>56031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t="21221" b="25382"/>
        <a:stretch/>
      </xdr:blipFill>
      <xdr:spPr>
        <a:xfrm>
          <a:off x="6186208" y="21069861"/>
          <a:ext cx="2489769" cy="426944"/>
        </a:xfrm>
        <a:prstGeom prst="rect">
          <a:avLst/>
        </a:prstGeom>
      </xdr:spPr>
    </xdr:pic>
    <xdr:clientData/>
  </xdr:twoCellAnchor>
  <xdr:twoCellAnchor>
    <xdr:from>
      <xdr:col>1</xdr:col>
      <xdr:colOff>78442</xdr:colOff>
      <xdr:row>116</xdr:row>
      <xdr:rowOff>22412</xdr:rowOff>
    </xdr:from>
    <xdr:to>
      <xdr:col>4</xdr:col>
      <xdr:colOff>339921</xdr:colOff>
      <xdr:row>117</xdr:row>
      <xdr:rowOff>213348</xdr:rowOff>
    </xdr:to>
    <xdr:grpSp>
      <xdr:nvGrpSpPr>
        <xdr:cNvPr id="38" name="그룹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GrpSpPr/>
      </xdr:nvGrpSpPr>
      <xdr:grpSpPr>
        <a:xfrm>
          <a:off x="565275" y="15992662"/>
          <a:ext cx="2526313" cy="413186"/>
          <a:chOff x="560295" y="21145500"/>
          <a:chExt cx="2525067" cy="415054"/>
        </a:xfrm>
      </xdr:grpSpPr>
      <xdr:pic>
        <xdr:nvPicPr>
          <xdr:cNvPr id="39" name="그림 38">
            <a:extLst>
              <a:ext uri="{FF2B5EF4-FFF2-40B4-BE49-F238E27FC236}">
                <a16:creationId xmlns:a16="http://schemas.microsoft.com/office/drawing/2014/main" id="{00000000-0008-0000-0700-00002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b="78094"/>
          <a:stretch/>
        </xdr:blipFill>
        <xdr:spPr>
          <a:xfrm>
            <a:off x="593912" y="21145500"/>
            <a:ext cx="2491450" cy="179294"/>
          </a:xfrm>
          <a:prstGeom prst="rect">
            <a:avLst/>
          </a:prstGeom>
        </xdr:spPr>
      </xdr:pic>
      <xdr:pic>
        <xdr:nvPicPr>
          <xdr:cNvPr id="40" name="그림 39">
            <a:extLst>
              <a:ext uri="{FF2B5EF4-FFF2-40B4-BE49-F238E27FC236}">
                <a16:creationId xmlns:a16="http://schemas.microsoft.com/office/drawing/2014/main" id="{00000000-0008-0000-0700-00002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t="75302"/>
          <a:stretch/>
        </xdr:blipFill>
        <xdr:spPr>
          <a:xfrm>
            <a:off x="560295" y="21358411"/>
            <a:ext cx="2491450" cy="202143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0</xdr:colOff>
      <xdr:row>96</xdr:row>
      <xdr:rowOff>0</xdr:rowOff>
    </xdr:from>
    <xdr:to>
      <xdr:col>10</xdr:col>
      <xdr:colOff>575244</xdr:colOff>
      <xdr:row>98</xdr:row>
      <xdr:rowOff>11204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t="21221" b="25382"/>
        <a:stretch/>
      </xdr:blipFill>
      <xdr:spPr>
        <a:xfrm>
          <a:off x="6124575" y="22736175"/>
          <a:ext cx="2489769" cy="430306"/>
        </a:xfrm>
        <a:prstGeom prst="rect">
          <a:avLst/>
        </a:prstGeom>
      </xdr:spPr>
    </xdr:pic>
    <xdr:clientData/>
  </xdr:twoCellAnchor>
  <xdr:twoCellAnchor>
    <xdr:from>
      <xdr:col>1</xdr:col>
      <xdr:colOff>33618</xdr:colOff>
      <xdr:row>96</xdr:row>
      <xdr:rowOff>22412</xdr:rowOff>
    </xdr:from>
    <xdr:to>
      <xdr:col>3</xdr:col>
      <xdr:colOff>297502</xdr:colOff>
      <xdr:row>98</xdr:row>
      <xdr:rowOff>33618</xdr:rowOff>
    </xdr:to>
    <xdr:grpSp>
      <xdr:nvGrpSpPr>
        <xdr:cNvPr id="42" name="그룹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GrpSpPr/>
      </xdr:nvGrpSpPr>
      <xdr:grpSpPr>
        <a:xfrm>
          <a:off x="520451" y="11695829"/>
          <a:ext cx="1766718" cy="434539"/>
          <a:chOff x="515471" y="22893618"/>
          <a:chExt cx="1765472" cy="419064"/>
        </a:xfrm>
      </xdr:grpSpPr>
      <xdr:pic>
        <xdr:nvPicPr>
          <xdr:cNvPr id="43" name="그림 4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b="44431"/>
          <a:stretch/>
        </xdr:blipFill>
        <xdr:spPr>
          <a:xfrm>
            <a:off x="560294" y="22893618"/>
            <a:ext cx="1551264" cy="201706"/>
          </a:xfrm>
          <a:prstGeom prst="rect">
            <a:avLst/>
          </a:prstGeom>
        </xdr:spPr>
      </xdr:pic>
      <xdr:pic>
        <xdr:nvPicPr>
          <xdr:cNvPr id="44" name="그림 43">
            <a:extLst>
              <a:ext uri="{FF2B5EF4-FFF2-40B4-BE49-F238E27FC236}">
                <a16:creationId xmlns:a16="http://schemas.microsoft.com/office/drawing/2014/main" id="{00000000-0008-0000-0700-00002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9"/>
          <a:srcRect t="50852"/>
          <a:stretch/>
        </xdr:blipFill>
        <xdr:spPr>
          <a:xfrm>
            <a:off x="515471" y="23117735"/>
            <a:ext cx="1765472" cy="194947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85725</xdr:colOff>
      <xdr:row>83</xdr:row>
      <xdr:rowOff>76200</xdr:rowOff>
    </xdr:from>
    <xdr:to>
      <xdr:col>4</xdr:col>
      <xdr:colOff>114300</xdr:colOff>
      <xdr:row>86</xdr:row>
      <xdr:rowOff>38100</xdr:rowOff>
    </xdr:to>
    <xdr:pic>
      <xdr:nvPicPr>
        <xdr:cNvPr id="45" name="_x86843880" descr="DRW00000b3c627f">
          <a:extLst>
            <a:ext uri="{FF2B5EF4-FFF2-40B4-BE49-F238E27FC236}">
              <a16:creationId xmlns:a16="http://schemas.microsoft.com/office/drawing/2014/main" id="{7E6A03C5-1A5E-4DA2-BCEC-636D49990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558" y="10955867"/>
          <a:ext cx="2293409" cy="607483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8</xdr:col>
      <xdr:colOff>0</xdr:colOff>
      <xdr:row>87</xdr:row>
      <xdr:rowOff>0</xdr:rowOff>
    </xdr:from>
    <xdr:ext cx="2490827" cy="434537"/>
    <xdr:pic>
      <xdr:nvPicPr>
        <xdr:cNvPr id="46" name="그림 45">
          <a:extLst>
            <a:ext uri="{FF2B5EF4-FFF2-40B4-BE49-F238E27FC236}">
              <a16:creationId xmlns:a16="http://schemas.microsoft.com/office/drawing/2014/main" id="{67DA3113-383A-4BB5-A474-33573B4962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t="21221" b="25382"/>
        <a:stretch/>
      </xdr:blipFill>
      <xdr:spPr>
        <a:xfrm>
          <a:off x="6117167" y="11736917"/>
          <a:ext cx="2490827" cy="434537"/>
        </a:xfrm>
        <a:prstGeom prst="rect">
          <a:avLst/>
        </a:prstGeom>
      </xdr:spPr>
    </xdr:pic>
    <xdr:clientData/>
  </xdr:oneCellAnchor>
  <xdr:twoCellAnchor>
    <xdr:from>
      <xdr:col>1</xdr:col>
      <xdr:colOff>33618</xdr:colOff>
      <xdr:row>87</xdr:row>
      <xdr:rowOff>22412</xdr:rowOff>
    </xdr:from>
    <xdr:to>
      <xdr:col>3</xdr:col>
      <xdr:colOff>297502</xdr:colOff>
      <xdr:row>89</xdr:row>
      <xdr:rowOff>33618</xdr:rowOff>
    </xdr:to>
    <xdr:grpSp>
      <xdr:nvGrpSpPr>
        <xdr:cNvPr id="47" name="그룹 46">
          <a:extLst>
            <a:ext uri="{FF2B5EF4-FFF2-40B4-BE49-F238E27FC236}">
              <a16:creationId xmlns:a16="http://schemas.microsoft.com/office/drawing/2014/main" id="{5BDCC250-C049-4962-8ABF-F10EDC1D778F}"/>
            </a:ext>
          </a:extLst>
        </xdr:cNvPr>
        <xdr:cNvGrpSpPr/>
      </xdr:nvGrpSpPr>
      <xdr:grpSpPr>
        <a:xfrm>
          <a:off x="520451" y="9759079"/>
          <a:ext cx="1766718" cy="434539"/>
          <a:chOff x="515471" y="22893618"/>
          <a:chExt cx="1765472" cy="419064"/>
        </a:xfrm>
      </xdr:grpSpPr>
      <xdr:pic>
        <xdr:nvPicPr>
          <xdr:cNvPr id="48" name="그림 47">
            <a:extLst>
              <a:ext uri="{FF2B5EF4-FFF2-40B4-BE49-F238E27FC236}">
                <a16:creationId xmlns:a16="http://schemas.microsoft.com/office/drawing/2014/main" id="{67F87401-BC46-475C-B1C0-6FCDC1A8D27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b="44431"/>
          <a:stretch/>
        </xdr:blipFill>
        <xdr:spPr>
          <a:xfrm>
            <a:off x="560294" y="22893618"/>
            <a:ext cx="1551264" cy="201706"/>
          </a:xfrm>
          <a:prstGeom prst="rect">
            <a:avLst/>
          </a:prstGeom>
        </xdr:spPr>
      </xdr:pic>
      <xdr:pic>
        <xdr:nvPicPr>
          <xdr:cNvPr id="49" name="그림 48">
            <a:extLst>
              <a:ext uri="{FF2B5EF4-FFF2-40B4-BE49-F238E27FC236}">
                <a16:creationId xmlns:a16="http://schemas.microsoft.com/office/drawing/2014/main" id="{71C937E0-3B56-4756-9C7D-26BFB0AFDA2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9"/>
          <a:srcRect t="50852"/>
          <a:stretch/>
        </xdr:blipFill>
        <xdr:spPr>
          <a:xfrm>
            <a:off x="515471" y="23117735"/>
            <a:ext cx="1765472" cy="194947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2520000</xdr:colOff>
      <xdr:row>0</xdr:row>
      <xdr:rowOff>2520000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1</xdr:col>
      <xdr:colOff>7125</xdr:colOff>
      <xdr:row>0</xdr:row>
      <xdr:rowOff>0</xdr:rowOff>
    </xdr:from>
    <xdr:to>
      <xdr:col>1</xdr:col>
      <xdr:colOff>2527125</xdr:colOff>
      <xdr:row>0</xdr:row>
      <xdr:rowOff>2520000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775" y="0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14250</xdr:colOff>
      <xdr:row>0</xdr:row>
      <xdr:rowOff>0</xdr:rowOff>
    </xdr:from>
    <xdr:to>
      <xdr:col>3</xdr:col>
      <xdr:colOff>600</xdr:colOff>
      <xdr:row>0</xdr:row>
      <xdr:rowOff>2520000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550" y="0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11850</xdr:colOff>
      <xdr:row>0</xdr:row>
      <xdr:rowOff>9525</xdr:rowOff>
    </xdr:from>
    <xdr:to>
      <xdr:col>3</xdr:col>
      <xdr:colOff>2531850</xdr:colOff>
      <xdr:row>0</xdr:row>
      <xdr:rowOff>2529525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12800" y="9525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4</xdr:col>
      <xdr:colOff>9450</xdr:colOff>
      <xdr:row>0</xdr:row>
      <xdr:rowOff>0</xdr:rowOff>
    </xdr:from>
    <xdr:to>
      <xdr:col>4</xdr:col>
      <xdr:colOff>2529450</xdr:colOff>
      <xdr:row>0</xdr:row>
      <xdr:rowOff>2520000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4050" y="0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5</xdr:col>
      <xdr:colOff>7050</xdr:colOff>
      <xdr:row>0</xdr:row>
      <xdr:rowOff>16575</xdr:rowOff>
    </xdr:from>
    <xdr:to>
      <xdr:col>5</xdr:col>
      <xdr:colOff>2527050</xdr:colOff>
      <xdr:row>1</xdr:row>
      <xdr:rowOff>2925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5300" y="16575"/>
          <a:ext cx="2520000" cy="2520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MO/Desktop/&#49689;&#47144;&#46020;%20&#49884;&#54744;%20&#50577;&#49885;(K%20factor)(2021.8).xls/&#49689;&#47144;&#46020;%20&#54217;&#44032;(&#52769;&#51221;&#50857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측정총괄"/>
      <sheetName val="사전조사"/>
      <sheetName val="연소가스자료"/>
      <sheetName val="측정자료"/>
      <sheetName val="등속계수 (I %)"/>
      <sheetName val="점검표"/>
      <sheetName val="분석의뢰서"/>
      <sheetName val="측정일지"/>
      <sheetName val="정도관리점검표"/>
      <sheetName val="기초자료"/>
    </sheetNames>
    <sheetDataSet>
      <sheetData sheetId="0"/>
      <sheetData sheetId="1">
        <row r="3">
          <cell r="I3" t="str">
            <v>Final Testing Result</v>
          </cell>
          <cell r="J3">
            <v>0</v>
          </cell>
          <cell r="M3">
            <v>0</v>
          </cell>
        </row>
        <row r="4">
          <cell r="J4">
            <v>0</v>
          </cell>
        </row>
        <row r="5">
          <cell r="J5">
            <v>0</v>
          </cell>
        </row>
        <row r="6">
          <cell r="I6" t="str">
            <v>O₂ Concentration</v>
          </cell>
        </row>
        <row r="8">
          <cell r="F8">
            <v>0</v>
          </cell>
        </row>
        <row r="9">
          <cell r="F9">
            <v>0</v>
          </cell>
        </row>
        <row r="10">
          <cell r="F10">
            <v>0</v>
          </cell>
        </row>
        <row r="11">
          <cell r="F11">
            <v>0</v>
          </cell>
        </row>
        <row r="14">
          <cell r="F14">
            <v>0</v>
          </cell>
        </row>
        <row r="17">
          <cell r="I17">
            <v>0</v>
          </cell>
          <cell r="J17">
            <v>0</v>
          </cell>
        </row>
        <row r="18">
          <cell r="F18">
            <v>0</v>
          </cell>
        </row>
        <row r="19">
          <cell r="E19">
            <v>0</v>
          </cell>
          <cell r="F19">
            <v>0</v>
          </cell>
        </row>
        <row r="21">
          <cell r="I21" t="str">
            <v>Atmospheric Temperature</v>
          </cell>
          <cell r="J21">
            <v>0</v>
          </cell>
          <cell r="K21">
            <v>0</v>
          </cell>
          <cell r="L21">
            <v>27</v>
          </cell>
        </row>
        <row r="23">
          <cell r="F23">
            <v>0.84</v>
          </cell>
          <cell r="I23" t="str">
            <v>D(mm)</v>
          </cell>
        </row>
        <row r="24">
          <cell r="E24">
            <v>0</v>
          </cell>
          <cell r="I24">
            <v>2</v>
          </cell>
        </row>
        <row r="25">
          <cell r="E25">
            <v>0</v>
          </cell>
          <cell r="F25">
            <v>0</v>
          </cell>
          <cell r="G25">
            <v>0</v>
          </cell>
          <cell r="I25">
            <v>0</v>
          </cell>
          <cell r="J25" t="str">
            <v xml:space="preserve"> </v>
          </cell>
          <cell r="K25">
            <v>0</v>
          </cell>
        </row>
        <row r="26">
          <cell r="E26" t="str">
            <v>(Dn)</v>
          </cell>
          <cell r="F26">
            <v>9.5250000000000004</v>
          </cell>
        </row>
        <row r="35">
          <cell r="E35">
            <v>0</v>
          </cell>
        </row>
        <row r="39">
          <cell r="H39">
            <v>0</v>
          </cell>
          <cell r="I39">
            <v>0</v>
          </cell>
          <cell r="J39">
            <v>0</v>
          </cell>
        </row>
        <row r="41">
          <cell r="I41">
            <v>0</v>
          </cell>
        </row>
        <row r="47">
          <cell r="E47">
            <v>0</v>
          </cell>
          <cell r="J47">
            <v>0</v>
          </cell>
        </row>
        <row r="48">
          <cell r="J48">
            <v>0</v>
          </cell>
        </row>
      </sheetData>
      <sheetData sheetId="2"/>
      <sheetData sheetId="3">
        <row r="4">
          <cell r="B4" t="str">
            <v>O₂[%]</v>
          </cell>
        </row>
      </sheetData>
      <sheetData sheetId="4">
        <row r="79">
          <cell r="M79" t="str">
            <v/>
          </cell>
        </row>
        <row r="80">
          <cell r="L80" t="str">
            <v/>
          </cell>
        </row>
      </sheetData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oleObject" Target="../embeddings/Microsoft_Word_97_-_2003_Document.doc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1"/>
  <sheetViews>
    <sheetView tabSelected="1" topLeftCell="B1" zoomScale="85" zoomScaleNormal="85" zoomScaleSheetLayoutView="85" workbookViewId="0">
      <selection activeCell="B1" sqref="B1"/>
    </sheetView>
  </sheetViews>
  <sheetFormatPr defaultRowHeight="13.5"/>
  <cols>
    <col min="2" max="2" width="16.109375" customWidth="1"/>
    <col min="3" max="3" width="3.88671875" customWidth="1"/>
    <col min="4" max="8" width="8.88671875" customWidth="1"/>
  </cols>
  <sheetData>
    <row r="1" spans="1:9">
      <c r="A1" s="6"/>
      <c r="B1" s="1"/>
      <c r="C1" s="1"/>
      <c r="D1" s="1"/>
      <c r="E1" s="1"/>
      <c r="F1" s="1"/>
      <c r="G1" s="1"/>
      <c r="H1" s="1"/>
      <c r="I1" s="1"/>
    </row>
    <row r="2" spans="1:9">
      <c r="A2" s="1"/>
      <c r="B2" s="1"/>
      <c r="C2" s="1"/>
      <c r="D2" s="1"/>
      <c r="E2" s="1"/>
      <c r="F2" s="1"/>
      <c r="G2" s="1"/>
      <c r="H2" s="1"/>
      <c r="I2" s="1"/>
    </row>
    <row r="3" spans="1:9">
      <c r="A3" s="1"/>
      <c r="B3" s="1"/>
      <c r="C3" s="1"/>
      <c r="D3" s="1"/>
      <c r="E3" s="1"/>
      <c r="F3" s="1"/>
      <c r="G3" s="1"/>
      <c r="H3" s="1"/>
      <c r="I3" s="1"/>
    </row>
    <row r="4" spans="1:9">
      <c r="A4" s="1"/>
      <c r="B4" s="1"/>
      <c r="C4" s="1"/>
      <c r="D4" s="1"/>
      <c r="E4" s="1"/>
      <c r="F4" s="1"/>
      <c r="G4" s="1"/>
      <c r="H4" s="1"/>
      <c r="I4" s="1"/>
    </row>
    <row r="5" spans="1:9">
      <c r="A5" s="1"/>
      <c r="B5" s="1"/>
      <c r="C5" s="1"/>
      <c r="D5" s="1"/>
      <c r="E5" s="1"/>
      <c r="F5" s="1"/>
      <c r="G5" s="1"/>
      <c r="H5" s="1"/>
      <c r="I5" s="1"/>
    </row>
    <row r="6" spans="1:9">
      <c r="A6" s="1"/>
      <c r="B6" s="1"/>
      <c r="C6" s="1"/>
      <c r="D6" s="1"/>
      <c r="E6" s="1"/>
      <c r="F6" s="1"/>
      <c r="G6" s="1"/>
      <c r="H6" s="1"/>
      <c r="I6" s="1"/>
    </row>
    <row r="7" spans="1:9">
      <c r="A7" s="1"/>
      <c r="B7" s="1"/>
      <c r="C7" s="1"/>
      <c r="D7" s="1"/>
      <c r="E7" s="1"/>
      <c r="F7" s="1"/>
      <c r="G7" s="1"/>
      <c r="H7" s="1"/>
      <c r="I7" s="1"/>
    </row>
    <row r="8" spans="1:9">
      <c r="A8" s="1"/>
      <c r="B8" s="1"/>
      <c r="C8" s="1"/>
      <c r="D8" s="1"/>
      <c r="E8" s="1"/>
      <c r="F8" s="1"/>
      <c r="G8" s="1"/>
      <c r="H8" s="1"/>
      <c r="I8" s="1"/>
    </row>
    <row r="9" spans="1:9">
      <c r="A9" s="1"/>
      <c r="B9" s="1"/>
      <c r="C9" s="1"/>
      <c r="D9" s="1"/>
      <c r="E9" s="1"/>
      <c r="F9" s="1"/>
      <c r="G9" s="1"/>
      <c r="H9" s="1"/>
      <c r="I9" s="1"/>
    </row>
    <row r="10" spans="1:9" ht="39">
      <c r="A10" s="407" t="s">
        <v>334</v>
      </c>
      <c r="B10" s="407"/>
      <c r="C10" s="407"/>
      <c r="D10" s="407"/>
      <c r="E10" s="407"/>
      <c r="F10" s="407"/>
      <c r="G10" s="407"/>
      <c r="H10" s="407"/>
      <c r="I10" s="1"/>
    </row>
    <row r="11" spans="1:9">
      <c r="A11" s="1"/>
      <c r="B11" s="1"/>
      <c r="C11" s="1"/>
      <c r="D11" s="1"/>
      <c r="E11" s="1"/>
      <c r="F11" s="1"/>
      <c r="G11" s="1"/>
      <c r="H11" s="1"/>
      <c r="I11" s="1"/>
    </row>
    <row r="12" spans="1:9">
      <c r="A12" s="1"/>
      <c r="B12" s="1"/>
      <c r="C12" s="1"/>
      <c r="D12" s="1"/>
      <c r="E12" s="1"/>
      <c r="F12" s="1"/>
      <c r="G12" s="1"/>
      <c r="H12" s="1"/>
      <c r="I12" s="1"/>
    </row>
    <row r="13" spans="1:9">
      <c r="A13" s="1"/>
      <c r="B13" s="1"/>
      <c r="C13" s="1"/>
      <c r="D13" s="1"/>
      <c r="E13" s="1"/>
      <c r="F13" s="1"/>
      <c r="G13" s="1"/>
      <c r="H13" s="1"/>
      <c r="I13" s="1"/>
    </row>
    <row r="14" spans="1:9">
      <c r="A14" s="1"/>
      <c r="B14" s="1"/>
      <c r="C14" s="1"/>
      <c r="D14" s="1"/>
      <c r="E14" s="1"/>
      <c r="F14" s="1"/>
      <c r="G14" s="1"/>
      <c r="H14" s="1"/>
      <c r="I14" s="1"/>
    </row>
    <row r="15" spans="1:9">
      <c r="A15" s="1"/>
      <c r="B15" s="1"/>
      <c r="C15" s="1"/>
      <c r="D15" s="1"/>
      <c r="E15" s="1"/>
      <c r="F15" s="1"/>
      <c r="G15" s="1"/>
      <c r="H15" s="1"/>
      <c r="I15" s="1"/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14">
      <c r="A17" s="1"/>
      <c r="B17" s="1"/>
      <c r="C17" s="1"/>
      <c r="D17" s="1"/>
      <c r="E17" s="1"/>
      <c r="F17" s="1"/>
      <c r="G17" s="1"/>
      <c r="H17" s="1"/>
      <c r="I17" s="1"/>
    </row>
    <row r="18" spans="1:14">
      <c r="A18" s="2"/>
      <c r="B18" s="1"/>
      <c r="C18" s="2"/>
      <c r="D18" s="2"/>
      <c r="E18" s="2"/>
      <c r="F18" s="2"/>
      <c r="G18" s="2"/>
      <c r="H18" s="2"/>
      <c r="I18" s="1"/>
    </row>
    <row r="19" spans="1:14" ht="26.25">
      <c r="A19" s="1"/>
      <c r="B19" s="9" t="s">
        <v>220</v>
      </c>
      <c r="C19" s="9" t="s">
        <v>221</v>
      </c>
      <c r="D19" s="10" t="s">
        <v>336</v>
      </c>
      <c r="E19" s="10"/>
      <c r="F19" s="10"/>
      <c r="G19" s="10"/>
      <c r="H19" s="1"/>
      <c r="I19" s="1"/>
      <c r="K19" s="5"/>
      <c r="L19" s="5"/>
      <c r="M19" s="5"/>
      <c r="N19" s="5"/>
    </row>
    <row r="20" spans="1:14" ht="26.25">
      <c r="A20" s="1"/>
      <c r="B20" s="9" t="s">
        <v>222</v>
      </c>
      <c r="C20" s="9" t="s">
        <v>221</v>
      </c>
      <c r="D20" s="408" t="s">
        <v>337</v>
      </c>
      <c r="E20" s="408"/>
      <c r="F20" s="408"/>
      <c r="G20" s="408"/>
      <c r="H20" s="1"/>
      <c r="I20" s="1"/>
      <c r="K20" s="404"/>
      <c r="L20" s="404"/>
      <c r="M20" s="404"/>
      <c r="N20" s="404"/>
    </row>
    <row r="21" spans="1:14" ht="26.25">
      <c r="A21" s="1"/>
      <c r="B21" s="9" t="s">
        <v>223</v>
      </c>
      <c r="C21" s="9" t="s">
        <v>221</v>
      </c>
      <c r="D21" s="408">
        <v>46244</v>
      </c>
      <c r="E21" s="408"/>
      <c r="F21" s="408"/>
      <c r="G21" s="408"/>
      <c r="H21" s="1"/>
      <c r="I21" s="1"/>
      <c r="K21" s="404"/>
      <c r="L21" s="404"/>
      <c r="M21" s="404"/>
      <c r="N21" s="404"/>
    </row>
    <row r="22" spans="1:14">
      <c r="A22" s="1"/>
      <c r="B22" s="1"/>
      <c r="C22" s="1"/>
      <c r="D22" s="1"/>
      <c r="E22" s="1"/>
      <c r="F22" s="1"/>
      <c r="G22" s="1"/>
      <c r="H22" s="1"/>
      <c r="I22" s="1"/>
    </row>
    <row r="23" spans="1:14">
      <c r="A23" s="2"/>
      <c r="B23" s="1"/>
      <c r="C23" s="2"/>
      <c r="D23" s="2"/>
      <c r="E23" s="2"/>
      <c r="F23" s="2"/>
      <c r="G23" s="2"/>
      <c r="H23" s="2"/>
      <c r="I23" s="1"/>
    </row>
    <row r="24" spans="1:14">
      <c r="A24" s="2"/>
      <c r="B24" s="1"/>
      <c r="C24" s="2"/>
      <c r="D24" s="2"/>
      <c r="E24" s="2"/>
      <c r="F24" s="2"/>
      <c r="G24" s="2"/>
      <c r="H24" s="2"/>
      <c r="I24" s="1"/>
    </row>
    <row r="25" spans="1:14">
      <c r="A25" s="1"/>
      <c r="B25" s="1"/>
      <c r="C25" s="1"/>
      <c r="D25" s="1"/>
      <c r="E25" s="1"/>
      <c r="F25" s="1"/>
      <c r="G25" s="1"/>
      <c r="H25" s="1"/>
      <c r="I25" s="1"/>
    </row>
    <row r="26" spans="1:14">
      <c r="A26" s="1"/>
      <c r="B26" s="1"/>
      <c r="C26" s="1"/>
      <c r="D26" s="1"/>
      <c r="E26" s="1"/>
      <c r="F26" s="1"/>
      <c r="G26" s="1"/>
      <c r="H26" s="1"/>
      <c r="I26" s="1"/>
    </row>
    <row r="27" spans="1:14">
      <c r="A27" s="1"/>
      <c r="B27" s="1"/>
      <c r="C27" s="1"/>
      <c r="D27" s="1"/>
      <c r="E27" s="1"/>
      <c r="F27" s="1"/>
      <c r="G27" s="1"/>
      <c r="H27" s="1"/>
      <c r="I27" s="1"/>
    </row>
    <row r="28" spans="1:14">
      <c r="A28" s="1"/>
      <c r="B28" s="1"/>
      <c r="C28" s="1"/>
      <c r="D28" s="1"/>
      <c r="E28" s="1"/>
      <c r="F28" s="1"/>
      <c r="G28" s="1"/>
      <c r="H28" s="1"/>
      <c r="I28" s="1"/>
    </row>
    <row r="29" spans="1:14">
      <c r="A29" s="1"/>
      <c r="B29" s="1"/>
      <c r="C29" s="1"/>
      <c r="D29" s="1"/>
      <c r="E29" s="1"/>
      <c r="F29" s="1"/>
      <c r="G29" s="1"/>
      <c r="H29" s="1"/>
      <c r="I29" s="1"/>
    </row>
    <row r="30" spans="1:14">
      <c r="A30" s="1"/>
      <c r="B30" s="1"/>
      <c r="C30" s="1"/>
      <c r="D30" s="1"/>
      <c r="E30" s="1"/>
      <c r="F30" s="1"/>
      <c r="G30" s="1"/>
      <c r="H30" s="1"/>
      <c r="I30" s="1"/>
    </row>
    <row r="31" spans="1:14">
      <c r="A31" s="1"/>
      <c r="B31" s="1"/>
      <c r="C31" s="1"/>
      <c r="D31" s="1"/>
      <c r="E31" s="1"/>
      <c r="F31" s="1"/>
      <c r="G31" s="1"/>
      <c r="H31" s="1"/>
      <c r="I31" s="1"/>
    </row>
    <row r="32" spans="1:14">
      <c r="A32" s="1"/>
      <c r="B32" s="1"/>
      <c r="C32" s="1"/>
      <c r="D32" s="1"/>
      <c r="E32" s="1"/>
      <c r="F32" s="1"/>
      <c r="G32" s="1"/>
      <c r="H32" s="1"/>
    </row>
    <row r="33" spans="1:9">
      <c r="A33" s="1"/>
      <c r="B33" s="1"/>
      <c r="C33" s="1"/>
      <c r="D33" s="1"/>
      <c r="E33" s="1"/>
      <c r="F33" s="1"/>
      <c r="G33" s="1"/>
      <c r="H33" s="1"/>
      <c r="I33" s="1"/>
    </row>
    <row r="34" spans="1:9">
      <c r="A34" s="3"/>
      <c r="B34" s="3"/>
      <c r="C34" s="3"/>
      <c r="D34" s="3"/>
      <c r="E34" s="3"/>
      <c r="F34" s="3"/>
      <c r="G34" s="3"/>
      <c r="H34" s="1"/>
      <c r="I34" s="1"/>
    </row>
    <row r="35" spans="1:9">
      <c r="A35" s="3"/>
      <c r="B35" s="3"/>
      <c r="C35" s="3"/>
      <c r="D35" s="3"/>
      <c r="E35" s="3"/>
      <c r="F35" s="3"/>
      <c r="G35" s="3"/>
      <c r="H35" s="1"/>
      <c r="I35" s="1"/>
    </row>
    <row r="36" spans="1:9">
      <c r="A36" s="3"/>
      <c r="B36" s="3"/>
      <c r="C36" s="3"/>
      <c r="D36" s="3"/>
      <c r="E36" s="3"/>
      <c r="F36" s="3"/>
      <c r="G36" s="3"/>
      <c r="H36" s="1"/>
      <c r="I36" s="1"/>
    </row>
    <row r="37" spans="1:9">
      <c r="A37" s="3"/>
      <c r="B37" s="3"/>
      <c r="C37" s="3"/>
      <c r="D37" s="3"/>
      <c r="E37" s="3"/>
      <c r="F37" s="3"/>
      <c r="G37" s="3"/>
      <c r="H37" s="1"/>
      <c r="I37" s="1"/>
    </row>
    <row r="38" spans="1:9">
      <c r="A38" s="3"/>
      <c r="B38" s="3"/>
      <c r="C38" s="3"/>
      <c r="D38" s="3"/>
      <c r="E38" s="3"/>
      <c r="F38" s="3"/>
      <c r="G38" s="3"/>
      <c r="H38" s="1"/>
      <c r="I38" s="1"/>
    </row>
    <row r="39" spans="1:9">
      <c r="A39" s="3"/>
      <c r="B39" s="1"/>
      <c r="C39" s="1"/>
      <c r="D39" s="1"/>
      <c r="E39" s="1"/>
      <c r="F39" s="1"/>
      <c r="G39" s="1"/>
      <c r="H39" s="1"/>
      <c r="I39" s="1"/>
    </row>
    <row r="40" spans="1:9">
      <c r="A40" s="3"/>
      <c r="B40" s="1"/>
      <c r="C40" s="4"/>
      <c r="D40" s="1"/>
      <c r="E40" s="1"/>
      <c r="F40" s="1"/>
      <c r="G40" s="1"/>
      <c r="H40" s="1"/>
      <c r="I40" s="1"/>
    </row>
    <row r="41" spans="1:9">
      <c r="A41" s="3"/>
      <c r="B41" s="3"/>
      <c r="C41" s="3"/>
      <c r="D41" s="3"/>
      <c r="E41" s="3"/>
      <c r="F41" s="3"/>
      <c r="G41" s="3"/>
      <c r="H41" s="1"/>
      <c r="I41" s="1"/>
    </row>
    <row r="42" spans="1:9">
      <c r="A42" s="3"/>
      <c r="B42" s="3"/>
      <c r="C42" s="3"/>
      <c r="D42" s="3"/>
      <c r="E42" s="3"/>
      <c r="F42" s="3"/>
      <c r="G42" s="3"/>
      <c r="H42" s="1"/>
      <c r="I42" s="1"/>
    </row>
    <row r="43" spans="1:9">
      <c r="A43" s="3"/>
      <c r="B43" s="4"/>
      <c r="C43" s="3"/>
      <c r="D43" s="3"/>
      <c r="E43" s="3"/>
      <c r="F43" s="3"/>
      <c r="G43" s="3"/>
      <c r="H43" s="1"/>
      <c r="I43" s="1"/>
    </row>
    <row r="44" spans="1:9">
      <c r="A44" s="3"/>
      <c r="B44" s="3"/>
      <c r="C44" s="3"/>
      <c r="D44" s="3"/>
      <c r="E44" s="3"/>
      <c r="F44" s="3"/>
      <c r="G44" s="3"/>
      <c r="H44" s="1"/>
      <c r="I44" s="1"/>
    </row>
    <row r="45" spans="1:9">
      <c r="A45" s="3"/>
      <c r="B45" s="3"/>
      <c r="C45" s="3"/>
      <c r="D45" s="3"/>
      <c r="E45" s="3"/>
      <c r="F45" s="3"/>
      <c r="G45" s="3"/>
      <c r="H45" s="1"/>
      <c r="I45" s="1"/>
    </row>
    <row r="46" spans="1:9">
      <c r="A46" s="1"/>
      <c r="B46" s="1"/>
      <c r="C46" s="1"/>
      <c r="D46" s="1"/>
      <c r="E46" s="1"/>
      <c r="F46" s="1"/>
      <c r="G46" s="1"/>
      <c r="H46" s="1"/>
      <c r="I46" s="1"/>
    </row>
    <row r="47" spans="1:9">
      <c r="A47" s="1"/>
      <c r="B47" s="1"/>
      <c r="C47" s="1"/>
      <c r="D47" s="1"/>
      <c r="E47" s="1"/>
      <c r="F47" s="1"/>
      <c r="G47" s="1"/>
      <c r="H47" s="1"/>
      <c r="I47" s="1"/>
    </row>
    <row r="48" spans="1:9">
      <c r="A48" s="1"/>
      <c r="B48" s="1"/>
      <c r="C48" s="1"/>
      <c r="D48" s="1"/>
      <c r="E48" s="1"/>
      <c r="F48" s="1"/>
      <c r="G48" s="1"/>
      <c r="H48" s="1"/>
      <c r="I48" s="1"/>
    </row>
    <row r="49" spans="1:9">
      <c r="A49" s="405" t="s">
        <v>212</v>
      </c>
      <c r="B49" s="406"/>
      <c r="C49" s="406"/>
      <c r="D49" s="406"/>
      <c r="E49" s="406"/>
      <c r="F49" s="406"/>
      <c r="G49" s="406"/>
      <c r="H49" s="406"/>
      <c r="I49" s="1"/>
    </row>
    <row r="50" spans="1:9">
      <c r="A50" s="1"/>
      <c r="B50" s="1"/>
      <c r="C50" s="1"/>
      <c r="D50" s="1"/>
      <c r="E50" s="1"/>
      <c r="F50" s="1"/>
      <c r="G50" s="1"/>
      <c r="H50" s="1"/>
      <c r="I50" s="1"/>
    </row>
    <row r="51" spans="1:9">
      <c r="A51" s="1"/>
      <c r="B51" s="1"/>
      <c r="C51" s="1"/>
      <c r="D51" s="1"/>
      <c r="E51" s="1"/>
      <c r="F51" s="1"/>
      <c r="G51" s="1"/>
      <c r="H51" s="1"/>
      <c r="I51" s="1"/>
    </row>
  </sheetData>
  <mergeCells count="6">
    <mergeCell ref="K20:N20"/>
    <mergeCell ref="K21:N21"/>
    <mergeCell ref="A49:H49"/>
    <mergeCell ref="A10:H10"/>
    <mergeCell ref="D20:G20"/>
    <mergeCell ref="D21:G21"/>
  </mergeCells>
  <phoneticPr fontId="3" type="noConversion"/>
  <pageMargins left="0.7" right="0.7" top="0.75" bottom="0.75" header="0.3" footer="0.3"/>
  <pageSetup paperSize="9" scale="9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1"/>
  </sheetPr>
  <dimension ref="A1:I17"/>
  <sheetViews>
    <sheetView zoomScaleNormal="100" zoomScaleSheetLayoutView="85" workbookViewId="0">
      <selection sqref="A1:D2"/>
    </sheetView>
  </sheetViews>
  <sheetFormatPr defaultColWidth="8.88671875" defaultRowHeight="16.5"/>
  <cols>
    <col min="1" max="1" width="16.77734375" style="295" customWidth="1"/>
    <col min="2" max="2" width="18.77734375" style="295" customWidth="1"/>
    <col min="3" max="3" width="20.77734375" style="7" customWidth="1"/>
    <col min="4" max="4" width="17.77734375" style="7" customWidth="1"/>
    <col min="5" max="16384" width="8.88671875" style="7"/>
  </cols>
  <sheetData>
    <row r="1" spans="1:9" ht="17.25" customHeight="1">
      <c r="A1" s="415" t="s">
        <v>124</v>
      </c>
      <c r="B1" s="416"/>
      <c r="C1" s="416"/>
      <c r="D1" s="417"/>
      <c r="E1" s="11"/>
      <c r="F1" s="11"/>
      <c r="G1" s="11"/>
      <c r="H1" s="11"/>
      <c r="I1" s="11"/>
    </row>
    <row r="2" spans="1:9" ht="17.25" customHeight="1" thickBot="1">
      <c r="A2" s="418"/>
      <c r="B2" s="419"/>
      <c r="C2" s="419"/>
      <c r="D2" s="420"/>
      <c r="E2" s="11"/>
      <c r="F2" s="11"/>
      <c r="G2" s="11"/>
      <c r="H2" s="11"/>
      <c r="I2" s="11"/>
    </row>
    <row r="3" spans="1:9" ht="16.5" customHeight="1">
      <c r="A3" s="294"/>
      <c r="B3" s="294"/>
      <c r="C3" s="15"/>
      <c r="D3" s="15"/>
    </row>
    <row r="4" spans="1:9" ht="20.25">
      <c r="A4" s="297" t="s">
        <v>125</v>
      </c>
    </row>
    <row r="5" spans="1:9">
      <c r="A5" s="409" t="s">
        <v>133</v>
      </c>
      <c r="B5" s="409"/>
      <c r="C5" s="409"/>
      <c r="D5" s="409"/>
    </row>
    <row r="6" spans="1:9">
      <c r="A6" s="409"/>
      <c r="B6" s="409"/>
      <c r="C6" s="409"/>
      <c r="D6" s="409"/>
    </row>
    <row r="7" spans="1:9">
      <c r="A7" s="409" t="s">
        <v>315</v>
      </c>
      <c r="B7" s="409"/>
      <c r="C7" s="409"/>
      <c r="D7" s="409"/>
    </row>
    <row r="8" spans="1:9">
      <c r="A8" s="409"/>
      <c r="B8" s="409"/>
      <c r="C8" s="409"/>
      <c r="D8" s="409"/>
    </row>
    <row r="9" spans="1:9">
      <c r="A9" s="298"/>
      <c r="B9" s="298"/>
      <c r="C9" s="13"/>
      <c r="D9" s="13"/>
    </row>
    <row r="10" spans="1:9" ht="20.25">
      <c r="A10" s="299" t="s">
        <v>131</v>
      </c>
    </row>
    <row r="12" spans="1:9" ht="18.75" customHeight="1">
      <c r="A12" s="14" t="s">
        <v>126</v>
      </c>
      <c r="B12" s="14" t="s">
        <v>23</v>
      </c>
      <c r="C12" s="14" t="s">
        <v>130</v>
      </c>
      <c r="D12" s="14" t="s">
        <v>132</v>
      </c>
    </row>
    <row r="13" spans="1:9">
      <c r="A13" s="410">
        <f>표지!D21</f>
        <v>46244</v>
      </c>
      <c r="B13" s="293" t="s">
        <v>127</v>
      </c>
      <c r="C13" s="293" t="s">
        <v>169</v>
      </c>
      <c r="D13" s="293"/>
    </row>
    <row r="14" spans="1:9">
      <c r="A14" s="411"/>
      <c r="B14" s="293" t="s">
        <v>128</v>
      </c>
      <c r="C14" s="293" t="s">
        <v>169</v>
      </c>
      <c r="D14" s="293"/>
    </row>
    <row r="15" spans="1:9">
      <c r="A15" s="411"/>
      <c r="B15" s="293" t="s">
        <v>129</v>
      </c>
      <c r="C15" s="293" t="s">
        <v>169</v>
      </c>
      <c r="D15" s="293"/>
    </row>
    <row r="16" spans="1:9" ht="17.25" thickBot="1"/>
    <row r="17" spans="1:4" ht="17.25" thickBot="1">
      <c r="A17" s="412" t="s">
        <v>212</v>
      </c>
      <c r="B17" s="413"/>
      <c r="C17" s="413"/>
      <c r="D17" s="414"/>
    </row>
  </sheetData>
  <mergeCells count="5">
    <mergeCell ref="A5:D6"/>
    <mergeCell ref="A7:D8"/>
    <mergeCell ref="A13:A15"/>
    <mergeCell ref="A17:D17"/>
    <mergeCell ref="A1:D2"/>
  </mergeCells>
  <phoneticPr fontId="3" type="noConversion"/>
  <pageMargins left="0.7" right="0.7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50"/>
  <sheetViews>
    <sheetView view="pageBreakPreview" zoomScale="85" zoomScaleNormal="85" zoomScaleSheetLayoutView="85" workbookViewId="0">
      <selection sqref="A1:H2"/>
    </sheetView>
  </sheetViews>
  <sheetFormatPr defaultColWidth="8.88671875" defaultRowHeight="16.5"/>
  <cols>
    <col min="1" max="1" width="8.88671875" style="7"/>
    <col min="2" max="2" width="11.21875" style="7" customWidth="1"/>
    <col min="3" max="5" width="8.88671875" style="7"/>
    <col min="6" max="6" width="10.77734375" style="7" customWidth="1"/>
    <col min="7" max="7" width="16.109375" style="7" bestFit="1" customWidth="1"/>
    <col min="8" max="16384" width="8.88671875" style="7"/>
  </cols>
  <sheetData>
    <row r="1" spans="1:8" ht="21.95" customHeight="1">
      <c r="A1" s="421" t="s">
        <v>43</v>
      </c>
      <c r="B1" s="422"/>
      <c r="C1" s="422"/>
      <c r="D1" s="422"/>
      <c r="E1" s="422"/>
      <c r="F1" s="422"/>
      <c r="G1" s="422"/>
      <c r="H1" s="423"/>
    </row>
    <row r="2" spans="1:8" ht="21.95" customHeight="1" thickBot="1">
      <c r="A2" s="424"/>
      <c r="B2" s="425"/>
      <c r="C2" s="425"/>
      <c r="D2" s="425"/>
      <c r="E2" s="425"/>
      <c r="F2" s="425"/>
      <c r="G2" s="425"/>
      <c r="H2" s="426"/>
    </row>
    <row r="5" spans="1:8" ht="15.75" customHeight="1"/>
    <row r="6" spans="1:8" ht="15" customHeight="1"/>
    <row r="18" spans="5:5" ht="17.25">
      <c r="E18" s="16"/>
    </row>
    <row r="34" spans="1:13" ht="18" thickBot="1">
      <c r="A34" s="17" t="s">
        <v>211</v>
      </c>
      <c r="B34" s="17">
        <v>1.23</v>
      </c>
      <c r="E34" s="18" t="s">
        <v>183</v>
      </c>
      <c r="F34" s="18" t="s">
        <v>194</v>
      </c>
      <c r="G34" s="18" t="s">
        <v>184</v>
      </c>
    </row>
    <row r="35" spans="1:13" ht="15.75" customHeight="1">
      <c r="A35" s="437" t="s">
        <v>44</v>
      </c>
      <c r="B35" s="439" t="s">
        <v>241</v>
      </c>
      <c r="C35" s="445" t="s">
        <v>195</v>
      </c>
      <c r="E35" s="19">
        <v>1</v>
      </c>
      <c r="F35" s="19" t="s">
        <v>196</v>
      </c>
      <c r="G35" s="447">
        <v>1</v>
      </c>
    </row>
    <row r="36" spans="1:13" ht="14.45" customHeight="1" thickBot="1">
      <c r="A36" s="438"/>
      <c r="B36" s="440"/>
      <c r="C36" s="446"/>
      <c r="E36" s="19">
        <v>2</v>
      </c>
      <c r="F36" s="20" t="s">
        <v>197</v>
      </c>
      <c r="G36" s="447"/>
      <c r="M36" s="21"/>
    </row>
    <row r="37" spans="1:13" ht="17.25">
      <c r="A37" s="441">
        <v>1.1000000000000001</v>
      </c>
      <c r="B37" s="443">
        <v>13</v>
      </c>
      <c r="C37" s="448">
        <f>D/2</f>
        <v>0.55000000000000004</v>
      </c>
      <c r="F37" s="22" t="s">
        <v>198</v>
      </c>
      <c r="G37" s="23">
        <f>IF(D&gt;4.5,5,(IF(D&gt;4,4,IF(D&gt;2,3,IF(D&gt;1,2,1)))))</f>
        <v>2</v>
      </c>
      <c r="M37" s="17"/>
    </row>
    <row r="38" spans="1:13" ht="18" thickBot="1">
      <c r="A38" s="442"/>
      <c r="B38" s="444"/>
      <c r="C38" s="449"/>
      <c r="F38" s="24" t="s">
        <v>199</v>
      </c>
      <c r="G38" s="25">
        <f>IF(G35=1,G37,G37*4)</f>
        <v>2</v>
      </c>
      <c r="M38" s="17"/>
    </row>
    <row r="39" spans="1:13">
      <c r="A39" s="26"/>
    </row>
    <row r="40" spans="1:13">
      <c r="A40" s="26"/>
    </row>
    <row r="41" spans="1:13" ht="17.25" thickBot="1">
      <c r="A41" s="26"/>
      <c r="G41" s="27" t="s">
        <v>114</v>
      </c>
      <c r="H41" s="17" t="s">
        <v>200</v>
      </c>
      <c r="I41" s="17"/>
    </row>
    <row r="42" spans="1:13">
      <c r="A42" s="427" t="s">
        <v>201</v>
      </c>
      <c r="B42" s="428"/>
      <c r="E42" s="431" t="s">
        <v>192</v>
      </c>
      <c r="F42" s="432"/>
      <c r="G42" s="433"/>
      <c r="H42" s="28">
        <v>0</v>
      </c>
      <c r="I42" s="17" t="s">
        <v>191</v>
      </c>
    </row>
    <row r="43" spans="1:13" ht="17.25" thickBot="1">
      <c r="A43" s="429"/>
      <c r="B43" s="430"/>
      <c r="E43" s="434"/>
      <c r="F43" s="435"/>
      <c r="G43" s="436"/>
      <c r="H43" s="17"/>
      <c r="I43" s="17"/>
    </row>
    <row r="44" spans="1:13" ht="17.25">
      <c r="A44" s="29" t="s">
        <v>202</v>
      </c>
      <c r="B44" s="30">
        <f>IF(C37&lt;=0.285,0,IF(G37=5,0.316*$C$37*100,(IF(G37=4,0.354*$C$37*100,IF(G37=3,0.408*$C$37*100,IF(G37=2,0.5*$C$37*100,0.707*$C$37*100))))))</f>
        <v>27.500000000000004</v>
      </c>
      <c r="D44" s="17" t="s">
        <v>203</v>
      </c>
      <c r="E44" s="31" t="s">
        <v>38</v>
      </c>
      <c r="F44" s="32">
        <f>IF(B44="","",($C$37*100)-B44)</f>
        <v>27.500000000000004</v>
      </c>
      <c r="G44" s="33">
        <f>IF(F44="","",F44+$B$37)</f>
        <v>40.5</v>
      </c>
      <c r="H44" s="34">
        <f>IF(G44="","",G44+$H$42)</f>
        <v>40.5</v>
      </c>
      <c r="I44" s="35">
        <f>C37*100+B44+H42+B37</f>
        <v>95.500000000000014</v>
      </c>
      <c r="J44" s="7" t="s">
        <v>217</v>
      </c>
    </row>
    <row r="45" spans="1:13" ht="17.25">
      <c r="A45" s="29" t="s">
        <v>204</v>
      </c>
      <c r="B45" s="30">
        <f>IF(G37=5,0.548*$C$37*100,(IF(G37=4,0.612*$C$37*100,IF(G37=3,0.707*$C$37*100,IF(G37=2,0.866*$C$37*100,"")))))</f>
        <v>47.63</v>
      </c>
      <c r="D45" s="17"/>
      <c r="E45" s="31" t="s">
        <v>39</v>
      </c>
      <c r="F45" s="32">
        <f>IF(B45="","",($C$37*100)-B45)</f>
        <v>7.3700000000000045</v>
      </c>
      <c r="G45" s="36">
        <f>IF(F45="","",F45+$B$37)</f>
        <v>20.370000000000005</v>
      </c>
      <c r="H45" s="34">
        <f t="shared" ref="H45:H48" si="0">IF(G45="","",G45+$H$42)</f>
        <v>20.370000000000005</v>
      </c>
      <c r="I45" s="35">
        <f>IF(B45="","",C37*100+B45+B37+H42)</f>
        <v>115.63000000000001</v>
      </c>
    </row>
    <row r="46" spans="1:13" ht="17.25">
      <c r="A46" s="29" t="s">
        <v>205</v>
      </c>
      <c r="B46" s="30" t="str">
        <f>IF(G37=5,0.707*$C$37*100,(IF(G37=4,0.791*$C$37*100,IF(G37=3,0.913*$C$37*100,""))))</f>
        <v/>
      </c>
      <c r="D46" s="17"/>
      <c r="E46" s="31" t="s">
        <v>40</v>
      </c>
      <c r="F46" s="32" t="str">
        <f>IF(B46="","",($C$37*100)-B46)</f>
        <v/>
      </c>
      <c r="G46" s="36" t="str">
        <f>IF(F46="","",F46+$B$37)</f>
        <v/>
      </c>
      <c r="H46" s="34" t="str">
        <f t="shared" si="0"/>
        <v/>
      </c>
      <c r="I46" s="35" t="str">
        <f>IF(B46="","",C37*100+B46+B37+H42)</f>
        <v/>
      </c>
    </row>
    <row r="47" spans="1:13" ht="17.25">
      <c r="A47" s="29" t="s">
        <v>206</v>
      </c>
      <c r="B47" s="37" t="str">
        <f>IF(G37=5,0.837*$C$37*100,(IF(G37=4,0.935*$C$37*100,"")))</f>
        <v/>
      </c>
      <c r="D47" s="17"/>
      <c r="E47" s="31" t="s">
        <v>41</v>
      </c>
      <c r="F47" s="32" t="str">
        <f>IF(B47="","",($C$37*100)-B47)</f>
        <v/>
      </c>
      <c r="G47" s="36" t="str">
        <f>IF(F47="","",F47+$B$37)</f>
        <v/>
      </c>
      <c r="H47" s="34" t="str">
        <f t="shared" si="0"/>
        <v/>
      </c>
    </row>
    <row r="48" spans="1:13" ht="18" thickBot="1">
      <c r="A48" s="38" t="s">
        <v>207</v>
      </c>
      <c r="B48" s="39" t="str">
        <f>IF(G37=5,0.949*$C$37*100,"")</f>
        <v/>
      </c>
      <c r="D48" s="17" t="s">
        <v>208</v>
      </c>
      <c r="E48" s="40" t="s">
        <v>42</v>
      </c>
      <c r="F48" s="41" t="str">
        <f>IF(B48="","",($C$37*100)-B48)</f>
        <v/>
      </c>
      <c r="G48" s="42" t="str">
        <f>IF(F48="","",F48+$B$37)</f>
        <v/>
      </c>
      <c r="H48" s="34" t="str">
        <f t="shared" si="0"/>
        <v/>
      </c>
    </row>
    <row r="49" spans="1:8" ht="17.25" thickBot="1"/>
    <row r="50" spans="1:8" ht="17.25" thickBot="1">
      <c r="A50" s="412" t="s">
        <v>212</v>
      </c>
      <c r="B50" s="413"/>
      <c r="C50" s="413"/>
      <c r="D50" s="413"/>
      <c r="E50" s="413"/>
      <c r="F50" s="413"/>
      <c r="G50" s="413"/>
      <c r="H50" s="414"/>
    </row>
  </sheetData>
  <mergeCells count="11">
    <mergeCell ref="A1:H2"/>
    <mergeCell ref="A50:H50"/>
    <mergeCell ref="A42:B43"/>
    <mergeCell ref="E42:G43"/>
    <mergeCell ref="A35:A36"/>
    <mergeCell ref="B35:B36"/>
    <mergeCell ref="A37:A38"/>
    <mergeCell ref="B37:B38"/>
    <mergeCell ref="C35:C36"/>
    <mergeCell ref="G35:G36"/>
    <mergeCell ref="C37:C38"/>
  </mergeCells>
  <phoneticPr fontId="3" type="noConversion"/>
  <pageMargins left="0.75" right="0.75" top="1" bottom="1" header="0.5" footer="0.5"/>
  <pageSetup paperSize="9" scale="82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Document.8" shapeId="3074" r:id="rId4">
          <objectPr locked="0" defaultSize="0" autoPict="0" r:id="rId5">
            <anchor moveWithCells="1">
              <from>
                <xdr:col>0</xdr:col>
                <xdr:colOff>152400</xdr:colOff>
                <xdr:row>14</xdr:row>
                <xdr:rowOff>57150</xdr:rowOff>
              </from>
              <to>
                <xdr:col>7</xdr:col>
                <xdr:colOff>533400</xdr:colOff>
                <xdr:row>30</xdr:row>
                <xdr:rowOff>104775</xdr:rowOff>
              </to>
            </anchor>
          </objectPr>
        </oleObject>
      </mc:Choice>
      <mc:Fallback>
        <oleObject progId="Word.Document.8" shapeId="3074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46"/>
  <sheetViews>
    <sheetView view="pageBreakPreview" zoomScale="85" zoomScaleNormal="85" zoomScaleSheetLayoutView="85" workbookViewId="0">
      <selection sqref="A1:H2"/>
    </sheetView>
  </sheetViews>
  <sheetFormatPr defaultColWidth="8.88671875" defaultRowHeight="16.5"/>
  <cols>
    <col min="1" max="1" width="12.77734375" style="8" customWidth="1"/>
    <col min="2" max="2" width="12.77734375" style="8" bestFit="1" customWidth="1"/>
    <col min="3" max="3" width="11.44140625" style="8" bestFit="1" customWidth="1"/>
    <col min="4" max="4" width="12.77734375" style="8" bestFit="1" customWidth="1"/>
    <col min="5" max="5" width="14.109375" style="8" customWidth="1"/>
    <col min="6" max="7" width="10.6640625" style="8" bestFit="1" customWidth="1"/>
    <col min="8" max="8" width="9.44140625" style="8" bestFit="1" customWidth="1"/>
    <col min="9" max="10" width="8.88671875" style="8"/>
    <col min="11" max="11" width="10.109375" style="8" bestFit="1" customWidth="1"/>
    <col min="12" max="16384" width="8.88671875" style="8"/>
  </cols>
  <sheetData>
    <row r="1" spans="1:8" ht="21.95" customHeight="1">
      <c r="A1" s="489" t="s">
        <v>27</v>
      </c>
      <c r="B1" s="490"/>
      <c r="C1" s="490"/>
      <c r="D1" s="490"/>
      <c r="E1" s="490"/>
      <c r="F1" s="490"/>
      <c r="G1" s="490"/>
      <c r="H1" s="491"/>
    </row>
    <row r="2" spans="1:8" ht="21.95" customHeight="1" thickBot="1">
      <c r="A2" s="492"/>
      <c r="B2" s="493"/>
      <c r="C2" s="493"/>
      <c r="D2" s="493"/>
      <c r="E2" s="493"/>
      <c r="F2" s="493"/>
      <c r="G2" s="493"/>
      <c r="H2" s="494"/>
    </row>
    <row r="3" spans="1:8" ht="21" customHeight="1">
      <c r="A3" s="43"/>
      <c r="B3" s="43"/>
      <c r="C3" s="43"/>
      <c r="D3" s="43"/>
      <c r="E3" s="43"/>
      <c r="F3" s="43"/>
      <c r="G3" s="43"/>
      <c r="H3" s="43"/>
    </row>
    <row r="4" spans="1:8" ht="20.25">
      <c r="A4" s="72" t="s">
        <v>183</v>
      </c>
      <c r="B4" s="72" t="s">
        <v>245</v>
      </c>
      <c r="C4" s="72" t="s">
        <v>184</v>
      </c>
    </row>
    <row r="5" spans="1:8" ht="20.25">
      <c r="A5" s="44">
        <v>1</v>
      </c>
      <c r="B5" s="44" t="s">
        <v>181</v>
      </c>
      <c r="C5" s="478">
        <v>1</v>
      </c>
    </row>
    <row r="6" spans="1:8" ht="20.25">
      <c r="A6" s="44">
        <v>2</v>
      </c>
      <c r="B6" s="44" t="s">
        <v>182</v>
      </c>
      <c r="C6" s="478"/>
    </row>
    <row r="7" spans="1:8" ht="20.25">
      <c r="A7" s="45"/>
    </row>
    <row r="8" spans="1:8" ht="20.25">
      <c r="A8" s="45" t="s">
        <v>180</v>
      </c>
    </row>
    <row r="9" spans="1:8">
      <c r="A9" s="46" t="s">
        <v>185</v>
      </c>
      <c r="B9" s="46" t="s">
        <v>187</v>
      </c>
    </row>
    <row r="10" spans="1:8">
      <c r="A10" s="47">
        <v>1</v>
      </c>
      <c r="B10" s="252">
        <v>5.33</v>
      </c>
    </row>
    <row r="11" spans="1:8">
      <c r="A11" s="47">
        <v>2</v>
      </c>
      <c r="B11" s="252">
        <v>5.52</v>
      </c>
    </row>
    <row r="12" spans="1:8">
      <c r="A12" s="47">
        <v>3</v>
      </c>
      <c r="B12" s="252">
        <v>5.59</v>
      </c>
    </row>
    <row r="13" spans="1:8">
      <c r="A13" s="47">
        <v>4</v>
      </c>
      <c r="B13" s="252">
        <v>5.71</v>
      </c>
    </row>
    <row r="14" spans="1:8">
      <c r="A14" s="47">
        <v>5</v>
      </c>
      <c r="B14" s="252">
        <v>5.74</v>
      </c>
    </row>
    <row r="15" spans="1:8">
      <c r="A15" s="47" t="s">
        <v>186</v>
      </c>
      <c r="B15" s="243">
        <f>AVERAGE(B10:B14)</f>
        <v>5.5780000000000003</v>
      </c>
    </row>
    <row r="17" spans="1:10" ht="17.25" thickBot="1"/>
    <row r="18" spans="1:10" ht="21" hidden="1" thickBot="1">
      <c r="A18" s="45" t="s">
        <v>316</v>
      </c>
    </row>
    <row r="19" spans="1:10" ht="20.100000000000001" hidden="1" customHeight="1" thickBot="1">
      <c r="A19" s="475" t="s">
        <v>142</v>
      </c>
      <c r="B19" s="459"/>
      <c r="C19" s="48" t="s">
        <v>122</v>
      </c>
      <c r="D19" s="49" t="s">
        <v>123</v>
      </c>
      <c r="E19" s="479" t="s">
        <v>143</v>
      </c>
      <c r="F19" s="480"/>
    </row>
    <row r="20" spans="1:10" ht="20.100000000000001" hidden="1" customHeight="1">
      <c r="A20" s="476" t="s">
        <v>144</v>
      </c>
      <c r="B20" s="477"/>
      <c r="C20" s="50"/>
      <c r="D20" s="51"/>
      <c r="E20" s="498">
        <f>D20-C20</f>
        <v>0</v>
      </c>
      <c r="F20" s="499"/>
      <c r="G20" s="52"/>
    </row>
    <row r="21" spans="1:10" ht="20.100000000000001" hidden="1" customHeight="1">
      <c r="A21" s="481" t="s">
        <v>145</v>
      </c>
      <c r="B21" s="482"/>
      <c r="C21" s="53"/>
      <c r="D21" s="54"/>
      <c r="E21" s="463">
        <f>D21-C21</f>
        <v>0</v>
      </c>
      <c r="F21" s="464"/>
      <c r="G21" s="52"/>
    </row>
    <row r="22" spans="1:10" ht="20.100000000000001" hidden="1" customHeight="1">
      <c r="A22" s="481" t="s">
        <v>146</v>
      </c>
      <c r="B22" s="482"/>
      <c r="C22" s="53"/>
      <c r="D22" s="54"/>
      <c r="E22" s="463">
        <f>D22-C22</f>
        <v>0</v>
      </c>
      <c r="F22" s="464"/>
      <c r="G22" s="52"/>
    </row>
    <row r="23" spans="1:10" ht="20.100000000000001" hidden="1" customHeight="1" thickBot="1">
      <c r="A23" s="500" t="s">
        <v>147</v>
      </c>
      <c r="B23" s="501"/>
      <c r="C23" s="55"/>
      <c r="D23" s="56"/>
      <c r="E23" s="450">
        <f>D23-C23</f>
        <v>0</v>
      </c>
      <c r="F23" s="451"/>
      <c r="G23" s="52"/>
    </row>
    <row r="24" spans="1:10" ht="20.100000000000001" hidden="1" customHeight="1" thickBot="1">
      <c r="A24" s="452" t="s">
        <v>242</v>
      </c>
      <c r="B24" s="453"/>
      <c r="C24" s="453"/>
      <c r="D24" s="454"/>
      <c r="E24" s="455">
        <f>SUM(E20:F23)</f>
        <v>0</v>
      </c>
      <c r="F24" s="456"/>
      <c r="G24" s="52"/>
    </row>
    <row r="25" spans="1:10" ht="21" hidden="1" thickBot="1">
      <c r="A25" s="45"/>
    </row>
    <row r="26" spans="1:10" ht="20.100000000000001" hidden="1" customHeight="1">
      <c r="A26" s="473" t="s">
        <v>243</v>
      </c>
      <c r="B26" s="474"/>
      <c r="C26" s="57" t="s">
        <v>18</v>
      </c>
      <c r="D26" s="57" t="s">
        <v>7</v>
      </c>
      <c r="E26" s="57" t="s">
        <v>111</v>
      </c>
      <c r="F26" s="49" t="s">
        <v>25</v>
      </c>
      <c r="G26" s="49" t="s">
        <v>25</v>
      </c>
      <c r="H26" s="58" t="s">
        <v>24</v>
      </c>
      <c r="J26" s="59"/>
    </row>
    <row r="27" spans="1:10" ht="20.100000000000001" hidden="1" customHeight="1" thickBot="1">
      <c r="A27" s="60" t="s">
        <v>21</v>
      </c>
      <c r="B27" s="61" t="s">
        <v>22</v>
      </c>
      <c r="C27" s="62" t="s">
        <v>37</v>
      </c>
      <c r="D27" s="63" t="s">
        <v>11</v>
      </c>
      <c r="E27" s="63" t="s">
        <v>26</v>
      </c>
      <c r="F27" s="63" t="s">
        <v>244</v>
      </c>
      <c r="G27" s="63" t="s">
        <v>26</v>
      </c>
      <c r="H27" s="64" t="s">
        <v>5</v>
      </c>
      <c r="J27" s="59"/>
    </row>
    <row r="28" spans="1:10" hidden="1">
      <c r="A28" s="487"/>
      <c r="B28" s="487"/>
      <c r="C28" s="485">
        <f>(B28-A28)*노즐산정!G8</f>
        <v>0</v>
      </c>
      <c r="D28" s="467"/>
      <c r="E28" s="469">
        <v>766</v>
      </c>
      <c r="F28" s="471"/>
      <c r="G28" s="471"/>
      <c r="H28" s="483" t="e">
        <f>22.4/18*E24/(C28*(273/(273+D28))*((E28+G28)/760)+22.4/18*E24)*100</f>
        <v>#DIV/0!</v>
      </c>
      <c r="I28" s="65"/>
    </row>
    <row r="29" spans="1:10" ht="17.25" hidden="1" thickBot="1">
      <c r="A29" s="488"/>
      <c r="B29" s="488"/>
      <c r="C29" s="486"/>
      <c r="D29" s="468"/>
      <c r="E29" s="470"/>
      <c r="F29" s="472"/>
      <c r="G29" s="472"/>
      <c r="H29" s="484"/>
    </row>
    <row r="30" spans="1:10" ht="20.25" hidden="1">
      <c r="A30" s="45"/>
    </row>
    <row r="31" spans="1:10" ht="21" hidden="1" thickBot="1">
      <c r="A31" s="45" t="s">
        <v>121</v>
      </c>
      <c r="B31" s="66"/>
      <c r="C31" s="66"/>
      <c r="D31" s="67"/>
      <c r="E31" s="67"/>
      <c r="F31" s="67"/>
      <c r="G31" s="67"/>
      <c r="H31" s="59"/>
    </row>
    <row r="32" spans="1:10" ht="19.5" hidden="1" customHeight="1" thickBot="1">
      <c r="A32" s="475" t="s">
        <v>142</v>
      </c>
      <c r="B32" s="459"/>
      <c r="C32" s="48" t="s">
        <v>122</v>
      </c>
      <c r="D32" s="49" t="s">
        <v>123</v>
      </c>
      <c r="E32" s="459" t="s">
        <v>143</v>
      </c>
      <c r="F32" s="460"/>
    </row>
    <row r="33" spans="1:8" ht="19.5" hidden="1" customHeight="1">
      <c r="A33" s="476" t="s">
        <v>144</v>
      </c>
      <c r="B33" s="477"/>
      <c r="C33" s="51">
        <v>642.82000000000005</v>
      </c>
      <c r="D33" s="51"/>
      <c r="E33" s="461">
        <f>D33-C33</f>
        <v>-642.82000000000005</v>
      </c>
      <c r="F33" s="462"/>
      <c r="G33" s="68"/>
    </row>
    <row r="34" spans="1:8" ht="19.5" hidden="1" customHeight="1">
      <c r="A34" s="481" t="s">
        <v>145</v>
      </c>
      <c r="B34" s="482"/>
      <c r="C34" s="54">
        <v>624.42999999999995</v>
      </c>
      <c r="D34" s="54"/>
      <c r="E34" s="463">
        <f>D34-C34</f>
        <v>-624.42999999999995</v>
      </c>
      <c r="F34" s="464"/>
      <c r="G34" s="68"/>
    </row>
    <row r="35" spans="1:8" ht="19.5" hidden="1" customHeight="1">
      <c r="A35" s="481" t="s">
        <v>146</v>
      </c>
      <c r="B35" s="482"/>
      <c r="C35" s="54">
        <v>523.48</v>
      </c>
      <c r="D35" s="54"/>
      <c r="E35" s="463">
        <f>D35-C35</f>
        <v>-523.48</v>
      </c>
      <c r="F35" s="464"/>
      <c r="G35" s="68"/>
    </row>
    <row r="36" spans="1:8" ht="19.5" hidden="1" customHeight="1" thickBot="1">
      <c r="A36" s="500" t="s">
        <v>147</v>
      </c>
      <c r="B36" s="501"/>
      <c r="C36" s="250">
        <v>729.3</v>
      </c>
      <c r="D36" s="56"/>
      <c r="E36" s="465">
        <f>D36-C36</f>
        <v>-729.3</v>
      </c>
      <c r="F36" s="466"/>
      <c r="G36" s="68"/>
    </row>
    <row r="37" spans="1:8" ht="19.5" hidden="1" customHeight="1" thickBot="1">
      <c r="A37" s="69" t="s">
        <v>193</v>
      </c>
      <c r="B37" s="70"/>
      <c r="C37" s="70"/>
      <c r="D37" s="71"/>
      <c r="E37" s="457">
        <f>SUM(E33:F36)</f>
        <v>-2520.0299999999997</v>
      </c>
      <c r="F37" s="458"/>
      <c r="G37" s="68"/>
      <c r="H37" s="68"/>
    </row>
    <row r="38" spans="1:8" hidden="1"/>
    <row r="39" spans="1:8" hidden="1"/>
    <row r="40" spans="1:8" ht="21" hidden="1" thickBot="1">
      <c r="A40" s="45" t="s">
        <v>134</v>
      </c>
    </row>
    <row r="41" spans="1:8" hidden="1">
      <c r="A41" s="473" t="s">
        <v>243</v>
      </c>
      <c r="B41" s="474"/>
      <c r="C41" s="57" t="s">
        <v>18</v>
      </c>
      <c r="D41" s="57" t="s">
        <v>7</v>
      </c>
      <c r="E41" s="57" t="s">
        <v>111</v>
      </c>
      <c r="F41" s="49" t="s">
        <v>25</v>
      </c>
      <c r="G41" s="49" t="s">
        <v>25</v>
      </c>
      <c r="H41" s="58" t="s">
        <v>24</v>
      </c>
    </row>
    <row r="42" spans="1:8" ht="18.75" hidden="1" thickBot="1">
      <c r="A42" s="60" t="s">
        <v>21</v>
      </c>
      <c r="B42" s="61" t="s">
        <v>22</v>
      </c>
      <c r="C42" s="62" t="s">
        <v>37</v>
      </c>
      <c r="D42" s="63" t="s">
        <v>11</v>
      </c>
      <c r="E42" s="63" t="s">
        <v>26</v>
      </c>
      <c r="F42" s="63" t="s">
        <v>244</v>
      </c>
      <c r="G42" s="63" t="s">
        <v>26</v>
      </c>
      <c r="H42" s="64" t="s">
        <v>5</v>
      </c>
    </row>
    <row r="43" spans="1:8" hidden="1">
      <c r="A43" s="507">
        <f>'기록지(수분량자동측정기)'!G17</f>
        <v>8511.7000000000007</v>
      </c>
      <c r="B43" s="509">
        <f>MAX('기록지(수분량자동측정기)'!G17:G25)</f>
        <v>8511.7000000000007</v>
      </c>
      <c r="C43" s="485">
        <f>(B43-A43)*노즐산정!G8</f>
        <v>0</v>
      </c>
      <c r="D43" s="505">
        <f>'기록지(수분량자동측정기)'!H26</f>
        <v>29</v>
      </c>
      <c r="E43" s="502">
        <f>노즐산정!B8</f>
        <v>765</v>
      </c>
      <c r="F43" s="504">
        <f>'기록지(수분량자동측정기)'!F26</f>
        <v>29.150572459960337</v>
      </c>
      <c r="G43" s="504">
        <f>F43/13.6</f>
        <v>2.1434244455853189</v>
      </c>
      <c r="H43" s="483">
        <f>22.4/18*E37/(C43*(273/(273+D43))*((E43+G43)/760)+22.4/18*E37)*100</f>
        <v>100</v>
      </c>
    </row>
    <row r="44" spans="1:8" ht="17.25" hidden="1" thickBot="1">
      <c r="A44" s="508"/>
      <c r="B44" s="510"/>
      <c r="C44" s="486"/>
      <c r="D44" s="506"/>
      <c r="E44" s="503"/>
      <c r="F44" s="457"/>
      <c r="G44" s="457"/>
      <c r="H44" s="484"/>
    </row>
    <row r="45" spans="1:8" ht="17.25" hidden="1" thickBot="1"/>
    <row r="46" spans="1:8" ht="17.25" thickBot="1">
      <c r="A46" s="495" t="s">
        <v>212</v>
      </c>
      <c r="B46" s="496"/>
      <c r="C46" s="496"/>
      <c r="D46" s="496"/>
      <c r="E46" s="496"/>
      <c r="F46" s="496"/>
      <c r="G46" s="496"/>
      <c r="H46" s="497"/>
    </row>
  </sheetData>
  <mergeCells count="44">
    <mergeCell ref="A1:H2"/>
    <mergeCell ref="A46:H46"/>
    <mergeCell ref="E20:F20"/>
    <mergeCell ref="E21:F21"/>
    <mergeCell ref="A23:B23"/>
    <mergeCell ref="A33:B33"/>
    <mergeCell ref="E43:E44"/>
    <mergeCell ref="F43:F44"/>
    <mergeCell ref="G43:G44"/>
    <mergeCell ref="H43:H44"/>
    <mergeCell ref="A36:B36"/>
    <mergeCell ref="D43:D44"/>
    <mergeCell ref="A32:B32"/>
    <mergeCell ref="A41:B41"/>
    <mergeCell ref="A43:A44"/>
    <mergeCell ref="B43:B44"/>
    <mergeCell ref="G28:G29"/>
    <mergeCell ref="H28:H29"/>
    <mergeCell ref="C43:C44"/>
    <mergeCell ref="A34:B34"/>
    <mergeCell ref="A35:B35"/>
    <mergeCell ref="A28:A29"/>
    <mergeCell ref="B28:B29"/>
    <mergeCell ref="C28:C29"/>
    <mergeCell ref="A19:B19"/>
    <mergeCell ref="A20:B20"/>
    <mergeCell ref="C5:C6"/>
    <mergeCell ref="E19:F19"/>
    <mergeCell ref="A22:B22"/>
    <mergeCell ref="A21:B21"/>
    <mergeCell ref="E22:F22"/>
    <mergeCell ref="E23:F23"/>
    <mergeCell ref="A24:D24"/>
    <mergeCell ref="E24:F24"/>
    <mergeCell ref="E37:F37"/>
    <mergeCell ref="E32:F32"/>
    <mergeCell ref="E33:F33"/>
    <mergeCell ref="E34:F34"/>
    <mergeCell ref="E35:F35"/>
    <mergeCell ref="E36:F36"/>
    <mergeCell ref="D28:D29"/>
    <mergeCell ref="E28:E29"/>
    <mergeCell ref="F28:F29"/>
    <mergeCell ref="A26:B26"/>
  </mergeCells>
  <phoneticPr fontId="3" type="noConversion"/>
  <pageMargins left="0.74803149606299213" right="0.74803149606299213" top="0.98425196850393704" bottom="0.98425196850393704" header="0.51181102362204722" footer="0.51181102362204722"/>
  <pageSetup paperSize="9" scale="75" fitToHeight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K42"/>
  <sheetViews>
    <sheetView showGridLines="0" view="pageBreakPreview" zoomScale="85" zoomScaleNormal="90" zoomScaleSheetLayoutView="85" workbookViewId="0">
      <selection sqref="A1:F2"/>
    </sheetView>
  </sheetViews>
  <sheetFormatPr defaultColWidth="8.88671875" defaultRowHeight="16.5"/>
  <cols>
    <col min="1" max="1" width="17.109375" style="324" bestFit="1" customWidth="1"/>
    <col min="2" max="6" width="11" style="324" customWidth="1"/>
    <col min="7" max="7" width="2.44140625" style="324" customWidth="1"/>
    <col min="8" max="16384" width="8.88671875" style="324"/>
  </cols>
  <sheetData>
    <row r="1" spans="1:11" ht="14.25" customHeight="1">
      <c r="A1" s="511" t="s">
        <v>162</v>
      </c>
      <c r="B1" s="512"/>
      <c r="C1" s="512"/>
      <c r="D1" s="512"/>
      <c r="E1" s="512"/>
      <c r="F1" s="513"/>
      <c r="H1" s="399"/>
      <c r="I1" s="399"/>
      <c r="J1" s="399"/>
      <c r="K1" s="399"/>
    </row>
    <row r="2" spans="1:11" ht="17.25" thickBot="1">
      <c r="A2" s="514"/>
      <c r="B2" s="515"/>
      <c r="C2" s="515"/>
      <c r="D2" s="515"/>
      <c r="E2" s="515"/>
      <c r="F2" s="516"/>
      <c r="H2" s="399"/>
      <c r="I2" s="399"/>
      <c r="J2" s="399"/>
      <c r="K2" s="399"/>
    </row>
    <row r="3" spans="1:11" ht="18.75" customHeight="1">
      <c r="A3" s="517" t="str">
        <f>표지!D20</f>
        <v>#A1</v>
      </c>
      <c r="B3" s="517"/>
      <c r="C3" s="325"/>
      <c r="D3" s="326"/>
      <c r="E3" s="518"/>
      <c r="F3" s="518"/>
      <c r="H3" s="399"/>
      <c r="I3" s="399"/>
      <c r="J3" s="399"/>
      <c r="K3" s="399"/>
    </row>
    <row r="4" spans="1:11" s="329" customFormat="1" ht="16.5" customHeight="1" thickBot="1">
      <c r="A4" s="327" t="s">
        <v>163</v>
      </c>
      <c r="B4" s="328" t="s">
        <v>164</v>
      </c>
      <c r="C4" s="328" t="s">
        <v>165</v>
      </c>
      <c r="D4" s="328" t="s">
        <v>188</v>
      </c>
      <c r="E4" s="328" t="s">
        <v>189</v>
      </c>
      <c r="F4" s="328" t="s">
        <v>190</v>
      </c>
    </row>
    <row r="5" spans="1:11" ht="17.25" thickTop="1">
      <c r="A5" s="330" t="s">
        <v>166</v>
      </c>
      <c r="B5" s="331">
        <f>ROUND(IF(B8="","",AVERAGE(B8:B10)),2)</f>
        <v>7.87</v>
      </c>
      <c r="C5" s="332">
        <f t="shared" ref="C5:F5" si="0">IF(C8="","",AVERAGE(C8:C10))</f>
        <v>7.6000000000000005</v>
      </c>
      <c r="D5" s="332">
        <f t="shared" si="0"/>
        <v>13</v>
      </c>
      <c r="E5" s="332">
        <f t="shared" si="0"/>
        <v>28.333333333333332</v>
      </c>
      <c r="F5" s="332">
        <f t="shared" si="0"/>
        <v>2</v>
      </c>
    </row>
    <row r="6" spans="1:11">
      <c r="A6" s="333" t="s">
        <v>167</v>
      </c>
      <c r="B6" s="334">
        <f>IF(B8="","",MAX(B8:B42))</f>
        <v>8.1999999999999993</v>
      </c>
      <c r="C6" s="335">
        <f>IF(C8="","",MAX(C8:C42))</f>
        <v>7.8</v>
      </c>
      <c r="D6" s="336">
        <f>IF(D8="","",MAX(D8:D42))</f>
        <v>14</v>
      </c>
      <c r="E6" s="335">
        <f>IF(E8="","",MAX(E8:E42))</f>
        <v>29</v>
      </c>
      <c r="F6" s="335">
        <f>IF(F8="","",MAX(F8:F42))</f>
        <v>3</v>
      </c>
    </row>
    <row r="7" spans="1:11" ht="17.25" thickBot="1">
      <c r="A7" s="337" t="s">
        <v>168</v>
      </c>
      <c r="B7" s="338">
        <f>IF(B8="","",MIN(B8:B42))</f>
        <v>7.5</v>
      </c>
      <c r="C7" s="339">
        <f>IF(C8="","",MIN(C8:C42))</f>
        <v>7.4</v>
      </c>
      <c r="D7" s="340">
        <f>IF(D8="","",MIN(D8:D42))</f>
        <v>12</v>
      </c>
      <c r="E7" s="339">
        <f>IF(E8="","",MIN(E8:E42))</f>
        <v>27</v>
      </c>
      <c r="F7" s="339">
        <f>IF(F8="","",MIN(F8:F42))</f>
        <v>1</v>
      </c>
    </row>
    <row r="8" spans="1:11" ht="17.25" thickTop="1">
      <c r="A8" s="341">
        <v>0.43263888888888885</v>
      </c>
      <c r="B8" s="342">
        <v>7.9</v>
      </c>
      <c r="C8" s="343">
        <v>7.6</v>
      </c>
      <c r="D8" s="344">
        <v>12</v>
      </c>
      <c r="E8" s="343">
        <v>29</v>
      </c>
      <c r="F8" s="343">
        <v>1</v>
      </c>
    </row>
    <row r="9" spans="1:11">
      <c r="A9" s="345">
        <v>0.43611111111111112</v>
      </c>
      <c r="B9" s="346">
        <v>8.1999999999999993</v>
      </c>
      <c r="C9" s="347">
        <v>7.4</v>
      </c>
      <c r="D9" s="348">
        <v>13</v>
      </c>
      <c r="E9" s="347">
        <v>27</v>
      </c>
      <c r="F9" s="347">
        <v>2</v>
      </c>
    </row>
    <row r="10" spans="1:11">
      <c r="A10" s="345">
        <v>0.43958333333333338</v>
      </c>
      <c r="B10" s="346">
        <v>7.5</v>
      </c>
      <c r="C10" s="347">
        <v>7.8</v>
      </c>
      <c r="D10" s="348">
        <v>14</v>
      </c>
      <c r="E10" s="347">
        <v>29</v>
      </c>
      <c r="F10" s="347">
        <v>3</v>
      </c>
    </row>
    <row r="11" spans="1:11">
      <c r="A11" s="345"/>
      <c r="B11" s="349"/>
      <c r="C11" s="349"/>
      <c r="D11" s="349"/>
      <c r="E11" s="349"/>
      <c r="F11" s="349"/>
    </row>
    <row r="12" spans="1:11">
      <c r="A12" s="345"/>
      <c r="B12" s="349"/>
      <c r="C12" s="349"/>
      <c r="D12" s="349"/>
      <c r="E12" s="349"/>
      <c r="F12" s="349"/>
    </row>
    <row r="13" spans="1:11">
      <c r="A13" s="345"/>
      <c r="B13" s="349"/>
      <c r="C13" s="349"/>
      <c r="D13" s="349"/>
      <c r="E13" s="349"/>
      <c r="F13" s="349"/>
    </row>
    <row r="14" spans="1:11">
      <c r="A14" s="345"/>
      <c r="B14" s="349"/>
      <c r="C14" s="349"/>
      <c r="D14" s="349"/>
      <c r="E14" s="349"/>
      <c r="F14" s="349"/>
    </row>
    <row r="15" spans="1:11">
      <c r="A15" s="345"/>
      <c r="B15" s="349"/>
      <c r="C15" s="349"/>
      <c r="D15" s="349"/>
      <c r="E15" s="349"/>
      <c r="F15" s="349"/>
    </row>
    <row r="16" spans="1:11">
      <c r="A16" s="345"/>
      <c r="B16" s="349"/>
      <c r="C16" s="349"/>
      <c r="D16" s="349"/>
      <c r="E16" s="349"/>
      <c r="F16" s="349"/>
    </row>
    <row r="17" spans="1:6">
      <c r="A17" s="345"/>
      <c r="B17" s="349"/>
      <c r="C17" s="349"/>
      <c r="D17" s="349"/>
      <c r="E17" s="349"/>
      <c r="F17" s="349"/>
    </row>
    <row r="18" spans="1:6">
      <c r="A18" s="345"/>
      <c r="B18" s="349"/>
      <c r="C18" s="349"/>
      <c r="D18" s="349"/>
      <c r="E18" s="349"/>
      <c r="F18" s="349"/>
    </row>
    <row r="19" spans="1:6">
      <c r="A19" s="345"/>
      <c r="B19" s="349"/>
      <c r="C19" s="349"/>
      <c r="D19" s="349"/>
      <c r="E19" s="349"/>
      <c r="F19" s="349"/>
    </row>
    <row r="20" spans="1:6">
      <c r="A20" s="345"/>
      <c r="B20" s="349"/>
      <c r="C20" s="349"/>
      <c r="D20" s="349"/>
      <c r="E20" s="349"/>
      <c r="F20" s="349"/>
    </row>
    <row r="21" spans="1:6">
      <c r="A21" s="345"/>
      <c r="B21" s="349"/>
      <c r="C21" s="349"/>
      <c r="D21" s="349"/>
      <c r="E21" s="349"/>
      <c r="F21" s="349"/>
    </row>
    <row r="22" spans="1:6">
      <c r="A22" s="345"/>
      <c r="B22" s="349"/>
      <c r="C22" s="349"/>
      <c r="D22" s="349"/>
      <c r="E22" s="349"/>
      <c r="F22" s="349"/>
    </row>
    <row r="23" spans="1:6">
      <c r="A23" s="345"/>
      <c r="B23" s="349"/>
      <c r="C23" s="349"/>
      <c r="D23" s="349"/>
      <c r="E23" s="349"/>
      <c r="F23" s="349"/>
    </row>
    <row r="24" spans="1:6">
      <c r="A24" s="345"/>
      <c r="B24" s="349"/>
      <c r="C24" s="349"/>
      <c r="D24" s="349"/>
      <c r="E24" s="349"/>
      <c r="F24" s="349"/>
    </row>
    <row r="25" spans="1:6">
      <c r="A25" s="345"/>
      <c r="B25" s="349"/>
      <c r="C25" s="349"/>
      <c r="D25" s="349"/>
      <c r="E25" s="349"/>
      <c r="F25" s="349"/>
    </row>
    <row r="26" spans="1:6">
      <c r="A26" s="345"/>
      <c r="B26" s="349"/>
      <c r="C26" s="349"/>
      <c r="D26" s="349"/>
      <c r="E26" s="349"/>
      <c r="F26" s="349"/>
    </row>
    <row r="27" spans="1:6">
      <c r="A27" s="345"/>
      <c r="B27" s="349"/>
      <c r="C27" s="349"/>
      <c r="D27" s="349"/>
      <c r="E27" s="349"/>
      <c r="F27" s="349"/>
    </row>
    <row r="28" spans="1:6">
      <c r="A28" s="345"/>
      <c r="B28" s="349"/>
      <c r="C28" s="349"/>
      <c r="D28" s="349"/>
      <c r="E28" s="349"/>
      <c r="F28" s="349"/>
    </row>
    <row r="29" spans="1:6">
      <c r="A29" s="345"/>
      <c r="B29" s="349"/>
      <c r="C29" s="349"/>
      <c r="D29" s="349"/>
      <c r="E29" s="349"/>
      <c r="F29" s="349"/>
    </row>
    <row r="30" spans="1:6">
      <c r="A30" s="345"/>
      <c r="B30" s="349"/>
      <c r="C30" s="349"/>
      <c r="D30" s="349"/>
      <c r="E30" s="349"/>
      <c r="F30" s="349"/>
    </row>
    <row r="31" spans="1:6">
      <c r="A31" s="345"/>
      <c r="B31" s="349"/>
      <c r="C31" s="349"/>
      <c r="D31" s="349"/>
      <c r="E31" s="349"/>
      <c r="F31" s="349"/>
    </row>
    <row r="32" spans="1:6">
      <c r="A32" s="345"/>
      <c r="B32" s="349"/>
      <c r="C32" s="350"/>
      <c r="D32" s="349"/>
      <c r="E32" s="349"/>
      <c r="F32" s="349"/>
    </row>
    <row r="33" spans="1:6">
      <c r="A33" s="345"/>
      <c r="B33" s="349"/>
      <c r="C33" s="349"/>
      <c r="D33" s="349"/>
      <c r="E33" s="349"/>
      <c r="F33" s="349"/>
    </row>
    <row r="34" spans="1:6">
      <c r="A34" s="345"/>
      <c r="B34" s="349"/>
      <c r="C34" s="349"/>
      <c r="D34" s="349"/>
      <c r="E34" s="349"/>
      <c r="F34" s="349"/>
    </row>
    <row r="35" spans="1:6">
      <c r="A35" s="345"/>
      <c r="B35" s="349"/>
      <c r="C35" s="349"/>
      <c r="D35" s="349"/>
      <c r="E35" s="349"/>
      <c r="F35" s="349"/>
    </row>
    <row r="36" spans="1:6">
      <c r="A36" s="345"/>
      <c r="B36" s="349"/>
      <c r="C36" s="349"/>
      <c r="D36" s="349"/>
      <c r="E36" s="349"/>
      <c r="F36" s="349"/>
    </row>
    <row r="37" spans="1:6">
      <c r="A37" s="345"/>
      <c r="B37" s="349"/>
      <c r="C37" s="349"/>
      <c r="D37" s="349"/>
      <c r="E37" s="349"/>
      <c r="F37" s="349"/>
    </row>
    <row r="38" spans="1:6">
      <c r="A38" s="345"/>
      <c r="B38" s="349"/>
      <c r="C38" s="349"/>
      <c r="D38" s="349"/>
      <c r="E38" s="349"/>
      <c r="F38" s="349"/>
    </row>
    <row r="39" spans="1:6">
      <c r="A39" s="345"/>
      <c r="B39" s="349"/>
      <c r="C39" s="349"/>
      <c r="D39" s="349"/>
      <c r="E39" s="349"/>
      <c r="F39" s="349"/>
    </row>
    <row r="40" spans="1:6">
      <c r="A40" s="345"/>
      <c r="B40" s="349"/>
      <c r="C40" s="349"/>
      <c r="D40" s="349"/>
      <c r="E40" s="349"/>
      <c r="F40" s="349"/>
    </row>
    <row r="41" spans="1:6" ht="17.25" thickBot="1">
      <c r="A41" s="351"/>
      <c r="B41" s="352"/>
      <c r="C41" s="352"/>
      <c r="D41" s="352"/>
      <c r="E41" s="352"/>
      <c r="F41" s="352"/>
    </row>
    <row r="42" spans="1:6" ht="17.25" thickBot="1">
      <c r="A42" s="519" t="s">
        <v>212</v>
      </c>
      <c r="B42" s="520"/>
      <c r="C42" s="520"/>
      <c r="D42" s="520"/>
      <c r="E42" s="520"/>
      <c r="F42" s="521"/>
    </row>
  </sheetData>
  <sheetProtection formatCells="0" insertColumns="0" insertRows="0" deleteColumns="0" deleteRows="0"/>
  <mergeCells count="4">
    <mergeCell ref="A1:F2"/>
    <mergeCell ref="A3:B3"/>
    <mergeCell ref="E3:F3"/>
    <mergeCell ref="A42:F42"/>
  </mergeCells>
  <phoneticPr fontId="3" type="noConversion"/>
  <printOptions horizontalCentered="1"/>
  <pageMargins left="0.35433070866141736" right="0.35433070866141736" top="1.1811023622047245" bottom="0.78740157480314965" header="0.9055118110236221" footer="0.39370078740157483"/>
  <pageSetup paperSize="9" scale="97" orientation="portrait" blackAndWhite="1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pageSetUpPr fitToPage="1"/>
  </sheetPr>
  <dimension ref="A1:ED59"/>
  <sheetViews>
    <sheetView view="pageBreakPreview" zoomScaleNormal="100" zoomScaleSheetLayoutView="100" workbookViewId="0">
      <selection activeCell="L17" sqref="L17"/>
    </sheetView>
  </sheetViews>
  <sheetFormatPr defaultColWidth="8.88671875" defaultRowHeight="16.5"/>
  <cols>
    <col min="1" max="4" width="10.77734375" style="7" customWidth="1"/>
    <col min="5" max="5" width="10.77734375" style="7" hidden="1" customWidth="1"/>
    <col min="6" max="11" width="10.77734375" style="7" customWidth="1"/>
    <col min="12" max="16384" width="8.88671875" style="7"/>
  </cols>
  <sheetData>
    <row r="1" spans="1:13" ht="21.95" customHeight="1">
      <c r="A1" s="591" t="s">
        <v>28</v>
      </c>
      <c r="B1" s="592"/>
      <c r="C1" s="592"/>
      <c r="D1" s="592"/>
      <c r="E1" s="592"/>
      <c r="F1" s="592"/>
      <c r="G1" s="592"/>
      <c r="H1" s="592"/>
      <c r="I1" s="592"/>
      <c r="J1" s="592"/>
      <c r="K1" s="593"/>
    </row>
    <row r="2" spans="1:13" ht="21.95" customHeight="1" thickBot="1">
      <c r="A2" s="594"/>
      <c r="B2" s="595"/>
      <c r="C2" s="595"/>
      <c r="D2" s="595"/>
      <c r="E2" s="595"/>
      <c r="F2" s="595"/>
      <c r="G2" s="595"/>
      <c r="H2" s="595"/>
      <c r="I2" s="595"/>
      <c r="J2" s="595"/>
      <c r="K2" s="596"/>
    </row>
    <row r="3" spans="1:13" ht="13.5" customHeight="1">
      <c r="K3" s="96"/>
      <c r="M3" s="96"/>
    </row>
    <row r="4" spans="1:13" ht="22.5" customHeight="1" thickBot="1">
      <c r="A4" s="12" t="s">
        <v>0</v>
      </c>
      <c r="K4" s="96"/>
    </row>
    <row r="5" spans="1:13" ht="22.5" customHeight="1" thickBot="1">
      <c r="A5" s="215" t="s">
        <v>173</v>
      </c>
      <c r="B5" s="216">
        <v>4</v>
      </c>
      <c r="K5" s="96"/>
    </row>
    <row r="6" spans="1:13" ht="15" customHeight="1">
      <c r="A6" s="218" t="s">
        <v>10</v>
      </c>
      <c r="B6" s="219" t="s">
        <v>111</v>
      </c>
      <c r="C6" s="539" t="s">
        <v>329</v>
      </c>
      <c r="D6" s="540"/>
      <c r="E6" s="312"/>
      <c r="F6" s="566" t="s">
        <v>246</v>
      </c>
      <c r="G6" s="566" t="s">
        <v>247</v>
      </c>
      <c r="H6" s="564" t="s">
        <v>310</v>
      </c>
      <c r="I6" s="537" t="s">
        <v>311</v>
      </c>
      <c r="J6" s="566" t="s">
        <v>31</v>
      </c>
      <c r="K6" s="613"/>
    </row>
    <row r="7" spans="1:13" ht="15" customHeight="1" thickBot="1">
      <c r="A7" s="220" t="s">
        <v>11</v>
      </c>
      <c r="B7" s="314" t="s">
        <v>4</v>
      </c>
      <c r="C7" s="541"/>
      <c r="D7" s="542"/>
      <c r="E7" s="314"/>
      <c r="F7" s="567"/>
      <c r="G7" s="567"/>
      <c r="H7" s="565"/>
      <c r="I7" s="538"/>
      <c r="J7" s="314" t="s">
        <v>248</v>
      </c>
      <c r="K7" s="75" t="s">
        <v>30</v>
      </c>
    </row>
    <row r="8" spans="1:13" ht="15" customHeight="1">
      <c r="A8" s="615">
        <v>28.1</v>
      </c>
      <c r="B8" s="543">
        <v>765</v>
      </c>
      <c r="C8" s="226" t="s">
        <v>289</v>
      </c>
      <c r="D8" s="226" t="s">
        <v>330</v>
      </c>
      <c r="E8" s="226">
        <f>$C$9</f>
        <v>0.80700000000000005</v>
      </c>
      <c r="F8" s="546">
        <f>IFERROR(INDEX(노즐산정!O39:O43,MATCH(노즐산정!$B$5,노즐산정!M39:M43,0)),"")</f>
        <v>47.651200000000003</v>
      </c>
      <c r="G8" s="546">
        <f>IFERROR(INDEX(노즐산정!P39:P43,MATCH(노즐산정!$B$5,노즐산정!M39:M43,0)),"")</f>
        <v>0.99760000000000004</v>
      </c>
      <c r="H8" s="534">
        <f>(0.32*$A$15+0.44*$B$15+0.28*(100-$A$15-$B$15))</f>
        <v>29.530800000000003</v>
      </c>
      <c r="I8" s="534">
        <f>$H$8*(1-$C$15/100)+18*$C$15/100</f>
        <v>28.887611976000002</v>
      </c>
      <c r="J8" s="534">
        <f>H26</f>
        <v>1.2896747127678569</v>
      </c>
      <c r="K8" s="531">
        <f>($J$8*273/(273+(AVERAGE($G$15))))*(($B$8+$I$15/13.6)/760)</f>
        <v>0.80234204993821001</v>
      </c>
    </row>
    <row r="9" spans="1:13" ht="15" customHeight="1">
      <c r="A9" s="616"/>
      <c r="B9" s="544"/>
      <c r="C9" s="308">
        <v>0.80700000000000005</v>
      </c>
      <c r="D9" s="308" t="s">
        <v>335</v>
      </c>
      <c r="E9" s="308">
        <v>0.84</v>
      </c>
      <c r="F9" s="547"/>
      <c r="G9" s="547"/>
      <c r="H9" s="535"/>
      <c r="I9" s="535"/>
      <c r="J9" s="535"/>
      <c r="K9" s="532"/>
    </row>
    <row r="10" spans="1:13" ht="15" customHeight="1" thickBot="1">
      <c r="A10" s="617"/>
      <c r="B10" s="545"/>
      <c r="C10" s="614">
        <v>0.80700000000000005</v>
      </c>
      <c r="D10" s="614"/>
      <c r="E10" s="313"/>
      <c r="F10" s="548"/>
      <c r="G10" s="548"/>
      <c r="H10" s="536"/>
      <c r="I10" s="536"/>
      <c r="J10" s="536"/>
      <c r="K10" s="533"/>
    </row>
    <row r="11" spans="1:13" ht="13.5" customHeight="1">
      <c r="C11" s="217"/>
      <c r="D11" s="217"/>
      <c r="E11" s="217"/>
      <c r="K11" s="146"/>
    </row>
    <row r="12" spans="1:13" ht="22.5" customHeight="1" thickBot="1">
      <c r="A12" s="12" t="s">
        <v>12</v>
      </c>
      <c r="K12" s="143"/>
    </row>
    <row r="13" spans="1:13" ht="15" customHeight="1">
      <c r="A13" s="73" t="s">
        <v>249</v>
      </c>
      <c r="B13" s="309" t="s">
        <v>250</v>
      </c>
      <c r="C13" s="309" t="s">
        <v>1</v>
      </c>
      <c r="D13" s="528" t="s">
        <v>19</v>
      </c>
      <c r="E13" s="529"/>
      <c r="F13" s="530"/>
      <c r="G13" s="309" t="s">
        <v>6</v>
      </c>
      <c r="H13" s="76" t="s">
        <v>174</v>
      </c>
      <c r="I13" s="309" t="s">
        <v>2</v>
      </c>
      <c r="J13" s="232" t="s">
        <v>3</v>
      </c>
      <c r="K13" s="597" t="s">
        <v>179</v>
      </c>
    </row>
    <row r="14" spans="1:13" ht="15" customHeight="1">
      <c r="A14" s="227" t="s">
        <v>5</v>
      </c>
      <c r="B14" s="228" t="s">
        <v>5</v>
      </c>
      <c r="C14" s="228" t="s">
        <v>5</v>
      </c>
      <c r="D14" s="228" t="s">
        <v>8</v>
      </c>
      <c r="E14" s="228"/>
      <c r="F14" s="228" t="s">
        <v>9</v>
      </c>
      <c r="G14" s="228" t="s">
        <v>11</v>
      </c>
      <c r="H14" s="229" t="s">
        <v>251</v>
      </c>
      <c r="I14" s="228" t="s">
        <v>251</v>
      </c>
      <c r="J14" s="233" t="s">
        <v>251</v>
      </c>
      <c r="K14" s="598"/>
    </row>
    <row r="15" spans="1:13" ht="14.25" customHeight="1">
      <c r="A15" s="582">
        <f>연소가스자료!B5</f>
        <v>7.87</v>
      </c>
      <c r="B15" s="584">
        <f>연소가스자료!C5</f>
        <v>7.6000000000000005</v>
      </c>
      <c r="C15" s="586">
        <f>IF(수분량!C5=1,수분량!B15,수분량!H28)</f>
        <v>5.5780000000000003</v>
      </c>
      <c r="D15" s="550">
        <v>28</v>
      </c>
      <c r="E15" s="315"/>
      <c r="F15" s="550">
        <v>28</v>
      </c>
      <c r="G15" s="562">
        <f>AVERAGE(G17:G21)</f>
        <v>168.5</v>
      </c>
      <c r="H15" s="557">
        <f>AVERAGE(H17:H21)</f>
        <v>-4</v>
      </c>
      <c r="I15" s="555">
        <f>AVERAGE(I17:I21)</f>
        <v>-4.8</v>
      </c>
      <c r="J15" s="552">
        <f>AVERAGE(J17:J21)</f>
        <v>0.8</v>
      </c>
      <c r="K15" s="554">
        <f>($J$8*(273/(273+(AVERAGE($G$15)))))*((B8+I15/13.6)/760)</f>
        <v>0.80234204993821001</v>
      </c>
      <c r="L15" s="7">
        <f>I15/13.6</f>
        <v>-0.35294117647058826</v>
      </c>
    </row>
    <row r="16" spans="1:13" ht="15" customHeight="1" thickBot="1">
      <c r="A16" s="583"/>
      <c r="B16" s="585"/>
      <c r="C16" s="587"/>
      <c r="D16" s="551"/>
      <c r="E16" s="316"/>
      <c r="F16" s="551"/>
      <c r="G16" s="563"/>
      <c r="H16" s="558"/>
      <c r="I16" s="556"/>
      <c r="J16" s="553"/>
      <c r="K16" s="554"/>
      <c r="L16" s="761">
        <f>AVERAGE(D15:F16)</f>
        <v>28</v>
      </c>
    </row>
    <row r="17" spans="1:20" ht="15" customHeight="1">
      <c r="A17" s="77"/>
      <c r="B17" s="77"/>
      <c r="C17" s="320"/>
      <c r="G17" s="300">
        <v>170</v>
      </c>
      <c r="H17" s="304">
        <v>-4.2</v>
      </c>
      <c r="I17" s="230">
        <v>-5</v>
      </c>
      <c r="J17" s="231">
        <v>0.8</v>
      </c>
      <c r="K17" s="173" t="s">
        <v>216</v>
      </c>
    </row>
    <row r="18" spans="1:20" ht="15" customHeight="1">
      <c r="A18" s="77"/>
      <c r="B18" s="77"/>
      <c r="C18" s="320"/>
      <c r="G18" s="301">
        <v>167</v>
      </c>
      <c r="H18" s="305">
        <v>-3.8</v>
      </c>
      <c r="I18" s="317">
        <v>-4.5999999999999996</v>
      </c>
      <c r="J18" s="171">
        <v>0.8</v>
      </c>
      <c r="K18" s="174" t="s">
        <v>218</v>
      </c>
    </row>
    <row r="19" spans="1:20" ht="15" customHeight="1">
      <c r="A19" s="77"/>
      <c r="B19" s="77"/>
      <c r="C19" s="320"/>
      <c r="G19" s="302"/>
      <c r="H19" s="305"/>
      <c r="I19" s="317"/>
      <c r="J19" s="171"/>
      <c r="K19" s="174" t="s">
        <v>219</v>
      </c>
      <c r="L19" s="253"/>
    </row>
    <row r="20" spans="1:20" ht="15" customHeight="1" thickBot="1">
      <c r="A20" s="77"/>
      <c r="B20" s="77"/>
      <c r="C20" s="320"/>
      <c r="G20" s="301"/>
      <c r="H20" s="305"/>
      <c r="I20" s="317"/>
      <c r="J20" s="171"/>
      <c r="K20" s="174" t="s">
        <v>239</v>
      </c>
    </row>
    <row r="21" spans="1:20" ht="15" customHeight="1" thickBot="1">
      <c r="A21" s="77"/>
      <c r="B21" s="77"/>
      <c r="C21" s="320"/>
      <c r="G21" s="303"/>
      <c r="H21" s="306"/>
      <c r="I21" s="318"/>
      <c r="J21" s="172"/>
      <c r="K21" s="175" t="s">
        <v>240</v>
      </c>
      <c r="M21" s="522" t="s">
        <v>318</v>
      </c>
      <c r="N21" s="523"/>
      <c r="O21" s="523"/>
      <c r="P21" s="523"/>
      <c r="Q21" s="523"/>
      <c r="R21" s="523"/>
      <c r="S21" s="523"/>
      <c r="T21" s="524"/>
    </row>
    <row r="22" spans="1:20" ht="22.5" hidden="1" customHeight="1">
      <c r="A22" s="12" t="s">
        <v>225</v>
      </c>
      <c r="B22" s="77"/>
      <c r="C22" s="320"/>
      <c r="H22" s="80"/>
      <c r="I22" s="80"/>
      <c r="J22" s="80"/>
      <c r="M22" s="525"/>
      <c r="N22" s="526"/>
      <c r="O22" s="526"/>
      <c r="P22" s="526"/>
      <c r="Q22" s="526"/>
      <c r="R22" s="526"/>
      <c r="S22" s="526"/>
      <c r="T22" s="527"/>
    </row>
    <row r="23" spans="1:20" s="78" customFormat="1" ht="15" hidden="1" customHeight="1" thickBot="1">
      <c r="A23" s="79"/>
      <c r="B23" s="79"/>
      <c r="C23" s="79"/>
      <c r="D23" s="79"/>
      <c r="E23" s="79"/>
      <c r="F23" s="79"/>
      <c r="G23" s="79"/>
      <c r="H23" s="80"/>
      <c r="I23" s="80"/>
      <c r="J23" s="80"/>
      <c r="K23" s="319"/>
      <c r="M23" s="525"/>
      <c r="N23" s="526"/>
      <c r="O23" s="526"/>
      <c r="P23" s="526"/>
      <c r="Q23" s="526"/>
      <c r="R23" s="526"/>
      <c r="S23" s="526"/>
      <c r="T23" s="527"/>
    </row>
    <row r="24" spans="1:20" s="78" customFormat="1" ht="15" hidden="1" customHeight="1">
      <c r="A24" s="605" t="s">
        <v>229</v>
      </c>
      <c r="B24" s="606"/>
      <c r="C24" s="606"/>
      <c r="D24" s="606"/>
      <c r="E24" s="242"/>
      <c r="F24" s="559" t="s">
        <v>230</v>
      </c>
      <c r="G24" s="560"/>
      <c r="H24" s="561"/>
      <c r="I24" s="81"/>
      <c r="M24" s="525"/>
      <c r="N24" s="526"/>
      <c r="O24" s="526"/>
      <c r="P24" s="526"/>
      <c r="Q24" s="526"/>
      <c r="R24" s="526"/>
      <c r="S24" s="526"/>
      <c r="T24" s="527"/>
    </row>
    <row r="25" spans="1:20" s="78" customFormat="1" ht="15" hidden="1" customHeight="1">
      <c r="A25" s="196" t="s">
        <v>231</v>
      </c>
      <c r="B25" s="82" t="s">
        <v>232</v>
      </c>
      <c r="C25" s="82" t="s">
        <v>233</v>
      </c>
      <c r="D25" s="82" t="s">
        <v>234</v>
      </c>
      <c r="E25" s="82"/>
      <c r="F25" s="82" t="s">
        <v>235</v>
      </c>
      <c r="G25" s="82" t="s">
        <v>236</v>
      </c>
      <c r="H25" s="197" t="s">
        <v>252</v>
      </c>
      <c r="I25" s="81"/>
      <c r="M25" s="525"/>
      <c r="N25" s="526"/>
      <c r="O25" s="526"/>
      <c r="P25" s="526"/>
      <c r="Q25" s="526"/>
      <c r="R25" s="526"/>
      <c r="S25" s="526"/>
      <c r="T25" s="527"/>
    </row>
    <row r="26" spans="1:20" s="78" customFormat="1" ht="15" hidden="1" customHeight="1">
      <c r="A26" s="198" t="s">
        <v>253</v>
      </c>
      <c r="B26" s="83" t="s">
        <v>156</v>
      </c>
      <c r="C26" s="83">
        <v>32</v>
      </c>
      <c r="D26" s="310">
        <f>AVERAGE(연소가스자료!B8:B10)</f>
        <v>7.8666666666666671</v>
      </c>
      <c r="E26" s="310"/>
      <c r="F26" s="607">
        <f>수분량!B15</f>
        <v>5.5780000000000003</v>
      </c>
      <c r="G26" s="609">
        <f>SUMPRODUCT(C26:C29,D26:D29)</f>
        <v>2953.1966666666663</v>
      </c>
      <c r="H26" s="611">
        <f>((G26*(100-F26)/100+18*F26)/(22.4*100))</f>
        <v>1.2896747127678569</v>
      </c>
      <c r="I26" s="81"/>
      <c r="M26" s="321"/>
      <c r="N26" s="322"/>
      <c r="O26" s="322"/>
      <c r="P26" s="322"/>
      <c r="Q26" s="322"/>
      <c r="R26" s="322"/>
      <c r="S26" s="322"/>
      <c r="T26" s="323"/>
    </row>
    <row r="27" spans="1:20" s="78" customFormat="1" ht="15" hidden="1" customHeight="1">
      <c r="A27" s="198" t="s">
        <v>254</v>
      </c>
      <c r="B27" s="83" t="s">
        <v>156</v>
      </c>
      <c r="C27" s="83">
        <v>44</v>
      </c>
      <c r="D27" s="310">
        <f>AVERAGE(연소가스자료!C8:C10)</f>
        <v>7.6000000000000005</v>
      </c>
      <c r="E27" s="310"/>
      <c r="F27" s="607"/>
      <c r="G27" s="609"/>
      <c r="H27" s="611"/>
      <c r="I27" s="79"/>
      <c r="M27" s="576" t="s">
        <v>319</v>
      </c>
      <c r="N27" s="577"/>
      <c r="O27" s="577"/>
      <c r="P27" s="577"/>
      <c r="Q27" s="577"/>
      <c r="R27" s="577"/>
      <c r="S27" s="577"/>
      <c r="T27" s="578"/>
    </row>
    <row r="28" spans="1:20" s="78" customFormat="1" ht="15" hidden="1" customHeight="1">
      <c r="A28" s="198" t="s">
        <v>238</v>
      </c>
      <c r="B28" s="83" t="s">
        <v>156</v>
      </c>
      <c r="C28" s="83">
        <v>38</v>
      </c>
      <c r="D28" s="310">
        <f>AVERAGE(연소가스자료!D8:D10)/1000</f>
        <v>1.2999999999999999E-2</v>
      </c>
      <c r="E28" s="310"/>
      <c r="F28" s="607"/>
      <c r="G28" s="609"/>
      <c r="H28" s="611"/>
      <c r="I28" s="79"/>
      <c r="M28" s="573" t="s">
        <v>226</v>
      </c>
      <c r="N28" s="574"/>
      <c r="O28" s="574"/>
      <c r="P28" s="574"/>
      <c r="Q28" s="574"/>
      <c r="R28" s="574"/>
      <c r="S28" s="574"/>
      <c r="T28" s="575"/>
    </row>
    <row r="29" spans="1:20" ht="15" hidden="1" customHeight="1" thickBot="1">
      <c r="A29" s="199" t="s">
        <v>255</v>
      </c>
      <c r="B29" s="200" t="s">
        <v>156</v>
      </c>
      <c r="C29" s="200">
        <v>28</v>
      </c>
      <c r="D29" s="311">
        <f>100-D26-D27-D28</f>
        <v>84.520333333333326</v>
      </c>
      <c r="E29" s="311"/>
      <c r="F29" s="608"/>
      <c r="G29" s="610"/>
      <c r="H29" s="612"/>
      <c r="I29" s="79"/>
      <c r="J29" s="84"/>
      <c r="K29" s="320"/>
      <c r="M29" s="573" t="s">
        <v>227</v>
      </c>
      <c r="N29" s="574"/>
      <c r="O29" s="574"/>
      <c r="P29" s="574"/>
      <c r="Q29" s="574"/>
      <c r="R29" s="574"/>
      <c r="S29" s="574"/>
      <c r="T29" s="575"/>
    </row>
    <row r="30" spans="1:20" ht="15" hidden="1" customHeight="1" thickBot="1">
      <c r="A30" s="77"/>
      <c r="B30" s="77"/>
      <c r="C30" s="320"/>
      <c r="D30" s="320"/>
      <c r="E30" s="320"/>
      <c r="F30" s="320"/>
      <c r="G30" s="320"/>
      <c r="H30" s="84"/>
      <c r="I30" s="84"/>
      <c r="J30" s="84"/>
      <c r="K30" s="320"/>
      <c r="M30" s="570" t="s">
        <v>228</v>
      </c>
      <c r="N30" s="571"/>
      <c r="O30" s="571"/>
      <c r="P30" s="571"/>
      <c r="Q30" s="571"/>
      <c r="R30" s="571"/>
      <c r="S30" s="571"/>
      <c r="T30" s="572"/>
    </row>
    <row r="31" spans="1:20" ht="22.5" hidden="1" customHeight="1">
      <c r="A31" s="12" t="s">
        <v>237</v>
      </c>
      <c r="B31" s="77"/>
      <c r="C31" s="320"/>
      <c r="D31" s="320"/>
      <c r="E31" s="320"/>
      <c r="F31" s="320"/>
      <c r="G31" s="320"/>
      <c r="H31" s="84"/>
      <c r="I31" s="84"/>
      <c r="J31" s="84"/>
      <c r="K31" s="320"/>
    </row>
    <row r="32" spans="1:20" ht="13.5" hidden="1" customHeight="1" thickBot="1">
      <c r="A32" s="12"/>
      <c r="B32" s="77"/>
      <c r="C32" s="320"/>
      <c r="D32" s="320"/>
      <c r="E32" s="320"/>
      <c r="F32" s="320"/>
      <c r="G32" s="320"/>
      <c r="H32" s="84"/>
      <c r="I32" s="84"/>
      <c r="J32" s="84"/>
      <c r="K32" s="320"/>
    </row>
    <row r="33" spans="1:134" ht="18" hidden="1">
      <c r="A33" s="599" t="s">
        <v>256</v>
      </c>
      <c r="B33" s="600"/>
      <c r="C33" s="195" t="s">
        <v>308</v>
      </c>
      <c r="D33" s="320"/>
      <c r="E33" s="320"/>
      <c r="F33" s="320" t="s">
        <v>193</v>
      </c>
      <c r="G33" s="320"/>
      <c r="H33" s="80"/>
      <c r="I33" s="80"/>
      <c r="J33" s="80"/>
      <c r="K33" s="320"/>
    </row>
    <row r="34" spans="1:134" ht="17.25" hidden="1" thickBot="1">
      <c r="A34" s="601">
        <f>(C34*(100-수분량!H29)/100)+18/(22.4*100)*수분량!H29</f>
        <v>1.1000000000000001</v>
      </c>
      <c r="B34" s="602"/>
      <c r="C34" s="85">
        <v>1.1000000000000001</v>
      </c>
      <c r="D34" s="320"/>
      <c r="E34" s="320"/>
      <c r="F34" s="320"/>
      <c r="G34" s="320"/>
      <c r="H34" s="80"/>
      <c r="I34" s="80"/>
      <c r="J34" s="80"/>
      <c r="K34" s="320"/>
    </row>
    <row r="35" spans="1:134" ht="13.5" hidden="1" customHeight="1">
      <c r="H35" s="80"/>
      <c r="I35" s="80"/>
      <c r="J35" s="80"/>
      <c r="K35" s="319"/>
    </row>
    <row r="36" spans="1:134" ht="21" hidden="1" thickBot="1">
      <c r="A36" s="12" t="s">
        <v>20</v>
      </c>
      <c r="K36" s="143"/>
    </row>
    <row r="37" spans="1:134" ht="14.1" hidden="1" customHeight="1">
      <c r="A37" s="73" t="s">
        <v>268</v>
      </c>
      <c r="B37" s="603" t="s">
        <v>177</v>
      </c>
      <c r="C37" s="367" t="s">
        <v>14</v>
      </c>
      <c r="D37" s="603" t="s">
        <v>16</v>
      </c>
      <c r="E37" s="367"/>
      <c r="F37" s="367" t="s">
        <v>17</v>
      </c>
      <c r="G37" s="367" t="s">
        <v>32</v>
      </c>
      <c r="H37" s="528" t="s">
        <v>175</v>
      </c>
      <c r="I37" s="529"/>
      <c r="J37" s="549"/>
      <c r="K37" s="618" t="s">
        <v>178</v>
      </c>
      <c r="M37" s="568" t="s">
        <v>135</v>
      </c>
      <c r="N37" s="568" t="s">
        <v>136</v>
      </c>
      <c r="O37" s="568" t="s">
        <v>246</v>
      </c>
      <c r="P37" s="568" t="s">
        <v>247</v>
      </c>
    </row>
    <row r="38" spans="1:134" ht="15" hidden="1" customHeight="1" thickBot="1">
      <c r="A38" s="74" t="s">
        <v>13</v>
      </c>
      <c r="B38" s="604"/>
      <c r="C38" s="368" t="s">
        <v>15</v>
      </c>
      <c r="D38" s="604"/>
      <c r="E38" s="368"/>
      <c r="F38" s="368" t="s">
        <v>251</v>
      </c>
      <c r="G38" s="368" t="s">
        <v>34</v>
      </c>
      <c r="H38" s="369" t="s">
        <v>33</v>
      </c>
      <c r="I38" s="369" t="s">
        <v>257</v>
      </c>
      <c r="J38" s="75" t="s">
        <v>258</v>
      </c>
      <c r="K38" s="619"/>
      <c r="M38" s="569"/>
      <c r="N38" s="569"/>
      <c r="O38" s="569"/>
      <c r="P38" s="569"/>
    </row>
    <row r="39" spans="1:134" ht="17.25" hidden="1" thickBot="1">
      <c r="A39" s="588">
        <v>60</v>
      </c>
      <c r="B39" s="384">
        <v>4</v>
      </c>
      <c r="C39" s="385">
        <v>3.21</v>
      </c>
      <c r="D39" s="386">
        <f t="shared" ref="D39:D56" si="0">8.001*10^-5*C39^4*$F$8*$C$10^2*(1-$C$15/100)^2*($H$8/$I$8)*((AVERAGE($F$15:$F$16)+273)/($D$15+273))*(($B$8+$I$15/13.6)/$B$8)</f>
        <v>0.24015678413635302</v>
      </c>
      <c r="E39" s="386"/>
      <c r="F39" s="387">
        <f t="shared" ref="F39:F56" si="1">D39*$J$15</f>
        <v>0.19212542730908244</v>
      </c>
      <c r="G39" s="579">
        <f>C10*(2*9.81*J15/K15)^0.5</f>
        <v>3.5693427443849264</v>
      </c>
      <c r="H39" s="388">
        <f t="shared" ref="H39:H56" si="2">PI()/4*C39^2*$G$39*60*$A$39/1000*(1-$C$15/100)</f>
        <v>98.189239205295422</v>
      </c>
      <c r="I39" s="388">
        <f t="shared" ref="I39:I56" si="3">H39*(273/(273+$D$15)*($B$8+F39/13.6)/760)</f>
        <v>89.642902351491927</v>
      </c>
      <c r="J39" s="389">
        <f t="shared" ref="J39:J56" si="4">I39/1000</f>
        <v>8.9642902351491929E-2</v>
      </c>
      <c r="K39" s="87">
        <v>13</v>
      </c>
      <c r="M39" s="366">
        <v>1</v>
      </c>
      <c r="N39" s="366" t="s">
        <v>137</v>
      </c>
      <c r="O39" s="93">
        <v>47.607900000000001</v>
      </c>
      <c r="P39" s="94">
        <v>0.99099999999999999</v>
      </c>
    </row>
    <row r="40" spans="1:134" hidden="1">
      <c r="A40" s="589"/>
      <c r="B40" s="366">
        <v>5</v>
      </c>
      <c r="C40" s="88">
        <v>3.97</v>
      </c>
      <c r="D40" s="86">
        <f t="shared" si="0"/>
        <v>0.56187118055161545</v>
      </c>
      <c r="E40" s="86"/>
      <c r="F40" s="89">
        <f t="shared" si="1"/>
        <v>0.4494969444412924</v>
      </c>
      <c r="G40" s="580"/>
      <c r="H40" s="90">
        <f t="shared" si="2"/>
        <v>150.18786504311302</v>
      </c>
      <c r="I40" s="90">
        <f t="shared" si="3"/>
        <v>137.11898854062588</v>
      </c>
      <c r="J40" s="91">
        <f t="shared" si="4"/>
        <v>0.13711898854062587</v>
      </c>
      <c r="M40" s="366">
        <v>2</v>
      </c>
      <c r="N40" s="366" t="s">
        <v>138</v>
      </c>
      <c r="O40" s="93">
        <v>47.4726</v>
      </c>
      <c r="P40" s="94">
        <v>0.99399999999999999</v>
      </c>
    </row>
    <row r="41" spans="1:134" hidden="1">
      <c r="A41" s="589"/>
      <c r="B41" s="366">
        <v>6</v>
      </c>
      <c r="C41" s="88">
        <v>4.79</v>
      </c>
      <c r="D41" s="86">
        <f t="shared" si="0"/>
        <v>1.1907395628043795</v>
      </c>
      <c r="E41" s="86"/>
      <c r="F41" s="89">
        <f t="shared" si="1"/>
        <v>0.95259165024350367</v>
      </c>
      <c r="G41" s="580"/>
      <c r="H41" s="90">
        <f t="shared" si="2"/>
        <v>218.63760282316926</v>
      </c>
      <c r="I41" s="90">
        <f t="shared" si="3"/>
        <v>199.62209705737934</v>
      </c>
      <c r="J41" s="91">
        <f>I41/1000</f>
        <v>0.19962209705737932</v>
      </c>
      <c r="M41" s="366">
        <v>3</v>
      </c>
      <c r="N41" s="366" t="s">
        <v>139</v>
      </c>
      <c r="O41" s="366">
        <v>47.557000000000002</v>
      </c>
      <c r="P41" s="366">
        <v>1.0078</v>
      </c>
    </row>
    <row r="42" spans="1:134" hidden="1">
      <c r="A42" s="589"/>
      <c r="B42" s="366">
        <v>7</v>
      </c>
      <c r="C42" s="88">
        <v>5.54</v>
      </c>
      <c r="D42" s="86">
        <f t="shared" si="0"/>
        <v>2.1306582142897947</v>
      </c>
      <c r="E42" s="86"/>
      <c r="F42" s="89">
        <f t="shared" si="1"/>
        <v>1.7045265714318358</v>
      </c>
      <c r="G42" s="580"/>
      <c r="H42" s="90">
        <f t="shared" si="2"/>
        <v>292.46463582391908</v>
      </c>
      <c r="I42" s="90">
        <f t="shared" si="3"/>
        <v>267.04748994110844</v>
      </c>
      <c r="J42" s="91">
        <f t="shared" si="4"/>
        <v>0.26704748994110844</v>
      </c>
      <c r="M42" s="366">
        <v>4</v>
      </c>
      <c r="N42" s="366" t="s">
        <v>140</v>
      </c>
      <c r="O42" s="366">
        <v>47.651200000000003</v>
      </c>
      <c r="P42" s="366">
        <v>0.99760000000000004</v>
      </c>
    </row>
    <row r="43" spans="1:134" hidden="1">
      <c r="A43" s="589"/>
      <c r="B43" s="366">
        <v>8</v>
      </c>
      <c r="C43" s="88">
        <v>6.28</v>
      </c>
      <c r="D43" s="86">
        <f t="shared" si="0"/>
        <v>3.5181415156129976</v>
      </c>
      <c r="E43" s="86"/>
      <c r="F43" s="89">
        <f t="shared" si="1"/>
        <v>2.8145132124903984</v>
      </c>
      <c r="G43" s="580"/>
      <c r="H43" s="90">
        <f t="shared" si="2"/>
        <v>375.81414111607245</v>
      </c>
      <c r="I43" s="90">
        <f t="shared" si="3"/>
        <v>343.18996657303433</v>
      </c>
      <c r="J43" s="91">
        <f t="shared" si="4"/>
        <v>0.3431899665730343</v>
      </c>
      <c r="M43" s="366">
        <v>5</v>
      </c>
      <c r="N43" s="366" t="s">
        <v>215</v>
      </c>
      <c r="O43" s="366">
        <v>49.1</v>
      </c>
      <c r="P43" s="95">
        <v>1</v>
      </c>
    </row>
    <row r="44" spans="1:134" hidden="1">
      <c r="A44" s="589"/>
      <c r="B44" s="366">
        <v>9</v>
      </c>
      <c r="C44" s="92">
        <v>7.1</v>
      </c>
      <c r="D44" s="86">
        <f t="shared" si="0"/>
        <v>5.7478857177510241</v>
      </c>
      <c r="E44" s="86"/>
      <c r="F44" s="89">
        <f t="shared" si="1"/>
        <v>4.5983085742008196</v>
      </c>
      <c r="G44" s="580"/>
      <c r="H44" s="90">
        <f t="shared" si="2"/>
        <v>480.36408306780231</v>
      </c>
      <c r="I44" s="90">
        <f t="shared" si="3"/>
        <v>438.73918775256863</v>
      </c>
      <c r="J44" s="91">
        <f t="shared" si="4"/>
        <v>0.43873918775256865</v>
      </c>
      <c r="ED44" s="7" t="s">
        <v>61</v>
      </c>
    </row>
    <row r="45" spans="1:134" hidden="1">
      <c r="A45" s="589"/>
      <c r="B45" s="366">
        <v>10</v>
      </c>
      <c r="C45" s="88">
        <v>7.86</v>
      </c>
      <c r="D45" s="86">
        <f t="shared" si="0"/>
        <v>8.6330630751028927</v>
      </c>
      <c r="E45" s="86"/>
      <c r="F45" s="89">
        <f t="shared" si="1"/>
        <v>6.9064504600823149</v>
      </c>
      <c r="G45" s="580"/>
      <c r="H45" s="90">
        <f t="shared" si="2"/>
        <v>588.70662381066461</v>
      </c>
      <c r="I45" s="90">
        <f t="shared" si="3"/>
        <v>537.81277877974924</v>
      </c>
      <c r="J45" s="91">
        <f t="shared" si="4"/>
        <v>0.5378127787797492</v>
      </c>
    </row>
    <row r="46" spans="1:134" hidden="1">
      <c r="A46" s="589"/>
      <c r="B46" s="366">
        <v>11</v>
      </c>
      <c r="C46" s="88">
        <v>8.4</v>
      </c>
      <c r="D46" s="86">
        <f t="shared" si="0"/>
        <v>11.26138675918873</v>
      </c>
      <c r="E46" s="86"/>
      <c r="F46" s="89">
        <f t="shared" si="1"/>
        <v>9.0091094073509836</v>
      </c>
      <c r="G46" s="580"/>
      <c r="H46" s="90">
        <f t="shared" si="2"/>
        <v>672.37630829724526</v>
      </c>
      <c r="I46" s="90">
        <f t="shared" si="3"/>
        <v>614.37325470405335</v>
      </c>
      <c r="J46" s="91">
        <f t="shared" si="4"/>
        <v>0.61437325470405335</v>
      </c>
    </row>
    <row r="47" spans="1:134" hidden="1">
      <c r="A47" s="589"/>
      <c r="B47" s="366">
        <v>12</v>
      </c>
      <c r="C47" s="88">
        <v>9.24</v>
      </c>
      <c r="D47" s="86">
        <f t="shared" si="0"/>
        <v>16.487796354128218</v>
      </c>
      <c r="E47" s="86"/>
      <c r="F47" s="89">
        <f t="shared" si="1"/>
        <v>13.190237083302575</v>
      </c>
      <c r="G47" s="580"/>
      <c r="H47" s="90">
        <f t="shared" si="2"/>
        <v>813.57533303966682</v>
      </c>
      <c r="I47" s="90">
        <f t="shared" si="3"/>
        <v>743.69013167441835</v>
      </c>
      <c r="J47" s="91">
        <f t="shared" si="4"/>
        <v>0.74369013167441833</v>
      </c>
    </row>
    <row r="48" spans="1:134" hidden="1">
      <c r="A48" s="589"/>
      <c r="B48" s="366">
        <v>13</v>
      </c>
      <c r="C48" s="88">
        <v>10.18</v>
      </c>
      <c r="D48" s="86">
        <f t="shared" si="0"/>
        <v>24.292143716633618</v>
      </c>
      <c r="E48" s="86"/>
      <c r="F48" s="89">
        <f t="shared" si="1"/>
        <v>19.433714973306895</v>
      </c>
      <c r="G48" s="580"/>
      <c r="H48" s="90">
        <f t="shared" si="2"/>
        <v>987.52792704058152</v>
      </c>
      <c r="I48" s="90">
        <f t="shared" si="3"/>
        <v>903.24142234526289</v>
      </c>
      <c r="J48" s="91">
        <f>I48/1000</f>
        <v>0.90324142234526295</v>
      </c>
    </row>
    <row r="49" spans="1:13" hidden="1">
      <c r="A49" s="589"/>
      <c r="B49" s="366">
        <v>14</v>
      </c>
      <c r="C49" s="88">
        <v>10.87</v>
      </c>
      <c r="D49" s="86">
        <f t="shared" si="0"/>
        <v>31.578602472101434</v>
      </c>
      <c r="E49" s="86"/>
      <c r="F49" s="89">
        <f t="shared" si="1"/>
        <v>25.262881977681147</v>
      </c>
      <c r="G49" s="580"/>
      <c r="H49" s="90">
        <f t="shared" si="2"/>
        <v>1125.9339600601863</v>
      </c>
      <c r="I49" s="90">
        <f t="shared" si="3"/>
        <v>1030.4102820382584</v>
      </c>
      <c r="J49" s="91">
        <f t="shared" si="4"/>
        <v>1.0304102820382584</v>
      </c>
    </row>
    <row r="50" spans="1:13" hidden="1">
      <c r="A50" s="589"/>
      <c r="B50" s="366">
        <v>15</v>
      </c>
      <c r="C50" s="88">
        <v>11.7</v>
      </c>
      <c r="D50" s="86">
        <f t="shared" si="0"/>
        <v>42.385584531126888</v>
      </c>
      <c r="E50" s="86"/>
      <c r="F50" s="89">
        <f t="shared" si="1"/>
        <v>33.908467624901512</v>
      </c>
      <c r="G50" s="580"/>
      <c r="H50" s="90">
        <f t="shared" si="2"/>
        <v>1304.4443430103443</v>
      </c>
      <c r="I50" s="90">
        <f t="shared" si="3"/>
        <v>1194.7655417161732</v>
      </c>
      <c r="J50" s="91">
        <f t="shared" si="4"/>
        <v>1.1947655417161731</v>
      </c>
    </row>
    <row r="51" spans="1:13" hidden="1">
      <c r="A51" s="589"/>
      <c r="B51" s="366">
        <v>16</v>
      </c>
      <c r="C51" s="88">
        <v>12.56</v>
      </c>
      <c r="D51" s="86">
        <f t="shared" si="0"/>
        <v>56.290264249807962</v>
      </c>
      <c r="E51" s="86"/>
      <c r="F51" s="89">
        <f t="shared" si="1"/>
        <v>45.032211399846375</v>
      </c>
      <c r="G51" s="580"/>
      <c r="H51" s="90">
        <f t="shared" si="2"/>
        <v>1503.2565644642898</v>
      </c>
      <c r="I51" s="90">
        <f t="shared" si="3"/>
        <v>1378.3287905431901</v>
      </c>
      <c r="J51" s="91">
        <f t="shared" si="4"/>
        <v>1.37832879054319</v>
      </c>
    </row>
    <row r="52" spans="1:13" hidden="1">
      <c r="A52" s="589"/>
      <c r="B52" s="366">
        <v>17</v>
      </c>
      <c r="C52" s="88">
        <v>13.48</v>
      </c>
      <c r="D52" s="86">
        <f t="shared" si="0"/>
        <v>74.685157056386245</v>
      </c>
      <c r="E52" s="86"/>
      <c r="F52" s="89">
        <f t="shared" si="1"/>
        <v>59.748125645108999</v>
      </c>
      <c r="G52" s="580"/>
      <c r="H52" s="90">
        <f t="shared" si="2"/>
        <v>1731.544330090926</v>
      </c>
      <c r="I52" s="90">
        <f t="shared" si="3"/>
        <v>1589.8807190041432</v>
      </c>
      <c r="J52" s="91">
        <f t="shared" si="4"/>
        <v>1.5898807190041433</v>
      </c>
    </row>
    <row r="53" spans="1:13" hidden="1">
      <c r="A53" s="589"/>
      <c r="B53" s="366">
        <v>18</v>
      </c>
      <c r="C53" s="88">
        <v>14.3</v>
      </c>
      <c r="D53" s="86">
        <f t="shared" si="0"/>
        <v>94.584262021068255</v>
      </c>
      <c r="E53" s="86"/>
      <c r="F53" s="89">
        <f t="shared" si="1"/>
        <v>75.667409616854613</v>
      </c>
      <c r="G53" s="580"/>
      <c r="H53" s="90">
        <f t="shared" si="2"/>
        <v>1948.6143889413786</v>
      </c>
      <c r="I53" s="90">
        <f t="shared" si="3"/>
        <v>1791.9135591166516</v>
      </c>
      <c r="J53" s="91">
        <f t="shared" si="4"/>
        <v>1.7919135591166517</v>
      </c>
    </row>
    <row r="54" spans="1:13" hidden="1">
      <c r="A54" s="589"/>
      <c r="B54" s="366">
        <v>20</v>
      </c>
      <c r="C54" s="88">
        <v>15.95</v>
      </c>
      <c r="D54" s="86">
        <f t="shared" si="0"/>
        <v>146.3920455921606</v>
      </c>
      <c r="E54" s="86"/>
      <c r="F54" s="89">
        <f t="shared" si="1"/>
        <v>117.11363647372849</v>
      </c>
      <c r="G54" s="580"/>
      <c r="H54" s="90">
        <f t="shared" si="2"/>
        <v>2424.2377235202657</v>
      </c>
      <c r="I54" s="90">
        <f t="shared" si="3"/>
        <v>2238.1055652592445</v>
      </c>
      <c r="J54" s="91">
        <f t="shared" si="4"/>
        <v>2.2381055652592443</v>
      </c>
    </row>
    <row r="55" spans="1:13" hidden="1">
      <c r="A55" s="589"/>
      <c r="B55" s="366">
        <v>22</v>
      </c>
      <c r="C55" s="88">
        <v>17.510000000000002</v>
      </c>
      <c r="D55" s="86">
        <f t="shared" si="0"/>
        <v>212.62744184541006</v>
      </c>
      <c r="E55" s="86"/>
      <c r="F55" s="89">
        <f t="shared" si="1"/>
        <v>170.10195347632805</v>
      </c>
      <c r="G55" s="580"/>
      <c r="H55" s="90">
        <f t="shared" si="2"/>
        <v>2921.6361020630143</v>
      </c>
      <c r="I55" s="90">
        <f t="shared" si="3"/>
        <v>2710.898558555079</v>
      </c>
      <c r="J55" s="91">
        <f t="shared" si="4"/>
        <v>2.7108985585550789</v>
      </c>
    </row>
    <row r="56" spans="1:13" ht="17.25" hidden="1" thickBot="1">
      <c r="A56" s="590"/>
      <c r="B56" s="370">
        <v>26</v>
      </c>
      <c r="C56" s="380">
        <v>20.72</v>
      </c>
      <c r="D56" s="390">
        <f t="shared" si="0"/>
        <v>416.90176533309432</v>
      </c>
      <c r="E56" s="390"/>
      <c r="F56" s="381">
        <f t="shared" si="1"/>
        <v>333.52141226647547</v>
      </c>
      <c r="G56" s="581"/>
      <c r="H56" s="382">
        <f t="shared" si="2"/>
        <v>4091.0362935952376</v>
      </c>
      <c r="I56" s="382">
        <f t="shared" si="3"/>
        <v>3854.6151681022025</v>
      </c>
      <c r="J56" s="383">
        <f t="shared" si="4"/>
        <v>3.8546151681022023</v>
      </c>
      <c r="M56" s="96"/>
    </row>
    <row r="57" spans="1:13" hidden="1">
      <c r="K57" s="96"/>
    </row>
    <row r="58" spans="1:13" ht="17.25" hidden="1" thickBot="1">
      <c r="K58" s="143"/>
    </row>
    <row r="59" spans="1:13" ht="17.25" thickBot="1">
      <c r="A59" s="412" t="s">
        <v>212</v>
      </c>
      <c r="B59" s="413"/>
      <c r="C59" s="413"/>
      <c r="D59" s="413"/>
      <c r="E59" s="413"/>
      <c r="F59" s="413"/>
      <c r="G59" s="413"/>
      <c r="H59" s="413"/>
      <c r="I59" s="413"/>
      <c r="J59" s="413"/>
      <c r="K59" s="414"/>
    </row>
  </sheetData>
  <mergeCells count="51">
    <mergeCell ref="A1:K2"/>
    <mergeCell ref="N37:N38"/>
    <mergeCell ref="O37:O38"/>
    <mergeCell ref="K13:K14"/>
    <mergeCell ref="A33:B33"/>
    <mergeCell ref="A34:B34"/>
    <mergeCell ref="B37:B38"/>
    <mergeCell ref="A24:D24"/>
    <mergeCell ref="F26:F29"/>
    <mergeCell ref="G26:G29"/>
    <mergeCell ref="H26:H29"/>
    <mergeCell ref="J6:K6"/>
    <mergeCell ref="C10:D10"/>
    <mergeCell ref="A8:A10"/>
    <mergeCell ref="K37:K38"/>
    <mergeCell ref="D37:D38"/>
    <mergeCell ref="A59:K59"/>
    <mergeCell ref="H6:H7"/>
    <mergeCell ref="F6:F7"/>
    <mergeCell ref="G6:G7"/>
    <mergeCell ref="M37:M38"/>
    <mergeCell ref="M30:T30"/>
    <mergeCell ref="M29:T29"/>
    <mergeCell ref="M27:T27"/>
    <mergeCell ref="M28:T28"/>
    <mergeCell ref="G39:G56"/>
    <mergeCell ref="P37:P38"/>
    <mergeCell ref="A15:A16"/>
    <mergeCell ref="B15:B16"/>
    <mergeCell ref="C15:C16"/>
    <mergeCell ref="D15:D16"/>
    <mergeCell ref="A39:A56"/>
    <mergeCell ref="H37:J37"/>
    <mergeCell ref="F15:F16"/>
    <mergeCell ref="J15:J16"/>
    <mergeCell ref="K15:K16"/>
    <mergeCell ref="I15:I16"/>
    <mergeCell ref="H15:H16"/>
    <mergeCell ref="F24:H24"/>
    <mergeCell ref="G15:G16"/>
    <mergeCell ref="B8:B10"/>
    <mergeCell ref="F8:F10"/>
    <mergeCell ref="G8:G10"/>
    <mergeCell ref="H8:H10"/>
    <mergeCell ref="J8:J10"/>
    <mergeCell ref="M21:T25"/>
    <mergeCell ref="D13:F13"/>
    <mergeCell ref="K8:K10"/>
    <mergeCell ref="I8:I10"/>
    <mergeCell ref="I6:I7"/>
    <mergeCell ref="C6:D7"/>
  </mergeCells>
  <phoneticPr fontId="3" type="noConversion"/>
  <dataValidations xWindow="274" yWindow="425" count="2">
    <dataValidation type="list" allowBlank="1" showInputMessage="1" showErrorMessage="1" sqref="E10" xr:uid="{1A56CC67-DDB6-4C61-8EA2-198CFD0C65DE}">
      <formula1>$C$9:$D$9</formula1>
    </dataValidation>
    <dataValidation type="list" allowBlank="1" showInputMessage="1" showErrorMessage="1" prompt="디폴트는 0.84로 계산 후_x000a_피토 계수 선택하기" sqref="C10:D10" xr:uid="{1CD3EE83-878D-4F86-BC32-EEC262C4DBD2}">
      <formula1>$E$8:$E$9</formula1>
    </dataValidation>
  </dataValidations>
  <pageMargins left="0.74803149606299213" right="0.74803149606299213" top="0.98425196850393704" bottom="0.98425196850393704" header="0.51181102362204722" footer="0.51181102362204722"/>
  <pageSetup paperSize="9" scale="69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xWindow="274" yWindow="425" count="1">
        <x14:dataValidation type="list" allowBlank="1" showInputMessage="1" showErrorMessage="1" prompt="공백 만든 후 _x000a_피토 선택" xr:uid="{677EBF17-93AA-41D2-A2EC-25A81DB129E2}">
          <x14:formula1>
            <xm:f>피토계산!$B$3:$B$9</xm:f>
          </x14:formula1>
          <xm:sqref>C8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1"/>
    <pageSetUpPr fitToPage="1"/>
  </sheetPr>
  <dimension ref="A1:Q34"/>
  <sheetViews>
    <sheetView zoomScale="85" zoomScaleNormal="85" zoomScaleSheetLayoutView="85" workbookViewId="0">
      <selection sqref="A1:K4"/>
    </sheetView>
  </sheetViews>
  <sheetFormatPr defaultColWidth="8.88671875" defaultRowHeight="16.5"/>
  <cols>
    <col min="1" max="1" width="7.5546875" style="97" customWidth="1"/>
    <col min="2" max="2" width="8.21875" style="97" customWidth="1"/>
    <col min="3" max="3" width="8.109375" style="97" customWidth="1"/>
    <col min="4" max="4" width="8.33203125" style="97" customWidth="1"/>
    <col min="5" max="6" width="7.88671875" style="97" customWidth="1"/>
    <col min="7" max="7" width="16.33203125" style="97" bestFit="1" customWidth="1"/>
    <col min="8" max="8" width="7.5546875" style="97" customWidth="1"/>
    <col min="9" max="9" width="8.6640625" style="97" customWidth="1"/>
    <col min="10" max="11" width="10.77734375" style="97" customWidth="1"/>
    <col min="12" max="12" width="11.6640625" style="97" bestFit="1" customWidth="1"/>
    <col min="13" max="13" width="16.88671875" style="97" bestFit="1" customWidth="1"/>
    <col min="14" max="14" width="6.6640625" style="97" bestFit="1" customWidth="1"/>
    <col min="15" max="15" width="10.33203125" style="97" bestFit="1" customWidth="1"/>
    <col min="16" max="16384" width="8.88671875" style="97"/>
  </cols>
  <sheetData>
    <row r="1" spans="1:17" ht="20.25" customHeight="1">
      <c r="A1" s="621" t="s">
        <v>312</v>
      </c>
      <c r="B1" s="622"/>
      <c r="C1" s="622"/>
      <c r="D1" s="622"/>
      <c r="E1" s="622"/>
      <c r="F1" s="622"/>
      <c r="G1" s="622"/>
      <c r="H1" s="622"/>
      <c r="I1" s="622"/>
      <c r="J1" s="622"/>
      <c r="K1" s="623"/>
    </row>
    <row r="2" spans="1:17" ht="27" customHeight="1">
      <c r="A2" s="624"/>
      <c r="B2" s="625"/>
      <c r="C2" s="625"/>
      <c r="D2" s="625"/>
      <c r="E2" s="625"/>
      <c r="F2" s="625"/>
      <c r="G2" s="625"/>
      <c r="H2" s="625"/>
      <c r="I2" s="625"/>
      <c r="J2" s="625"/>
      <c r="K2" s="626"/>
    </row>
    <row r="3" spans="1:17" ht="13.5" customHeight="1">
      <c r="A3" s="624"/>
      <c r="B3" s="625"/>
      <c r="C3" s="625"/>
      <c r="D3" s="625"/>
      <c r="E3" s="625"/>
      <c r="F3" s="625"/>
      <c r="G3" s="625"/>
      <c r="H3" s="625"/>
      <c r="I3" s="625"/>
      <c r="J3" s="625"/>
      <c r="K3" s="626"/>
    </row>
    <row r="4" spans="1:17" ht="14.45" customHeight="1" thickBot="1">
      <c r="A4" s="624"/>
      <c r="B4" s="625"/>
      <c r="C4" s="625"/>
      <c r="D4" s="625"/>
      <c r="E4" s="625"/>
      <c r="F4" s="625"/>
      <c r="G4" s="625"/>
      <c r="H4" s="625"/>
      <c r="I4" s="625"/>
      <c r="J4" s="625"/>
      <c r="K4" s="626"/>
    </row>
    <row r="5" spans="1:17" ht="24" customHeight="1">
      <c r="A5" s="676" t="s">
        <v>80</v>
      </c>
      <c r="B5" s="677"/>
      <c r="C5" s="682" t="str">
        <f>표지!D19</f>
        <v>서울특별시 탄천물재생센터</v>
      </c>
      <c r="D5" s="683"/>
      <c r="E5" s="668"/>
      <c r="F5" s="669"/>
      <c r="G5" s="669"/>
      <c r="H5" s="656" t="s">
        <v>87</v>
      </c>
      <c r="I5" s="657"/>
      <c r="J5" s="684">
        <f>노즐산정!C10</f>
        <v>0.80700000000000005</v>
      </c>
      <c r="K5" s="685"/>
    </row>
    <row r="6" spans="1:17" ht="24" customHeight="1">
      <c r="A6" s="678" t="s">
        <v>81</v>
      </c>
      <c r="B6" s="675"/>
      <c r="C6" s="658" t="str">
        <f>표지!D20</f>
        <v>#A1</v>
      </c>
      <c r="D6" s="659"/>
      <c r="E6" s="670"/>
      <c r="F6" s="671"/>
      <c r="G6" s="671"/>
      <c r="H6" s="660" t="s">
        <v>152</v>
      </c>
      <c r="I6" s="661"/>
      <c r="J6" s="631">
        <f>노즐산정!A8</f>
        <v>28.1</v>
      </c>
      <c r="K6" s="632"/>
    </row>
    <row r="7" spans="1:17" ht="24" customHeight="1">
      <c r="A7" s="678" t="s">
        <v>82</v>
      </c>
      <c r="B7" s="675"/>
      <c r="C7" s="659" t="s">
        <v>317</v>
      </c>
      <c r="D7" s="659"/>
      <c r="E7" s="670"/>
      <c r="F7" s="671"/>
      <c r="G7" s="671"/>
      <c r="H7" s="662" t="s">
        <v>153</v>
      </c>
      <c r="I7" s="663"/>
      <c r="J7" s="633">
        <f>노즐산정!B8</f>
        <v>765</v>
      </c>
      <c r="K7" s="634"/>
      <c r="O7" s="98"/>
    </row>
    <row r="8" spans="1:17" ht="24" customHeight="1">
      <c r="A8" s="678" t="s">
        <v>83</v>
      </c>
      <c r="B8" s="675"/>
      <c r="C8" s="666">
        <f>표지!D21</f>
        <v>46244</v>
      </c>
      <c r="D8" s="667"/>
      <c r="E8" s="670"/>
      <c r="F8" s="671"/>
      <c r="G8" s="671"/>
      <c r="H8" s="664" t="s">
        <v>154</v>
      </c>
      <c r="I8" s="665"/>
      <c r="J8" s="635">
        <f>노즐산정!B8</f>
        <v>765</v>
      </c>
      <c r="K8" s="636"/>
    </row>
    <row r="9" spans="1:17" ht="24" customHeight="1">
      <c r="A9" s="678" t="s">
        <v>84</v>
      </c>
      <c r="B9" s="675"/>
      <c r="C9" s="659" t="s">
        <v>333</v>
      </c>
      <c r="D9" s="659"/>
      <c r="E9" s="670"/>
      <c r="F9" s="671"/>
      <c r="G9" s="671"/>
      <c r="H9" s="629" t="s">
        <v>91</v>
      </c>
      <c r="I9" s="629"/>
      <c r="J9" s="639">
        <f>수분량!H43</f>
        <v>100</v>
      </c>
      <c r="K9" s="640"/>
      <c r="L9" s="99"/>
      <c r="O9" s="100"/>
      <c r="P9" s="101"/>
      <c r="Q9" s="102"/>
    </row>
    <row r="10" spans="1:17" ht="24" customHeight="1">
      <c r="A10" s="678" t="s">
        <v>85</v>
      </c>
      <c r="B10" s="675"/>
      <c r="C10" s="637">
        <f>F26</f>
        <v>29.150572459960337</v>
      </c>
      <c r="D10" s="667"/>
      <c r="E10" s="672"/>
      <c r="F10" s="673"/>
      <c r="G10" s="673"/>
      <c r="H10" s="654" t="s">
        <v>92</v>
      </c>
      <c r="I10" s="655"/>
      <c r="J10" s="641" t="e">
        <f>노즐산정!D9/100</f>
        <v>#VALUE!</v>
      </c>
      <c r="K10" s="642"/>
      <c r="L10" s="103"/>
      <c r="M10" s="104"/>
      <c r="N10" s="105"/>
      <c r="O10" s="105"/>
      <c r="P10" s="104"/>
      <c r="Q10" s="105"/>
    </row>
    <row r="11" spans="1:17" ht="24" customHeight="1">
      <c r="A11" s="674" t="s">
        <v>86</v>
      </c>
      <c r="B11" s="675"/>
      <c r="C11" s="687">
        <f>노즐산정!A15</f>
        <v>7.87</v>
      </c>
      <c r="D11" s="687"/>
      <c r="E11" s="688" t="s">
        <v>108</v>
      </c>
      <c r="F11" s="675"/>
      <c r="G11" s="106">
        <f>시료측정위치!A37</f>
        <v>1.1000000000000001</v>
      </c>
      <c r="H11" s="643" t="s">
        <v>93</v>
      </c>
      <c r="I11" s="644"/>
      <c r="J11" s="641">
        <f>IFERROR(INDEX(노즐산정!C39:C56,MATCH(노즐산정!$K$39,노즐산정!B39:B56,0)),"")/10</f>
        <v>1.018</v>
      </c>
      <c r="K11" s="642"/>
      <c r="L11" s="107"/>
      <c r="M11" s="107"/>
      <c r="N11" s="99"/>
      <c r="O11" s="99"/>
      <c r="P11" s="107"/>
      <c r="Q11" s="107"/>
    </row>
    <row r="12" spans="1:17" ht="24" customHeight="1">
      <c r="A12" s="674" t="s">
        <v>112</v>
      </c>
      <c r="B12" s="675"/>
      <c r="C12" s="641">
        <f>IFERROR(INDEX(노즐산정!D39:D56,MATCH(노즐산정!$K$39,노즐산정!B39:B56,0)),"")</f>
        <v>24.292143716633618</v>
      </c>
      <c r="D12" s="641"/>
      <c r="E12" s="688" t="s">
        <v>264</v>
      </c>
      <c r="F12" s="675"/>
      <c r="G12" s="108">
        <f>(PI()/4)*G11^2</f>
        <v>0.9503317777109126</v>
      </c>
      <c r="H12" s="643" t="s">
        <v>88</v>
      </c>
      <c r="I12" s="644"/>
      <c r="J12" s="637">
        <f>J14/13.6</f>
        <v>-5.8823529411764705E-2</v>
      </c>
      <c r="K12" s="638"/>
      <c r="P12" s="107"/>
      <c r="Q12" s="107"/>
    </row>
    <row r="13" spans="1:17" ht="24" customHeight="1">
      <c r="A13" s="674" t="s">
        <v>90</v>
      </c>
      <c r="B13" s="675"/>
      <c r="C13" s="686">
        <f>(((D26+273)*(0.00346*수분량!E37+(G26*(Pas+F26/13.6))/((H26+273))))/((Pas+Ps)*B26*계산식!G35*Dn^2*PI()/4))*16670</f>
        <v>-271.91302697154367</v>
      </c>
      <c r="D13" s="686"/>
      <c r="E13" s="109" t="s">
        <v>113</v>
      </c>
      <c r="F13" s="637">
        <f>노즐산정!B15</f>
        <v>7.6000000000000005</v>
      </c>
      <c r="G13" s="637"/>
      <c r="H13" s="650" t="s">
        <v>89</v>
      </c>
      <c r="I13" s="651"/>
      <c r="J13" s="641" t="s">
        <v>332</v>
      </c>
      <c r="K13" s="642"/>
      <c r="N13" s="110"/>
      <c r="O13" s="102"/>
      <c r="P13" s="102"/>
      <c r="Q13" s="101"/>
    </row>
    <row r="14" spans="1:17" ht="40.5">
      <c r="A14" s="111" t="s">
        <v>159</v>
      </c>
      <c r="B14" s="112">
        <v>12</v>
      </c>
      <c r="C14" s="113" t="s">
        <v>160</v>
      </c>
      <c r="D14" s="114"/>
      <c r="E14" s="115" t="s">
        <v>161</v>
      </c>
      <c r="F14" s="114"/>
      <c r="G14" s="116"/>
      <c r="H14" s="654" t="s">
        <v>259</v>
      </c>
      <c r="I14" s="655"/>
      <c r="J14" s="652">
        <f>P26</f>
        <v>-0.79999999999999993</v>
      </c>
      <c r="K14" s="653"/>
      <c r="M14" s="107"/>
      <c r="N14" s="107"/>
      <c r="P14" s="290" t="s">
        <v>313</v>
      </c>
    </row>
    <row r="15" spans="1:17" ht="30.6" customHeight="1">
      <c r="A15" s="630" t="s">
        <v>76</v>
      </c>
      <c r="B15" s="629" t="s">
        <v>149</v>
      </c>
      <c r="C15" s="629" t="s">
        <v>170</v>
      </c>
      <c r="D15" s="629" t="s">
        <v>148</v>
      </c>
      <c r="E15" s="629" t="s">
        <v>260</v>
      </c>
      <c r="F15" s="629" t="s">
        <v>261</v>
      </c>
      <c r="G15" s="629" t="s">
        <v>155</v>
      </c>
      <c r="H15" s="629" t="s">
        <v>79</v>
      </c>
      <c r="I15" s="629"/>
      <c r="J15" s="629" t="s">
        <v>150</v>
      </c>
      <c r="K15" s="649" t="s">
        <v>151</v>
      </c>
      <c r="L15" s="628" t="s">
        <v>158</v>
      </c>
      <c r="M15" s="629" t="s">
        <v>157</v>
      </c>
      <c r="N15" s="629" t="s">
        <v>262</v>
      </c>
      <c r="O15" s="627" t="s">
        <v>171</v>
      </c>
      <c r="P15" s="620" t="s">
        <v>314</v>
      </c>
    </row>
    <row r="16" spans="1:17" ht="24.75" customHeight="1">
      <c r="A16" s="630"/>
      <c r="B16" s="629"/>
      <c r="C16" s="629"/>
      <c r="D16" s="629"/>
      <c r="E16" s="629"/>
      <c r="F16" s="629"/>
      <c r="G16" s="629"/>
      <c r="H16" s="109" t="s">
        <v>8</v>
      </c>
      <c r="I16" s="109" t="s">
        <v>9</v>
      </c>
      <c r="J16" s="629"/>
      <c r="K16" s="649"/>
      <c r="L16" s="628"/>
      <c r="M16" s="629"/>
      <c r="N16" s="629"/>
      <c r="O16" s="627"/>
      <c r="P16" s="620"/>
    </row>
    <row r="17" spans="1:17" ht="24" customHeight="1">
      <c r="A17" s="201" t="s">
        <v>156</v>
      </c>
      <c r="B17" s="202">
        <v>0</v>
      </c>
      <c r="C17" s="202" t="s">
        <v>156</v>
      </c>
      <c r="D17" s="238">
        <v>21</v>
      </c>
      <c r="E17" s="239">
        <v>1.2</v>
      </c>
      <c r="F17" s="106">
        <f>$C$12*E17</f>
        <v>29.15057245996034</v>
      </c>
      <c r="G17" s="240">
        <v>8511.7000000000007</v>
      </c>
      <c r="H17" s="234">
        <v>29</v>
      </c>
      <c r="I17" s="234">
        <v>29</v>
      </c>
      <c r="K17" s="241">
        <v>15</v>
      </c>
      <c r="L17" s="117" t="s">
        <v>156</v>
      </c>
      <c r="M17" s="235" t="s">
        <v>156</v>
      </c>
      <c r="N17" s="235" t="s">
        <v>156</v>
      </c>
      <c r="O17" s="225" t="s">
        <v>172</v>
      </c>
      <c r="P17" s="291">
        <v>-0.8</v>
      </c>
    </row>
    <row r="18" spans="1:17" ht="24" customHeight="1">
      <c r="A18" s="244">
        <v>1</v>
      </c>
      <c r="B18" s="245">
        <v>5</v>
      </c>
      <c r="C18" s="245">
        <v>100</v>
      </c>
      <c r="D18" s="246">
        <v>21</v>
      </c>
      <c r="E18" s="245">
        <v>1.2</v>
      </c>
      <c r="F18" s="106">
        <f>$C$12*E18</f>
        <v>29.15057245996034</v>
      </c>
      <c r="G18" s="247"/>
      <c r="H18" s="248">
        <v>29</v>
      </c>
      <c r="I18" s="248">
        <v>29</v>
      </c>
      <c r="J18" s="118"/>
      <c r="K18" s="249">
        <v>15</v>
      </c>
      <c r="L18" s="236">
        <f>((273+AVERAGE($D$18:D18))*((0.00346*O18+((G18-$G$17)*노즐산정!$G$8/1000)/(273+AVERAGE($H$18:I18))*(Pa+AVERAGE($F$18:F18)/13.6)))/((Pa+Ps)*B18*M18*(PI()/4)*Dn^2))*16670</f>
        <v>-10082.756073674847</v>
      </c>
      <c r="M18" s="235">
        <f>노즐산정!$C$10*(2*9.81*AVERAGE($E$17:E18)/N18)^0.5</f>
        <v>3.5666351482495382</v>
      </c>
      <c r="N18" s="235">
        <f>노즐산정!$H$26*(273/(273+AVERAGE($D$17:D18))*((Pa+Ps)/760))</f>
        <v>1.205341052315523</v>
      </c>
      <c r="O18" s="237">
        <f>(((G18-$G$17)*노즐산정!$G$8*(273/(273+AVERAGE($H$18:I18)))*((Pa+AVERAGE($F$18:F18)/13.6)/760)*노즐산정!$C$15)/(100-노즐산정!$C$15)*(18/22.4))</f>
        <v>-367.80804890718485</v>
      </c>
      <c r="P18" s="292">
        <v>-0.8</v>
      </c>
    </row>
    <row r="19" spans="1:17" ht="24" customHeight="1">
      <c r="A19" s="244">
        <v>1</v>
      </c>
      <c r="B19" s="245">
        <v>10</v>
      </c>
      <c r="C19" s="245">
        <v>100</v>
      </c>
      <c r="D19" s="246">
        <v>21</v>
      </c>
      <c r="E19" s="245">
        <v>1.2</v>
      </c>
      <c r="F19" s="106">
        <f t="shared" ref="F19:F23" si="0">$C$12*E19</f>
        <v>29.15057245996034</v>
      </c>
      <c r="G19" s="247"/>
      <c r="H19" s="248">
        <v>29</v>
      </c>
      <c r="I19" s="248">
        <v>29</v>
      </c>
      <c r="J19" s="118"/>
      <c r="K19" s="249">
        <v>15</v>
      </c>
      <c r="L19" s="236">
        <f>((273+AVERAGE($D$18:D19))*((0.00346*O19+((G19-$G$17)*노즐산정!$G$8/1000)/(273+AVERAGE($H$18:I19))*(Pa+AVERAGE($F$18:F19)/13.6)))/((Pa+Ps)*B19*M19*(PI()/4)*Dn^2))*16670</f>
        <v>-5041.3780368374237</v>
      </c>
      <c r="M19" s="235">
        <f>노즐산정!$C$10*(2*9.81*AVERAGE($E$17:E19)/N19)^0.5</f>
        <v>3.5666351482495382</v>
      </c>
      <c r="N19" s="235">
        <f>노즐산정!$H$26*(273/(273+AVERAGE($D$17:D19))*((Pa+Ps)/760))</f>
        <v>1.205341052315523</v>
      </c>
      <c r="O19" s="237">
        <f>(((G19-$G$17)*노즐산정!$G$8*(273/(273+AVERAGE($H$18:I19)))*((Pa+AVERAGE($F$18:F19)/13.6)/760)*노즐산정!$C$15)/(100-노즐산정!$C$15)*(18/22.4))</f>
        <v>-367.80804890718485</v>
      </c>
      <c r="P19" s="292">
        <v>-0.8</v>
      </c>
      <c r="Q19" s="119"/>
    </row>
    <row r="20" spans="1:17" ht="24" customHeight="1">
      <c r="A20" s="244">
        <v>1</v>
      </c>
      <c r="B20" s="245">
        <v>20</v>
      </c>
      <c r="C20" s="245">
        <v>100</v>
      </c>
      <c r="D20" s="246">
        <v>44</v>
      </c>
      <c r="E20" s="245">
        <v>1.2</v>
      </c>
      <c r="F20" s="391">
        <f t="shared" si="0"/>
        <v>29.15057245996034</v>
      </c>
      <c r="G20" s="247"/>
      <c r="H20" s="248">
        <v>29</v>
      </c>
      <c r="I20" s="248">
        <v>29</v>
      </c>
      <c r="J20" s="118"/>
      <c r="K20" s="249">
        <v>15</v>
      </c>
      <c r="L20" s="236">
        <f>((273+AVERAGE($D$18:D20))*((0.00346*O20+((G20-$G$17)*노즐산정!$G$8/1000)/(273+AVERAGE($H$18:I20))*(Pa+AVERAGE($F$18:F20)/13.6)))/((Pa+Ps)*B20*M20*(PI()/4)*Dn^2))*16670</f>
        <v>-2561.4939399332716</v>
      </c>
      <c r="M20" s="235">
        <f>노즐산정!$C$10*(2*9.81*AVERAGE($E$17:E20)/N20)^0.5</f>
        <v>3.6013440719618606</v>
      </c>
      <c r="N20" s="235">
        <f>노즐산정!$H$26*(273/(273+AVERAGE($D$17:D20))*((Pa+Ps)/760))</f>
        <v>1.1822194141143076</v>
      </c>
      <c r="O20" s="237">
        <f>(((G20-$G$17)*노즐산정!$G$8*(273/(273+AVERAGE($H$18:I20)))*((Pa+AVERAGE($F$18:F20)/13.6)/760)*노즐산정!$C$15)/(100-노즐산정!$C$15)*(18/22.4))</f>
        <v>-367.80804890718485</v>
      </c>
      <c r="P20" s="292">
        <v>-0.8</v>
      </c>
      <c r="Q20" s="119"/>
    </row>
    <row r="21" spans="1:17" ht="24" customHeight="1">
      <c r="A21" s="244">
        <v>1</v>
      </c>
      <c r="B21" s="245">
        <v>30</v>
      </c>
      <c r="C21" s="245">
        <v>100</v>
      </c>
      <c r="D21" s="246">
        <v>44</v>
      </c>
      <c r="E21" s="245">
        <v>1.2</v>
      </c>
      <c r="F21" s="391">
        <f t="shared" si="0"/>
        <v>29.15057245996034</v>
      </c>
      <c r="G21" s="247"/>
      <c r="H21" s="248">
        <v>29</v>
      </c>
      <c r="I21" s="248">
        <v>29</v>
      </c>
      <c r="J21" s="118"/>
      <c r="K21" s="249">
        <v>15</v>
      </c>
      <c r="L21" s="236">
        <f>((273+AVERAGE($D$18:D21))*((0.00346*O21+((G21-$G$17)*노즐산정!$G$8/1000)/(273+AVERAGE($H$18:I21))*(Pa+AVERAGE($F$18:F21)/13.6)))/((Pa+Ps)*B21*M21*(PI()/4)*Dn^2))*16670</f>
        <v>-1719.4951737454185</v>
      </c>
      <c r="M21" s="235">
        <f>노즐산정!$C$10*(2*9.81*AVERAGE($E$17:E21)/N21)^0.5</f>
        <v>3.6220097778733735</v>
      </c>
      <c r="N21" s="235">
        <f>노즐산정!$H$26*(273/(273+AVERAGE($D$17:D21))*((Pa+Ps)/760))</f>
        <v>1.1687673792241549</v>
      </c>
      <c r="O21" s="237">
        <f>(((G21-$G$17)*노즐산정!$G$8*(273/(273+AVERAGE($H$18:I21)))*((Pa+AVERAGE($F$18:F21)/13.6)/760)*노즐산정!$C$15)/(100-노즐산정!$C$15)*(18/22.4))</f>
        <v>-367.80804890718485</v>
      </c>
      <c r="P21" s="292">
        <v>-0.8</v>
      </c>
    </row>
    <row r="22" spans="1:17" ht="24" customHeight="1">
      <c r="A22" s="392">
        <v>2</v>
      </c>
      <c r="B22" s="393">
        <v>35</v>
      </c>
      <c r="C22" s="393">
        <v>100</v>
      </c>
      <c r="D22" s="394">
        <v>44</v>
      </c>
      <c r="E22" s="393">
        <v>1.2</v>
      </c>
      <c r="F22" s="391">
        <f t="shared" si="0"/>
        <v>29.15057245996034</v>
      </c>
      <c r="G22" s="395"/>
      <c r="H22" s="396">
        <v>29</v>
      </c>
      <c r="I22" s="396">
        <v>29</v>
      </c>
      <c r="J22" s="118"/>
      <c r="K22" s="397">
        <v>15</v>
      </c>
      <c r="L22" s="236">
        <f>((273+AVERAGE($D$18:D22))*((0.00346*O22+((G22-$G$17)*노즐산정!$G$8/1000)/(273+AVERAGE($H$18:I22))*(Pa+AVERAGE($F$18:F22)/13.6)))/((Pa+Ps)*B22*M22*(PI()/4)*Dn^2))*16670</f>
        <v>-1479.3487315133855</v>
      </c>
      <c r="M22" s="235">
        <f>노즐산정!$C$10*(2*9.81*AVERAGE($E$17:E22)/N22)^0.5</f>
        <v>3.6357216571927853</v>
      </c>
      <c r="N22" s="235">
        <f>노즐산정!$H$26*(273/(273+AVERAGE($D$17:D22))*((Pa+Ps)/760))</f>
        <v>1.1599681485458715</v>
      </c>
      <c r="O22" s="237">
        <f>(((G22-$G$17)*노즐산정!$G$8*(273/(273+AVERAGE($H$18:I22)))*((Pa+AVERAGE($F$18:F22)/13.6)/760)*노즐산정!$C$15)/(100-노즐산정!$C$15)*(18/22.4))</f>
        <v>-367.80804890718485</v>
      </c>
      <c r="P22" s="398">
        <v>-0.8</v>
      </c>
    </row>
    <row r="23" spans="1:17" ht="24" customHeight="1">
      <c r="A23" s="392">
        <v>2</v>
      </c>
      <c r="B23" s="393">
        <v>40</v>
      </c>
      <c r="C23" s="393">
        <v>100</v>
      </c>
      <c r="D23" s="394">
        <v>44</v>
      </c>
      <c r="E23" s="393">
        <v>1.2</v>
      </c>
      <c r="F23" s="391">
        <f t="shared" si="0"/>
        <v>29.15057245996034</v>
      </c>
      <c r="G23" s="395"/>
      <c r="H23" s="396">
        <v>29</v>
      </c>
      <c r="I23" s="396">
        <v>29</v>
      </c>
      <c r="J23" s="118"/>
      <c r="K23" s="397">
        <v>15</v>
      </c>
      <c r="L23" s="236">
        <f>((273+AVERAGE($D$18:D23))*((0.00346*O23+((G23-$G$17)*노즐산정!$G$8/1000)/(273+AVERAGE($H$18:I23))*(Pa+AVERAGE($F$18:F23)/13.6)))/((Pa+Ps)*B23*M23*(PI()/4)*Dn^2))*16670</f>
        <v>-1297.3947017108942</v>
      </c>
      <c r="M23" s="235">
        <f>노즐산정!$C$10*(2*9.81*AVERAGE($E$17:E23)/N23)^0.5</f>
        <v>3.6454842803492853</v>
      </c>
      <c r="N23" s="235">
        <f>노즐산정!$H$26*(273/(273+AVERAGE($D$17:D23))*((Pa+Ps)/760))</f>
        <v>1.1537636677513237</v>
      </c>
      <c r="O23" s="237">
        <f>(((G23-$G$17)*노즐산정!$G$8*(273/(273+AVERAGE($H$18:I23)))*((Pa+AVERAGE($F$18:F23)/13.6)/760)*노즐산정!$C$15)/(100-노즐산정!$C$15)*(18/22.4))</f>
        <v>-367.80804890718485</v>
      </c>
      <c r="P23" s="398">
        <v>-0.8</v>
      </c>
    </row>
    <row r="24" spans="1:17" ht="24" customHeight="1">
      <c r="A24" s="392">
        <v>2</v>
      </c>
      <c r="B24" s="393">
        <v>50</v>
      </c>
      <c r="C24" s="393">
        <v>100</v>
      </c>
      <c r="D24" s="394">
        <v>21</v>
      </c>
      <c r="E24" s="393">
        <v>1.2</v>
      </c>
      <c r="F24" s="251">
        <f t="shared" ref="F24" si="1">$C$12*E24</f>
        <v>29.15057245996034</v>
      </c>
      <c r="G24" s="395"/>
      <c r="H24" s="396">
        <v>29</v>
      </c>
      <c r="I24" s="396">
        <v>29</v>
      </c>
      <c r="J24" s="118"/>
      <c r="K24" s="397">
        <v>16</v>
      </c>
      <c r="L24" s="236">
        <f>((273+AVERAGE($D$18:D24))*((0.00346*O24+((G24-$G$17)*노즐산정!$G$8/1000)/(273+AVERAGE($H$18:I24))*(Pa+AVERAGE($F$18:F24)/13.6)))/((Pa+Ps)*B24*M24*(PI()/4)*Dn^2))*16670</f>
        <v>-1033.3332595041518</v>
      </c>
      <c r="M24" s="235">
        <f>노즐산정!$C$10*(2*9.81*AVERAGE($E$17:E24)/N24)^0.5</f>
        <v>3.6357216571927853</v>
      </c>
      <c r="N24" s="235">
        <f>노즐산정!$H$26*(273/(273+AVERAGE($D$17:D24))*((Pa+Ps)/760))</f>
        <v>1.1599681485458715</v>
      </c>
      <c r="O24" s="237">
        <f>(((G24-$G$17)*노즐산정!$G$8*(273/(273+AVERAGE($H$18:I24)))*((Pa+AVERAGE($F$18:F24)/13.6)/760)*노즐산정!$C$15)/(100-노즐산정!$C$15)*(18/22.4))</f>
        <v>-367.80804890718485</v>
      </c>
      <c r="P24" s="398">
        <v>-0.8</v>
      </c>
    </row>
    <row r="25" spans="1:17" ht="24" customHeight="1">
      <c r="A25" s="392">
        <v>2</v>
      </c>
      <c r="B25" s="393">
        <v>60</v>
      </c>
      <c r="C25" s="393">
        <v>100</v>
      </c>
      <c r="D25" s="394">
        <v>21</v>
      </c>
      <c r="E25" s="393">
        <v>1.2</v>
      </c>
      <c r="F25" s="106">
        <f t="shared" ref="F25" si="2">$C$12*E25</f>
        <v>29.15057245996034</v>
      </c>
      <c r="G25" s="395"/>
      <c r="H25" s="396">
        <v>29</v>
      </c>
      <c r="I25" s="396">
        <v>29</v>
      </c>
      <c r="J25" s="118"/>
      <c r="K25" s="397">
        <v>16</v>
      </c>
      <c r="L25" s="236">
        <f>((273+AVERAGE($D$18:D25))*((0.00346*O25+((G25-$G$17)*노즐산정!$G$8/1000)/(273+AVERAGE($H$18:I25))*(Pa+AVERAGE($F$18:F25)/13.6)))/((Pa+Ps)*B25*M25*(PI()/4)*Dn^2))*16670</f>
        <v>-858.30194528284449</v>
      </c>
      <c r="M25" s="235">
        <f>노즐산정!$C$10*(2*9.81*AVERAGE($E$17:E25)/N25)^0.5</f>
        <v>3.6281103442329967</v>
      </c>
      <c r="N25" s="235">
        <f>노즐산정!$H$26*(273/(273+AVERAGE($D$17:D25))*((Pa+Ps)/760))</f>
        <v>1.164840184231875</v>
      </c>
      <c r="O25" s="237">
        <f>(((G25-$G$17)*노즐산정!$G$8*(273/(273+AVERAGE($H$18:I25)))*((Pa+AVERAGE($F$18:F25)/13.6)/760)*노즐산정!$C$15)/(100-노즐산정!$C$15)*(18/22.4))</f>
        <v>-367.80804890718485</v>
      </c>
      <c r="P25" s="398">
        <v>-0.8</v>
      </c>
    </row>
    <row r="26" spans="1:17" ht="24" customHeight="1">
      <c r="A26" s="120" t="s">
        <v>60</v>
      </c>
      <c r="B26" s="121">
        <f>MAX(B17:B25)</f>
        <v>60</v>
      </c>
      <c r="C26" s="121">
        <f>AVERAGE(C18:C25)</f>
        <v>100</v>
      </c>
      <c r="D26" s="121">
        <f>AVERAGE(D18:D25)</f>
        <v>32.5</v>
      </c>
      <c r="E26" s="122">
        <f>AVERAGE(E18:E25)</f>
        <v>1.2</v>
      </c>
      <c r="F26" s="123">
        <f>AVERAGE(F18:F25)</f>
        <v>29.150572459960337</v>
      </c>
      <c r="G26" s="124">
        <f>((MAX(G17:G25)-MIN(G17:G25))/1000)*노즐산정!G8</f>
        <v>0</v>
      </c>
      <c r="H26" s="647">
        <f>AVERAGE(H18:I25)</f>
        <v>29</v>
      </c>
      <c r="I26" s="648"/>
      <c r="J26" s="121" t="e">
        <f>AVERAGE(J17:J25)</f>
        <v>#DIV/0!</v>
      </c>
      <c r="K26" s="125">
        <f>AVERAGE(K18:K25)</f>
        <v>15.25</v>
      </c>
      <c r="P26" s="307">
        <f>AVERAGE(P18:P25)</f>
        <v>-0.79999999999999993</v>
      </c>
    </row>
    <row r="27" spans="1:17" ht="27.75" customHeight="1" thickBot="1">
      <c r="A27" s="126"/>
      <c r="B27" s="127" t="s">
        <v>36</v>
      </c>
      <c r="C27" s="127" t="s">
        <v>77</v>
      </c>
      <c r="D27" s="127" t="s">
        <v>35</v>
      </c>
      <c r="E27" s="128" t="s">
        <v>263</v>
      </c>
      <c r="F27" s="128" t="s">
        <v>263</v>
      </c>
      <c r="G27" s="128" t="s">
        <v>78</v>
      </c>
      <c r="H27" s="645" t="s">
        <v>35</v>
      </c>
      <c r="I27" s="646"/>
      <c r="J27" s="128" t="s">
        <v>35</v>
      </c>
      <c r="K27" s="129" t="s">
        <v>35</v>
      </c>
      <c r="P27" s="296">
        <f>P26/13.6</f>
        <v>-5.8823529411764705E-2</v>
      </c>
    </row>
    <row r="28" spans="1:17" ht="8.25" customHeight="1">
      <c r="A28" s="130"/>
      <c r="B28" s="131"/>
      <c r="C28" s="131"/>
      <c r="D28" s="131"/>
      <c r="E28" s="132"/>
      <c r="F28" s="132"/>
      <c r="G28" s="132"/>
      <c r="H28" s="132"/>
      <c r="I28" s="132"/>
      <c r="J28" s="132"/>
      <c r="K28" s="133"/>
    </row>
    <row r="29" spans="1:17">
      <c r="A29" s="134"/>
      <c r="G29" s="364" t="s">
        <v>176</v>
      </c>
      <c r="K29" s="135"/>
    </row>
    <row r="30" spans="1:17">
      <c r="A30" s="134"/>
      <c r="G30" s="365">
        <f>G26*(273/(273+H26))*((Pas+F26/13.6)/760)</f>
        <v>0</v>
      </c>
      <c r="K30" s="135"/>
    </row>
    <row r="31" spans="1:17">
      <c r="A31" s="134"/>
      <c r="K31" s="135"/>
    </row>
    <row r="32" spans="1:17">
      <c r="A32" s="134"/>
      <c r="K32" s="135"/>
    </row>
    <row r="33" spans="1:11" ht="17.25" thickBot="1">
      <c r="A33" s="134"/>
      <c r="K33" s="135"/>
    </row>
    <row r="34" spans="1:11" ht="17.25" thickBot="1">
      <c r="A34" s="679" t="s">
        <v>212</v>
      </c>
      <c r="B34" s="680"/>
      <c r="C34" s="680"/>
      <c r="D34" s="680"/>
      <c r="E34" s="680"/>
      <c r="F34" s="680"/>
      <c r="G34" s="680"/>
      <c r="H34" s="680"/>
      <c r="I34" s="680"/>
      <c r="J34" s="680"/>
      <c r="K34" s="681"/>
    </row>
  </sheetData>
  <mergeCells count="61">
    <mergeCell ref="A34:K34"/>
    <mergeCell ref="A10:B10"/>
    <mergeCell ref="H9:I9"/>
    <mergeCell ref="H10:I10"/>
    <mergeCell ref="C5:D5"/>
    <mergeCell ref="J5:K5"/>
    <mergeCell ref="F15:F16"/>
    <mergeCell ref="C13:D13"/>
    <mergeCell ref="C12:D12"/>
    <mergeCell ref="C11:D11"/>
    <mergeCell ref="C10:D10"/>
    <mergeCell ref="E11:F11"/>
    <mergeCell ref="E12:F12"/>
    <mergeCell ref="F13:G13"/>
    <mergeCell ref="C15:C16"/>
    <mergeCell ref="D15:D16"/>
    <mergeCell ref="E15:E16"/>
    <mergeCell ref="G15:G16"/>
    <mergeCell ref="E5:G10"/>
    <mergeCell ref="A11:B11"/>
    <mergeCell ref="A12:B12"/>
    <mergeCell ref="A13:B13"/>
    <mergeCell ref="C9:D9"/>
    <mergeCell ref="A5:B5"/>
    <mergeCell ref="A6:B6"/>
    <mergeCell ref="A7:B7"/>
    <mergeCell ref="A8:B8"/>
    <mergeCell ref="A9:B9"/>
    <mergeCell ref="H5:I5"/>
    <mergeCell ref="C6:D6"/>
    <mergeCell ref="H6:I6"/>
    <mergeCell ref="H7:I7"/>
    <mergeCell ref="H8:I8"/>
    <mergeCell ref="C7:D7"/>
    <mergeCell ref="C8:D8"/>
    <mergeCell ref="H12:I12"/>
    <mergeCell ref="H27:I27"/>
    <mergeCell ref="H26:I26"/>
    <mergeCell ref="J13:K13"/>
    <mergeCell ref="K15:K16"/>
    <mergeCell ref="H13:I13"/>
    <mergeCell ref="H15:I15"/>
    <mergeCell ref="J15:J16"/>
    <mergeCell ref="J14:K14"/>
    <mergeCell ref="H14:I14"/>
    <mergeCell ref="P15:P16"/>
    <mergeCell ref="A1:K4"/>
    <mergeCell ref="O15:O16"/>
    <mergeCell ref="L15:L16"/>
    <mergeCell ref="M15:M16"/>
    <mergeCell ref="N15:N16"/>
    <mergeCell ref="A15:A16"/>
    <mergeCell ref="B15:B16"/>
    <mergeCell ref="J6:K6"/>
    <mergeCell ref="J7:K7"/>
    <mergeCell ref="J8:K8"/>
    <mergeCell ref="J12:K12"/>
    <mergeCell ref="J9:K9"/>
    <mergeCell ref="J10:K10"/>
    <mergeCell ref="J11:K11"/>
    <mergeCell ref="H11:I11"/>
  </mergeCells>
  <phoneticPr fontId="3" type="noConversion"/>
  <pageMargins left="0.46" right="0.27" top="0.56000000000000005" bottom="0.59" header="0.5" footer="0.5"/>
  <pageSetup paperSize="9" scale="81" orientation="portrait" verticalDpi="300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A1:V119"/>
  <sheetViews>
    <sheetView view="pageBreakPreview" zoomScale="90" zoomScaleNormal="90" zoomScaleSheetLayoutView="90" workbookViewId="0">
      <selection sqref="A1:V3"/>
    </sheetView>
  </sheetViews>
  <sheetFormatPr defaultColWidth="8.88671875" defaultRowHeight="16.5"/>
  <cols>
    <col min="1" max="1" width="5.6640625" style="7" customWidth="1"/>
    <col min="2" max="2" width="14.109375" style="7" bestFit="1" customWidth="1"/>
    <col min="3" max="3" width="3.44140625" style="7" customWidth="1"/>
    <col min="4" max="4" width="8.88671875" style="7" customWidth="1"/>
    <col min="5" max="5" width="10.5546875" style="7" bestFit="1" customWidth="1"/>
    <col min="6" max="6" width="3" style="7" customWidth="1"/>
    <col min="7" max="7" width="10.6640625" style="7" customWidth="1"/>
    <col min="8" max="8" width="15.109375" style="7" bestFit="1" customWidth="1"/>
    <col min="9" max="9" width="15" style="7" bestFit="1" customWidth="1"/>
    <col min="10" max="10" width="7.33203125" style="7" customWidth="1"/>
    <col min="11" max="12" width="15.109375" style="7" bestFit="1" customWidth="1"/>
    <col min="13" max="13" width="7.77734375" style="7" bestFit="1" customWidth="1"/>
    <col min="14" max="14" width="5.109375" style="7" customWidth="1"/>
    <col min="15" max="15" width="5.6640625" style="7" customWidth="1"/>
    <col min="16" max="16" width="4.44140625" style="7" customWidth="1"/>
    <col min="17" max="17" width="5.109375" style="7" customWidth="1"/>
    <col min="18" max="18" width="9.6640625" style="7" customWidth="1"/>
    <col min="19" max="19" width="4.109375" style="7" customWidth="1"/>
    <col min="20" max="20" width="8.109375" style="7" bestFit="1" customWidth="1"/>
    <col min="21" max="22" width="5.109375" style="7" customWidth="1"/>
    <col min="23" max="23" width="7.88671875" style="7" customWidth="1"/>
    <col min="24" max="24" width="3" style="7" customWidth="1"/>
    <col min="25" max="25" width="6.6640625" style="7" customWidth="1"/>
    <col min="26" max="26" width="3" style="7" customWidth="1"/>
    <col min="27" max="27" width="6.6640625" style="7" customWidth="1"/>
    <col min="28" max="28" width="3" style="7" customWidth="1"/>
    <col min="29" max="29" width="6.6640625" style="7" customWidth="1"/>
    <col min="30" max="30" width="3" style="7" customWidth="1"/>
    <col min="31" max="31" width="6.6640625" style="7" customWidth="1"/>
    <col min="32" max="33" width="3" style="7" customWidth="1"/>
    <col min="34" max="34" width="10.33203125" style="7" customWidth="1"/>
    <col min="35" max="35" width="3" style="7" customWidth="1"/>
    <col min="36" max="16384" width="8.88671875" style="7"/>
  </cols>
  <sheetData>
    <row r="1" spans="1:22" ht="20.100000000000001" customHeight="1">
      <c r="A1" s="689" t="s">
        <v>224</v>
      </c>
      <c r="B1" s="690"/>
      <c r="C1" s="690"/>
      <c r="D1" s="690"/>
      <c r="E1" s="690"/>
      <c r="F1" s="690"/>
      <c r="G1" s="690"/>
      <c r="H1" s="690"/>
      <c r="I1" s="690"/>
      <c r="J1" s="690"/>
      <c r="K1" s="690"/>
      <c r="L1" s="690"/>
      <c r="M1" s="690"/>
      <c r="N1" s="690"/>
      <c r="O1" s="690"/>
      <c r="P1" s="690"/>
      <c r="Q1" s="690"/>
      <c r="R1" s="690"/>
      <c r="S1" s="690"/>
      <c r="T1" s="690"/>
      <c r="U1" s="690"/>
      <c r="V1" s="691"/>
    </row>
    <row r="2" spans="1:22" ht="19.5" customHeight="1">
      <c r="A2" s="692"/>
      <c r="B2" s="693"/>
      <c r="C2" s="693"/>
      <c r="D2" s="693"/>
      <c r="E2" s="693"/>
      <c r="F2" s="693"/>
      <c r="G2" s="693"/>
      <c r="H2" s="693"/>
      <c r="I2" s="693"/>
      <c r="J2" s="693"/>
      <c r="K2" s="693"/>
      <c r="L2" s="693"/>
      <c r="M2" s="693"/>
      <c r="N2" s="693"/>
      <c r="O2" s="693"/>
      <c r="P2" s="693"/>
      <c r="Q2" s="693"/>
      <c r="R2" s="693"/>
      <c r="S2" s="693"/>
      <c r="T2" s="693"/>
      <c r="U2" s="693"/>
      <c r="V2" s="694"/>
    </row>
    <row r="3" spans="1:22" ht="20.100000000000001" customHeight="1" thickBot="1">
      <c r="A3" s="695"/>
      <c r="B3" s="696"/>
      <c r="C3" s="696"/>
      <c r="D3" s="696"/>
      <c r="E3" s="696"/>
      <c r="F3" s="696"/>
      <c r="G3" s="696"/>
      <c r="H3" s="696"/>
      <c r="I3" s="696"/>
      <c r="J3" s="696"/>
      <c r="K3" s="696"/>
      <c r="L3" s="696"/>
      <c r="M3" s="696"/>
      <c r="N3" s="696"/>
      <c r="O3" s="696"/>
      <c r="P3" s="696"/>
      <c r="Q3" s="696"/>
      <c r="R3" s="696"/>
      <c r="S3" s="696"/>
      <c r="T3" s="696"/>
      <c r="U3" s="696"/>
      <c r="V3" s="697"/>
    </row>
    <row r="4" spans="1:22" ht="13.5" hidden="1" customHeight="1">
      <c r="A4" s="136" t="s">
        <v>100</v>
      </c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  <c r="R4" s="96"/>
      <c r="S4" s="96"/>
      <c r="T4" s="96"/>
      <c r="U4" s="96"/>
      <c r="V4" s="137"/>
    </row>
    <row r="5" spans="1:22" hidden="1">
      <c r="A5" s="138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137"/>
    </row>
    <row r="6" spans="1:22" hidden="1">
      <c r="A6" s="138"/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137"/>
    </row>
    <row r="7" spans="1:22" hidden="1">
      <c r="A7" s="138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137"/>
    </row>
    <row r="8" spans="1:22" hidden="1">
      <c r="A8" s="138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137"/>
    </row>
    <row r="9" spans="1:22" ht="17.25" hidden="1" thickBot="1">
      <c r="A9" s="138"/>
      <c r="B9" s="96"/>
      <c r="C9" s="96"/>
      <c r="D9" s="96"/>
      <c r="E9" s="96"/>
      <c r="F9" s="96"/>
      <c r="G9" s="257">
        <v>22.4</v>
      </c>
      <c r="H9" s="711">
        <f>수분량!E37</f>
        <v>-2520.0299999999997</v>
      </c>
      <c r="I9" s="273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137"/>
    </row>
    <row r="10" spans="1:22" hidden="1">
      <c r="A10" s="710" t="s">
        <v>99</v>
      </c>
      <c r="B10" s="139"/>
      <c r="C10" s="139"/>
      <c r="D10" s="139"/>
      <c r="E10" s="139"/>
      <c r="F10" s="139"/>
      <c r="G10" s="257">
        <v>18</v>
      </c>
      <c r="H10" s="712"/>
      <c r="I10" s="140"/>
      <c r="J10" s="139"/>
      <c r="K10" s="139"/>
      <c r="L10" s="139"/>
      <c r="M10" s="700" t="s">
        <v>95</v>
      </c>
      <c r="N10" s="700">
        <v>100</v>
      </c>
      <c r="O10" s="713" t="s">
        <v>104</v>
      </c>
      <c r="P10" s="723">
        <f>(22.4/18*H9*100)/(B11*(273/(273+E12))*(G11+I11)/760+22.4/18*L11)</f>
        <v>100</v>
      </c>
      <c r="Q10" s="724"/>
      <c r="R10" s="96"/>
      <c r="S10" s="96"/>
      <c r="T10" s="96"/>
      <c r="U10" s="96"/>
      <c r="V10" s="137"/>
    </row>
    <row r="11" spans="1:22" ht="15.75" hidden="1" customHeight="1" thickBot="1">
      <c r="A11" s="710"/>
      <c r="B11" s="719">
        <f>(MAX('기록지(수분량자동측정기)'!G17:G25)-MIN('기록지(수분량자동측정기)'!G17:G25))*노즐산정!G8</f>
        <v>0</v>
      </c>
      <c r="C11" s="700" t="s">
        <v>95</v>
      </c>
      <c r="D11" s="727">
        <v>273</v>
      </c>
      <c r="E11" s="727"/>
      <c r="F11" s="700" t="s">
        <v>95</v>
      </c>
      <c r="G11" s="274">
        <f>Pas</f>
        <v>765</v>
      </c>
      <c r="H11" s="257" t="s">
        <v>62</v>
      </c>
      <c r="I11" s="261">
        <f>'기록지(수분량자동측정기)'!F26/13.6</f>
        <v>2.1434244455853189</v>
      </c>
      <c r="J11" s="700" t="s">
        <v>62</v>
      </c>
      <c r="K11" s="141">
        <v>22.4</v>
      </c>
      <c r="L11" s="711">
        <f>수분량!E37</f>
        <v>-2520.0299999999997</v>
      </c>
      <c r="M11" s="700"/>
      <c r="N11" s="700"/>
      <c r="O11" s="713"/>
      <c r="P11" s="725"/>
      <c r="Q11" s="726"/>
      <c r="R11" s="96"/>
      <c r="S11" s="96"/>
      <c r="T11" s="96"/>
      <c r="U11" s="96"/>
      <c r="V11" s="137"/>
    </row>
    <row r="12" spans="1:22" hidden="1">
      <c r="A12" s="138"/>
      <c r="B12" s="719"/>
      <c r="C12" s="700"/>
      <c r="D12" s="275" t="s">
        <v>63</v>
      </c>
      <c r="E12" s="276">
        <f>노즐산정!L16</f>
        <v>28</v>
      </c>
      <c r="F12" s="700"/>
      <c r="G12" s="714">
        <v>760</v>
      </c>
      <c r="H12" s="714"/>
      <c r="I12" s="714"/>
      <c r="J12" s="700"/>
      <c r="K12" s="260">
        <v>18</v>
      </c>
      <c r="L12" s="711"/>
      <c r="M12" s="96"/>
      <c r="N12" s="96"/>
      <c r="O12" s="96"/>
      <c r="P12" s="96"/>
      <c r="Q12" s="96"/>
      <c r="R12" s="96"/>
      <c r="S12" s="96"/>
      <c r="T12" s="96"/>
      <c r="U12" s="96"/>
      <c r="V12" s="137"/>
    </row>
    <row r="13" spans="1:22" hidden="1">
      <c r="A13" s="138"/>
      <c r="B13" s="277"/>
      <c r="C13" s="260"/>
      <c r="D13" s="275"/>
      <c r="E13" s="276"/>
      <c r="F13" s="260"/>
      <c r="G13" s="260"/>
      <c r="H13" s="260"/>
      <c r="I13" s="260"/>
      <c r="J13" s="260"/>
      <c r="K13" s="260"/>
      <c r="L13" s="278"/>
      <c r="M13" s="96"/>
      <c r="N13" s="96"/>
      <c r="O13" s="96"/>
      <c r="P13" s="96"/>
      <c r="Q13" s="96"/>
      <c r="R13" s="96"/>
      <c r="S13" s="96"/>
      <c r="T13" s="96"/>
      <c r="U13" s="96"/>
      <c r="V13" s="137"/>
    </row>
    <row r="14" spans="1:22" hidden="1">
      <c r="A14" s="138"/>
      <c r="B14" s="277"/>
      <c r="C14" s="260"/>
      <c r="D14" s="275"/>
      <c r="E14" s="276"/>
      <c r="F14" s="260"/>
      <c r="G14" s="260"/>
      <c r="H14" s="260"/>
      <c r="I14" s="260"/>
      <c r="J14" s="260"/>
      <c r="K14" s="260"/>
      <c r="L14" s="278"/>
      <c r="M14" s="96"/>
      <c r="N14" s="96"/>
      <c r="O14" s="96"/>
      <c r="P14" s="96"/>
      <c r="Q14" s="96"/>
      <c r="R14" s="96"/>
      <c r="S14" s="96"/>
      <c r="T14" s="96"/>
      <c r="U14" s="96"/>
      <c r="V14" s="137"/>
    </row>
    <row r="15" spans="1:22" hidden="1">
      <c r="A15" s="138"/>
      <c r="B15" s="277"/>
      <c r="C15" s="260"/>
      <c r="D15" s="275"/>
      <c r="E15" s="276"/>
      <c r="F15" s="260"/>
      <c r="G15" s="260"/>
      <c r="H15" s="260"/>
      <c r="I15" s="260"/>
      <c r="J15" s="260"/>
      <c r="K15" s="260"/>
      <c r="L15" s="278"/>
      <c r="M15" s="96"/>
      <c r="N15" s="96"/>
      <c r="O15" s="96"/>
      <c r="P15" s="96"/>
      <c r="Q15" s="96"/>
      <c r="R15" s="96"/>
      <c r="S15" s="96"/>
      <c r="T15" s="96"/>
      <c r="U15" s="96"/>
      <c r="V15" s="137"/>
    </row>
    <row r="16" spans="1:22" hidden="1">
      <c r="A16" s="138"/>
      <c r="B16" s="277"/>
      <c r="C16" s="260"/>
      <c r="D16" s="275"/>
      <c r="E16" s="276"/>
      <c r="F16" s="260"/>
      <c r="G16" s="260"/>
      <c r="H16" s="260"/>
      <c r="I16" s="260"/>
      <c r="J16" s="260"/>
      <c r="K16" s="260"/>
      <c r="L16" s="278"/>
      <c r="M16" s="96"/>
      <c r="N16" s="96"/>
      <c r="O16" s="96"/>
      <c r="P16" s="96"/>
      <c r="Q16" s="96"/>
      <c r="R16" s="96"/>
      <c r="S16" s="96"/>
      <c r="T16" s="96"/>
      <c r="U16" s="96"/>
      <c r="V16" s="137"/>
    </row>
    <row r="17" spans="1:22" hidden="1">
      <c r="A17" s="138"/>
      <c r="B17" s="277"/>
      <c r="C17" s="260"/>
      <c r="D17" s="275"/>
      <c r="E17" s="276"/>
      <c r="F17" s="260"/>
      <c r="G17" s="260"/>
      <c r="H17" s="260"/>
      <c r="I17" s="260"/>
      <c r="J17" s="260"/>
      <c r="K17" s="260"/>
      <c r="L17" s="278"/>
      <c r="M17" s="96"/>
      <c r="N17" s="96"/>
      <c r="O17" s="96"/>
      <c r="P17" s="96"/>
      <c r="Q17" s="96"/>
      <c r="R17" s="96"/>
      <c r="S17" s="96"/>
      <c r="T17" s="96"/>
      <c r="U17" s="96"/>
      <c r="V17" s="137"/>
    </row>
    <row r="18" spans="1:22" ht="17.25" hidden="1" thickBot="1">
      <c r="A18" s="142"/>
      <c r="B18" s="143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4"/>
    </row>
    <row r="19" spans="1:22">
      <c r="A19" s="145" t="s">
        <v>103</v>
      </c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96"/>
      <c r="R19" s="146"/>
      <c r="S19" s="96"/>
      <c r="T19" s="146"/>
      <c r="U19" s="96"/>
      <c r="V19" s="137"/>
    </row>
    <row r="20" spans="1:22">
      <c r="A20" s="147"/>
      <c r="B20" s="96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137"/>
    </row>
    <row r="21" spans="1:22">
      <c r="A21" s="138"/>
      <c r="B21" s="96"/>
      <c r="C21" s="96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137"/>
    </row>
    <row r="22" spans="1:22">
      <c r="A22" s="138"/>
      <c r="B22" s="96"/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137"/>
    </row>
    <row r="23" spans="1:22" ht="17.25" thickBot="1">
      <c r="A23" s="138"/>
      <c r="B23" s="96"/>
      <c r="C23" s="96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137"/>
    </row>
    <row r="24" spans="1:22">
      <c r="A24" s="710" t="s">
        <v>98</v>
      </c>
      <c r="B24" s="728">
        <f>노즐산정!H26</f>
        <v>1.2896747127678569</v>
      </c>
      <c r="C24" s="700" t="s">
        <v>95</v>
      </c>
      <c r="D24" s="727">
        <v>273</v>
      </c>
      <c r="E24" s="727"/>
      <c r="F24" s="700" t="s">
        <v>95</v>
      </c>
      <c r="G24" s="148">
        <f>노즐산정!B8</f>
        <v>765</v>
      </c>
      <c r="H24" s="257" t="s">
        <v>65</v>
      </c>
      <c r="I24" s="149">
        <f>노즐산정!L15</f>
        <v>-0.35294117647058826</v>
      </c>
      <c r="J24" s="713" t="s">
        <v>104</v>
      </c>
      <c r="K24" s="721">
        <f>B24*273/(273+E25)*(G24+I24)/760</f>
        <v>0.80234204993821001</v>
      </c>
      <c r="L24" s="96"/>
      <c r="M24" s="96"/>
      <c r="N24" s="96"/>
      <c r="O24" s="96"/>
      <c r="P24" s="96"/>
      <c r="Q24" s="96"/>
      <c r="R24" s="96"/>
      <c r="S24" s="96"/>
      <c r="T24" s="96"/>
      <c r="U24" s="96"/>
      <c r="V24" s="137"/>
    </row>
    <row r="25" spans="1:22" ht="17.25" thickBot="1">
      <c r="A25" s="710"/>
      <c r="B25" s="728"/>
      <c r="C25" s="700"/>
      <c r="D25" s="275" t="s">
        <v>64</v>
      </c>
      <c r="E25" s="278">
        <f>노즐산정!G15</f>
        <v>168.5</v>
      </c>
      <c r="F25" s="700"/>
      <c r="G25" s="714">
        <v>760</v>
      </c>
      <c r="H25" s="714"/>
      <c r="I25" s="714"/>
      <c r="J25" s="713"/>
      <c r="K25" s="722"/>
      <c r="L25" s="96"/>
      <c r="M25" s="96"/>
      <c r="N25" s="96"/>
      <c r="O25" s="96"/>
      <c r="P25" s="96"/>
      <c r="Q25" s="96"/>
      <c r="R25" s="96"/>
      <c r="S25" s="96"/>
      <c r="T25" s="96"/>
      <c r="U25" s="96"/>
      <c r="V25" s="137"/>
    </row>
    <row r="26" spans="1:22">
      <c r="A26" s="254"/>
      <c r="B26" s="278"/>
      <c r="C26" s="260"/>
      <c r="D26" s="275"/>
      <c r="E26" s="278"/>
      <c r="F26" s="260"/>
      <c r="G26" s="260"/>
      <c r="H26" s="260"/>
      <c r="I26" s="260"/>
      <c r="J26" s="262"/>
      <c r="K26" s="279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137"/>
    </row>
    <row r="27" spans="1:22">
      <c r="A27" s="254"/>
      <c r="B27" s="278"/>
      <c r="C27" s="260"/>
      <c r="D27" s="275"/>
      <c r="E27" s="278"/>
      <c r="F27" s="260"/>
      <c r="G27" s="260"/>
      <c r="H27" s="260"/>
      <c r="I27" s="260"/>
      <c r="J27" s="262"/>
      <c r="K27" s="279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137"/>
    </row>
    <row r="28" spans="1:22">
      <c r="A28" s="254"/>
      <c r="B28" s="278"/>
      <c r="C28" s="260"/>
      <c r="D28" s="275"/>
      <c r="E28" s="278"/>
      <c r="F28" s="260"/>
      <c r="G28" s="260"/>
      <c r="H28" s="260"/>
      <c r="I28" s="260"/>
      <c r="J28" s="262"/>
      <c r="K28" s="279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137"/>
    </row>
    <row r="29" spans="1:22" ht="17.25" thickBot="1">
      <c r="A29" s="142"/>
      <c r="B29" s="143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4"/>
    </row>
    <row r="30" spans="1:22">
      <c r="A30" s="145" t="s">
        <v>101</v>
      </c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96"/>
      <c r="R30" s="96"/>
      <c r="S30" s="96"/>
      <c r="T30" s="96"/>
      <c r="U30" s="96"/>
      <c r="V30" s="137"/>
    </row>
    <row r="31" spans="1:22">
      <c r="A31" s="138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137"/>
    </row>
    <row r="32" spans="1:22">
      <c r="A32" s="138"/>
      <c r="B32" s="96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137"/>
    </row>
    <row r="33" spans="1:22">
      <c r="A33" s="138"/>
      <c r="B33" s="96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137"/>
    </row>
    <row r="34" spans="1:22" ht="17.25" thickBot="1">
      <c r="A34" s="138"/>
      <c r="B34" s="96"/>
      <c r="C34" s="96"/>
      <c r="D34" s="139"/>
      <c r="E34" s="139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137"/>
    </row>
    <row r="35" spans="1:22">
      <c r="A35" s="709" t="s">
        <v>265</v>
      </c>
      <c r="B35" s="729">
        <f>'기록지(수분량자동측정기)'!J5</f>
        <v>0.80700000000000005</v>
      </c>
      <c r="C35" s="730" t="s">
        <v>109</v>
      </c>
      <c r="D35" s="139" t="s">
        <v>96</v>
      </c>
      <c r="E35" s="148">
        <f>'기록지(수분량자동측정기)'!E26</f>
        <v>1.2</v>
      </c>
      <c r="F35" s="713" t="s">
        <v>104</v>
      </c>
      <c r="G35" s="715">
        <f>B35*(SQRT((2*9.81*E35)/D36))</f>
        <v>4.371534220424218</v>
      </c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96"/>
      <c r="U35" s="96"/>
      <c r="V35" s="137"/>
    </row>
    <row r="36" spans="1:22" ht="17.25" thickBot="1">
      <c r="A36" s="710"/>
      <c r="B36" s="729"/>
      <c r="C36" s="730"/>
      <c r="D36" s="720">
        <f>rr</f>
        <v>0.80234204993821001</v>
      </c>
      <c r="E36" s="720"/>
      <c r="F36" s="713"/>
      <c r="G36" s="71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137"/>
    </row>
    <row r="37" spans="1:22" ht="16.5" customHeight="1">
      <c r="A37" s="254"/>
      <c r="B37" s="280"/>
      <c r="C37" s="281"/>
      <c r="D37" s="261"/>
      <c r="E37" s="261"/>
      <c r="F37" s="262"/>
      <c r="G37" s="282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137"/>
    </row>
    <row r="38" spans="1:22" ht="16.5" customHeight="1">
      <c r="A38" s="254"/>
      <c r="B38" s="280"/>
      <c r="C38" s="281"/>
      <c r="D38" s="261"/>
      <c r="E38" s="261"/>
      <c r="F38" s="262"/>
      <c r="G38" s="282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137"/>
    </row>
    <row r="39" spans="1:22" ht="16.5" customHeight="1">
      <c r="A39" s="254"/>
      <c r="B39" s="280"/>
      <c r="C39" s="281"/>
      <c r="D39" s="261"/>
      <c r="E39" s="261"/>
      <c r="F39" s="262"/>
      <c r="G39" s="282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137"/>
    </row>
    <row r="40" spans="1:22" ht="17.25" thickBot="1">
      <c r="A40" s="150"/>
      <c r="B40" s="151"/>
      <c r="C40" s="152"/>
      <c r="D40" s="153"/>
      <c r="E40" s="15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4"/>
    </row>
    <row r="41" spans="1:22" hidden="1">
      <c r="A41" s="154" t="s">
        <v>102</v>
      </c>
      <c r="B41" s="155"/>
      <c r="C41" s="156"/>
      <c r="D41" s="157"/>
      <c r="E41" s="157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96"/>
      <c r="R41" s="96"/>
      <c r="S41" s="96"/>
      <c r="T41" s="96"/>
      <c r="U41" s="96"/>
      <c r="V41" s="137"/>
    </row>
    <row r="42" spans="1:22" hidden="1">
      <c r="A42" s="254"/>
      <c r="B42" s="283"/>
      <c r="C42" s="260"/>
      <c r="D42" s="284"/>
      <c r="E42" s="284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137"/>
    </row>
    <row r="43" spans="1:22" hidden="1">
      <c r="A43" s="138"/>
      <c r="B43" s="285" t="s">
        <v>141</v>
      </c>
      <c r="C43" s="260"/>
      <c r="D43" s="284"/>
      <c r="E43" s="284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137"/>
    </row>
    <row r="44" spans="1:22" hidden="1">
      <c r="A44" s="254"/>
      <c r="B44" s="283"/>
      <c r="C44" s="260"/>
      <c r="D44" s="284"/>
      <c r="E44" s="284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137"/>
    </row>
    <row r="45" spans="1:22" ht="17.25" hidden="1" thickBot="1">
      <c r="A45" s="254"/>
      <c r="B45" s="283"/>
      <c r="C45" s="260"/>
      <c r="D45" s="284"/>
      <c r="E45" s="284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137"/>
    </row>
    <row r="46" spans="1:22" hidden="1">
      <c r="A46" s="710" t="s">
        <v>66</v>
      </c>
      <c r="B46" s="717"/>
      <c r="C46" s="717"/>
      <c r="D46" s="711">
        <f>수분량!E36</f>
        <v>-729.3</v>
      </c>
      <c r="E46" s="711"/>
      <c r="F46" s="700" t="s">
        <v>62</v>
      </c>
      <c r="G46" s="718">
        <f>SUM(수분량!E33:F35)</f>
        <v>-1790.73</v>
      </c>
      <c r="H46" s="713" t="s">
        <v>104</v>
      </c>
      <c r="I46" s="707">
        <f>D46+G46</f>
        <v>-2520.0299999999997</v>
      </c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137"/>
    </row>
    <row r="47" spans="1:22" ht="17.25" hidden="1" thickBot="1">
      <c r="A47" s="710"/>
      <c r="B47" s="717"/>
      <c r="C47" s="717"/>
      <c r="D47" s="711"/>
      <c r="E47" s="711"/>
      <c r="F47" s="700"/>
      <c r="G47" s="718"/>
      <c r="H47" s="713"/>
      <c r="I47" s="708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137"/>
    </row>
    <row r="48" spans="1:22" ht="17.25" hidden="1" thickBot="1">
      <c r="A48" s="142"/>
      <c r="B48" s="143"/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4"/>
    </row>
    <row r="49" spans="1:22" hidden="1">
      <c r="A49" s="145" t="s">
        <v>105</v>
      </c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58"/>
    </row>
    <row r="50" spans="1:22" hidden="1">
      <c r="A50" s="138"/>
      <c r="B50" s="96"/>
      <c r="C50" s="96"/>
      <c r="D50" s="96"/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  <c r="U50" s="96"/>
      <c r="V50" s="137"/>
    </row>
    <row r="51" spans="1:22" hidden="1">
      <c r="A51" s="138"/>
      <c r="B51" s="96"/>
      <c r="C51" s="96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  <c r="U51" s="96"/>
      <c r="V51" s="137"/>
    </row>
    <row r="52" spans="1:22" hidden="1">
      <c r="A52" s="138"/>
      <c r="B52" s="96"/>
      <c r="C52" s="96"/>
      <c r="D52" s="96"/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  <c r="U52" s="96"/>
      <c r="V52" s="137"/>
    </row>
    <row r="53" spans="1:22" hidden="1">
      <c r="A53" s="138"/>
      <c r="B53" s="96"/>
      <c r="C53" s="96"/>
      <c r="D53" s="96"/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  <c r="U53" s="96"/>
      <c r="V53" s="137"/>
    </row>
    <row r="54" spans="1:22" hidden="1">
      <c r="A54" s="138"/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137"/>
    </row>
    <row r="55" spans="1:22" hidden="1">
      <c r="A55" s="138"/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137"/>
    </row>
    <row r="56" spans="1:22" hidden="1">
      <c r="A56" s="138"/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137"/>
    </row>
    <row r="57" spans="1:22" ht="17.25" hidden="1" thickBot="1">
      <c r="A57" s="138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137"/>
    </row>
    <row r="58" spans="1:22" hidden="1">
      <c r="A58" s="136" t="s">
        <v>70</v>
      </c>
      <c r="B58" s="149">
        <f>273+'기록지(수분량자동측정기)'!D26</f>
        <v>305.5</v>
      </c>
      <c r="C58" s="727" t="s">
        <v>106</v>
      </c>
      <c r="D58" s="727"/>
      <c r="E58" s="255">
        <f>I46</f>
        <v>-2520.0299999999997</v>
      </c>
      <c r="F58" s="257" t="s">
        <v>65</v>
      </c>
      <c r="G58" s="159">
        <f>'기록지(수분량자동측정기)'!G26</f>
        <v>0</v>
      </c>
      <c r="H58" s="257" t="s">
        <v>67</v>
      </c>
      <c r="I58" s="149">
        <f>273+'기록지(수분량자동측정기)'!H26</f>
        <v>302</v>
      </c>
      <c r="J58" s="257" t="s">
        <v>68</v>
      </c>
      <c r="K58" s="148">
        <f>Pas</f>
        <v>765</v>
      </c>
      <c r="L58" s="257" t="s">
        <v>65</v>
      </c>
      <c r="M58" s="148">
        <f>'기록지(수분량자동측정기)'!F26</f>
        <v>29.150572459960337</v>
      </c>
      <c r="N58" s="257" t="s">
        <v>67</v>
      </c>
      <c r="O58" s="257">
        <v>13.6</v>
      </c>
      <c r="P58" s="257" t="s">
        <v>69</v>
      </c>
      <c r="Q58" s="700" t="s">
        <v>95</v>
      </c>
      <c r="R58" s="700" t="s">
        <v>266</v>
      </c>
      <c r="S58" s="706" t="s">
        <v>104</v>
      </c>
      <c r="T58" s="698">
        <f>(((B58)*(0.00346*E58+(G58*(K58+(M58/13.6)))/((I58)))/(E59*G59*I59*K59))*16670)</f>
        <v>-271.91302697154367</v>
      </c>
      <c r="U58" s="96"/>
      <c r="V58" s="137"/>
    </row>
    <row r="59" spans="1:22" ht="17.25" hidden="1" thickBot="1">
      <c r="A59" s="136"/>
      <c r="B59" s="260"/>
      <c r="C59" s="260"/>
      <c r="D59" s="260"/>
      <c r="E59" s="274">
        <f>Pa+Ps</f>
        <v>764.94117647058829</v>
      </c>
      <c r="F59" s="256" t="s">
        <v>95</v>
      </c>
      <c r="G59" s="274">
        <f>'기록지(수분량자동측정기)'!B26</f>
        <v>60</v>
      </c>
      <c r="H59" s="260" t="s">
        <v>95</v>
      </c>
      <c r="I59" s="278">
        <f>Ve</f>
        <v>4.371534220424218</v>
      </c>
      <c r="J59" s="256" t="s">
        <v>95</v>
      </c>
      <c r="K59" s="278">
        <f>IF(노즐산정!K39=4,노즐산정!C39/10,IF(노즐산정!K39=5,노즐산정!C40/10,IF(노즐산정!K39=6,노즐산정!C41/10,IF(노즐산정!K39=7,노즐산정!C42/10,IF(노즐산정!K39=8,노즐산정!C43/10,IF(노즐산정!K39=9,노즐산정!C44/10,IF(노즐산정!K39=10,노즐산정!C45/10,IF(노즐산정!K39=11,노즐산정!C46/10,IF(노즐산정!K39=12,노즐산정!C47/10,IF(노즐산정!K39=13,노즐산정!C48/10,IF(노즐산정!K39=14,노즐산정!C49/10,IF(노즐산정!K39=15,노즐산정!C50/10,IF(노즐산정!K39=16,노즐산정!C54/10,IF(노즐산정!K39=17,노즐산정!C55/10,IF(노즐산정!K39=18,노즐산정!C56/10,IF(노즐산정!K39=20,노즐산정!#REF!/10,노즐산정!#REF!/10))))))))))))))))^2*PI()/4</f>
        <v>0.81392696628469718</v>
      </c>
      <c r="L59" s="260"/>
      <c r="M59" s="260"/>
      <c r="N59" s="260"/>
      <c r="O59" s="260"/>
      <c r="P59" s="260"/>
      <c r="Q59" s="700"/>
      <c r="R59" s="700"/>
      <c r="S59" s="706"/>
      <c r="T59" s="699"/>
      <c r="U59" s="96"/>
      <c r="V59" s="137"/>
    </row>
    <row r="60" spans="1:22" hidden="1">
      <c r="A60" s="136"/>
      <c r="B60" s="260"/>
      <c r="C60" s="260"/>
      <c r="D60" s="260"/>
      <c r="E60" s="274"/>
      <c r="F60" s="260"/>
      <c r="G60" s="274"/>
      <c r="H60" s="260"/>
      <c r="I60" s="278"/>
      <c r="J60" s="260"/>
      <c r="K60" s="278"/>
      <c r="L60" s="260"/>
      <c r="M60" s="260"/>
      <c r="N60" s="260"/>
      <c r="O60" s="260"/>
      <c r="P60" s="260"/>
      <c r="Q60" s="260"/>
      <c r="R60" s="260"/>
      <c r="S60" s="262"/>
      <c r="T60" s="263"/>
      <c r="U60" s="96"/>
      <c r="V60" s="137"/>
    </row>
    <row r="61" spans="1:22" hidden="1">
      <c r="A61" s="138"/>
      <c r="B61" s="96"/>
      <c r="C61" s="96"/>
      <c r="D61" s="96"/>
      <c r="E61" s="96"/>
      <c r="F61" s="96"/>
      <c r="G61" s="260"/>
      <c r="H61" s="96"/>
      <c r="I61" s="260"/>
      <c r="J61" s="96"/>
      <c r="K61" s="96"/>
      <c r="L61" s="96"/>
      <c r="M61" s="96"/>
      <c r="N61" s="96"/>
      <c r="O61" s="96"/>
      <c r="P61" s="96"/>
      <c r="Q61" s="96"/>
      <c r="R61" s="96"/>
      <c r="S61" s="96"/>
      <c r="T61" s="96"/>
      <c r="U61" s="96"/>
      <c r="V61" s="137"/>
    </row>
    <row r="62" spans="1:22" hidden="1">
      <c r="A62" s="138"/>
      <c r="B62" s="96"/>
      <c r="C62" s="96"/>
      <c r="D62" s="96"/>
      <c r="E62" s="96"/>
      <c r="F62" s="96"/>
      <c r="G62" s="260"/>
      <c r="H62" s="96"/>
      <c r="I62" s="260"/>
      <c r="J62" s="96"/>
      <c r="K62" s="96"/>
      <c r="L62" s="96"/>
      <c r="M62" s="96"/>
      <c r="N62" s="96"/>
      <c r="O62" s="96"/>
      <c r="P62" s="96"/>
      <c r="Q62" s="96"/>
      <c r="R62" s="96"/>
      <c r="S62" s="96"/>
      <c r="T62" s="96"/>
      <c r="U62" s="96"/>
      <c r="V62" s="137"/>
    </row>
    <row r="63" spans="1:22" hidden="1">
      <c r="A63" s="138"/>
      <c r="B63" s="96"/>
      <c r="C63" s="96"/>
      <c r="D63" s="96"/>
      <c r="E63" s="96"/>
      <c r="F63" s="96"/>
      <c r="G63" s="260"/>
      <c r="H63" s="96"/>
      <c r="I63" s="260"/>
      <c r="J63" s="96"/>
      <c r="K63" s="96"/>
      <c r="L63" s="96"/>
      <c r="M63" s="96"/>
      <c r="N63" s="96"/>
      <c r="O63" s="96"/>
      <c r="P63" s="96"/>
      <c r="Q63" s="96"/>
      <c r="R63" s="96"/>
      <c r="S63" s="96"/>
      <c r="T63" s="96"/>
      <c r="U63" s="96"/>
      <c r="V63" s="137"/>
    </row>
    <row r="64" spans="1:22" hidden="1">
      <c r="A64" s="138"/>
      <c r="B64" s="96"/>
      <c r="C64" s="96"/>
      <c r="D64" s="96"/>
      <c r="E64" s="96"/>
      <c r="F64" s="96"/>
      <c r="G64" s="260"/>
      <c r="H64" s="96"/>
      <c r="I64" s="260"/>
      <c r="J64" s="96"/>
      <c r="K64" s="96"/>
      <c r="L64" s="96"/>
      <c r="M64" s="96"/>
      <c r="N64" s="96"/>
      <c r="O64" s="96"/>
      <c r="P64" s="96"/>
      <c r="Q64" s="96"/>
      <c r="R64" s="96"/>
      <c r="S64" s="96"/>
      <c r="T64" s="96"/>
      <c r="U64" s="96"/>
      <c r="V64" s="137"/>
    </row>
    <row r="65" spans="1:22" hidden="1">
      <c r="A65" s="138"/>
      <c r="B65" s="96"/>
      <c r="C65" s="96"/>
      <c r="D65" s="96"/>
      <c r="E65" s="96"/>
      <c r="F65" s="96"/>
      <c r="G65" s="260"/>
      <c r="H65" s="96"/>
      <c r="I65" s="260"/>
      <c r="J65" s="96"/>
      <c r="K65" s="96"/>
      <c r="L65" s="96"/>
      <c r="M65" s="96"/>
      <c r="N65" s="96"/>
      <c r="O65" s="96"/>
      <c r="P65" s="96"/>
      <c r="Q65" s="96"/>
      <c r="R65" s="96"/>
      <c r="S65" s="96"/>
      <c r="T65" s="96"/>
      <c r="U65" s="96"/>
      <c r="V65" s="137"/>
    </row>
    <row r="66" spans="1:22" hidden="1">
      <c r="A66" s="138"/>
      <c r="B66" s="96"/>
      <c r="C66" s="96"/>
      <c r="D66" s="96"/>
      <c r="E66" s="96"/>
      <c r="F66" s="96"/>
      <c r="G66" s="260"/>
      <c r="H66" s="96"/>
      <c r="I66" s="260"/>
      <c r="J66" s="96"/>
      <c r="K66" s="96"/>
      <c r="L66" s="96"/>
      <c r="M66" s="96"/>
      <c r="N66" s="96"/>
      <c r="O66" s="96"/>
      <c r="P66" s="96"/>
      <c r="Q66" s="96"/>
      <c r="R66" s="96"/>
      <c r="S66" s="96"/>
      <c r="T66" s="96"/>
      <c r="U66" s="96"/>
      <c r="V66" s="137"/>
    </row>
    <row r="67" spans="1:22" ht="17.25" hidden="1" thickBot="1">
      <c r="A67" s="142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4"/>
    </row>
    <row r="68" spans="1:22">
      <c r="A68" s="145" t="s">
        <v>267</v>
      </c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58"/>
    </row>
    <row r="69" spans="1:22">
      <c r="A69" s="138"/>
      <c r="B69" s="96"/>
      <c r="C69" s="96"/>
      <c r="D69" s="96"/>
      <c r="E69" s="96"/>
      <c r="F69" s="96"/>
      <c r="G69" s="96"/>
      <c r="H69" s="96"/>
      <c r="I69" s="96"/>
      <c r="J69" s="96"/>
      <c r="K69" s="96"/>
      <c r="L69" s="96"/>
      <c r="M69" s="96"/>
      <c r="N69" s="96"/>
      <c r="O69" s="96"/>
      <c r="P69" s="96"/>
      <c r="Q69" s="96"/>
      <c r="R69" s="96"/>
      <c r="S69" s="96"/>
      <c r="T69" s="96"/>
      <c r="U69" s="96"/>
      <c r="V69" s="137"/>
    </row>
    <row r="70" spans="1:22">
      <c r="A70" s="138"/>
      <c r="B70" s="96"/>
      <c r="C70" s="96"/>
      <c r="D70" s="96"/>
      <c r="E70" s="96"/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96"/>
      <c r="S70" s="96"/>
      <c r="T70" s="96"/>
      <c r="U70" s="96"/>
      <c r="V70" s="137"/>
    </row>
    <row r="71" spans="1:22">
      <c r="A71" s="138"/>
      <c r="B71" s="96"/>
      <c r="C71" s="96"/>
      <c r="D71" s="96"/>
      <c r="E71" s="96"/>
      <c r="F71" s="96"/>
      <c r="G71" s="96"/>
      <c r="H71" s="96"/>
      <c r="I71" s="96"/>
      <c r="J71" s="96"/>
      <c r="K71" s="96"/>
      <c r="L71" s="96"/>
      <c r="M71" s="96"/>
      <c r="N71" s="96"/>
      <c r="O71" s="96"/>
      <c r="P71" s="96"/>
      <c r="Q71" s="96"/>
      <c r="R71" s="96"/>
      <c r="S71" s="96"/>
      <c r="T71" s="96"/>
      <c r="U71" s="96"/>
      <c r="V71" s="137"/>
    </row>
    <row r="72" spans="1:22">
      <c r="A72" s="138"/>
      <c r="B72" s="96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137"/>
    </row>
    <row r="73" spans="1:22">
      <c r="A73" s="138"/>
      <c r="B73" s="96"/>
      <c r="C73" s="96"/>
      <c r="D73" s="96"/>
      <c r="E73" s="96"/>
      <c r="F73" s="96"/>
      <c r="G73" s="96"/>
      <c r="H73" s="96"/>
      <c r="I73" s="96"/>
      <c r="J73" s="96"/>
      <c r="K73" s="96"/>
      <c r="L73" s="96"/>
      <c r="M73" s="96"/>
      <c r="N73" s="96"/>
      <c r="O73" s="96"/>
      <c r="P73" s="96"/>
      <c r="Q73" s="96"/>
      <c r="R73" s="96"/>
      <c r="S73" s="96"/>
      <c r="T73" s="96"/>
      <c r="U73" s="96"/>
      <c r="V73" s="137"/>
    </row>
    <row r="74" spans="1:22" ht="17.25" thickBot="1">
      <c r="A74" s="138"/>
      <c r="B74" s="96"/>
      <c r="C74" s="96"/>
      <c r="D74" s="96"/>
      <c r="E74" s="96"/>
      <c r="F74" s="96"/>
      <c r="G74" s="96"/>
      <c r="H74" s="96"/>
      <c r="I74" s="96"/>
      <c r="J74" s="96"/>
      <c r="K74" s="96"/>
      <c r="L74" s="96"/>
      <c r="M74" s="96"/>
      <c r="N74" s="96"/>
      <c r="O74" s="96"/>
      <c r="P74" s="96"/>
      <c r="Q74" s="96"/>
      <c r="R74" s="96"/>
      <c r="S74" s="96"/>
      <c r="T74" s="96"/>
      <c r="U74" s="96"/>
      <c r="V74" s="137"/>
    </row>
    <row r="75" spans="1:22">
      <c r="A75" s="739" t="s">
        <v>94</v>
      </c>
      <c r="B75" s="719">
        <f>Ve</f>
        <v>4.371534220424218</v>
      </c>
      <c r="C75" s="700" t="s">
        <v>95</v>
      </c>
      <c r="D75" s="711">
        <f>'기록지(수분량자동측정기)'!G12</f>
        <v>0.9503317777109126</v>
      </c>
      <c r="E75" s="700" t="s">
        <v>95</v>
      </c>
      <c r="F75" s="727">
        <v>273</v>
      </c>
      <c r="G75" s="727"/>
      <c r="H75" s="727"/>
      <c r="I75" s="700" t="s">
        <v>95</v>
      </c>
      <c r="J75" s="148">
        <f>수분량!E43</f>
        <v>765</v>
      </c>
      <c r="K75" s="257" t="s">
        <v>65</v>
      </c>
      <c r="L75" s="149">
        <f>노즐산정!L15</f>
        <v>-0.35294117647058826</v>
      </c>
      <c r="M75" s="700" t="s">
        <v>95</v>
      </c>
      <c r="N75" s="700" t="s">
        <v>74</v>
      </c>
      <c r="O75" s="149">
        <f>수분량!B15</f>
        <v>5.5780000000000003</v>
      </c>
      <c r="P75" s="700" t="s">
        <v>75</v>
      </c>
      <c r="Q75" s="700" t="s">
        <v>95</v>
      </c>
      <c r="R75" s="701">
        <v>3600</v>
      </c>
      <c r="S75" s="713" t="s">
        <v>104</v>
      </c>
      <c r="T75" s="702">
        <f>ROUND(B75*D75*273/(273+H76)*(J75+L75)/760*(1-(O75/100))*3600,2)</f>
        <v>8785.4500000000007</v>
      </c>
      <c r="U75" s="703"/>
      <c r="V75" s="264"/>
    </row>
    <row r="76" spans="1:22" ht="17.25" thickBot="1">
      <c r="A76" s="739"/>
      <c r="B76" s="719"/>
      <c r="C76" s="700"/>
      <c r="D76" s="711"/>
      <c r="E76" s="700"/>
      <c r="F76" s="700" t="s">
        <v>64</v>
      </c>
      <c r="G76" s="700"/>
      <c r="H76" s="277">
        <f>노즐산정!G15</f>
        <v>168.5</v>
      </c>
      <c r="I76" s="700"/>
      <c r="J76" s="714">
        <v>760</v>
      </c>
      <c r="K76" s="714"/>
      <c r="L76" s="714"/>
      <c r="M76" s="700"/>
      <c r="N76" s="700"/>
      <c r="O76" s="260">
        <v>100</v>
      </c>
      <c r="P76" s="700"/>
      <c r="Q76" s="700"/>
      <c r="R76" s="700"/>
      <c r="S76" s="713"/>
      <c r="T76" s="704"/>
      <c r="U76" s="705"/>
      <c r="V76" s="264"/>
    </row>
    <row r="77" spans="1:22">
      <c r="A77" s="259"/>
      <c r="B77" s="277"/>
      <c r="C77" s="260"/>
      <c r="D77" s="278"/>
      <c r="E77" s="260"/>
      <c r="F77" s="260"/>
      <c r="G77" s="260"/>
      <c r="H77" s="277"/>
      <c r="I77" s="260"/>
      <c r="J77" s="260"/>
      <c r="K77" s="260"/>
      <c r="L77" s="260"/>
      <c r="M77" s="260"/>
      <c r="N77" s="260"/>
      <c r="O77" s="260"/>
      <c r="P77" s="260"/>
      <c r="Q77" s="260"/>
      <c r="R77" s="260"/>
      <c r="S77" s="262"/>
      <c r="T77" s="286"/>
      <c r="U77" s="286"/>
      <c r="V77" s="264"/>
    </row>
    <row r="78" spans="1:22">
      <c r="A78" s="259"/>
      <c r="B78" s="277"/>
      <c r="C78" s="260"/>
      <c r="D78" s="278"/>
      <c r="E78" s="260"/>
      <c r="F78" s="260"/>
      <c r="G78" s="260"/>
      <c r="H78" s="277"/>
      <c r="I78" s="260"/>
      <c r="J78" s="260"/>
      <c r="K78" s="260"/>
      <c r="L78" s="260"/>
      <c r="M78" s="260"/>
      <c r="N78" s="260"/>
      <c r="O78" s="260"/>
      <c r="P78" s="260"/>
      <c r="Q78" s="260"/>
      <c r="R78" s="260"/>
      <c r="S78" s="262"/>
      <c r="T78" s="286"/>
      <c r="U78" s="286"/>
      <c r="V78" s="264"/>
    </row>
    <row r="79" spans="1:22">
      <c r="A79" s="259"/>
      <c r="B79" s="277"/>
      <c r="C79" s="260"/>
      <c r="D79" s="278"/>
      <c r="E79" s="260"/>
      <c r="F79" s="260"/>
      <c r="G79" s="260"/>
      <c r="H79" s="277"/>
      <c r="I79" s="260"/>
      <c r="J79" s="260"/>
      <c r="K79" s="260"/>
      <c r="L79" s="260"/>
      <c r="M79" s="260"/>
      <c r="N79" s="260"/>
      <c r="O79" s="260"/>
      <c r="P79" s="260"/>
      <c r="Q79" s="260"/>
      <c r="R79" s="260"/>
      <c r="S79" s="262"/>
      <c r="T79" s="286"/>
      <c r="U79" s="286"/>
      <c r="V79" s="264"/>
    </row>
    <row r="80" spans="1:22">
      <c r="A80" s="259"/>
      <c r="B80" s="277"/>
      <c r="C80" s="260"/>
      <c r="D80" s="278"/>
      <c r="E80" s="260"/>
      <c r="F80" s="260"/>
      <c r="G80" s="260"/>
      <c r="H80" s="277"/>
      <c r="I80" s="260"/>
      <c r="J80" s="260"/>
      <c r="K80" s="260"/>
      <c r="L80" s="260"/>
      <c r="M80" s="260"/>
      <c r="N80" s="260"/>
      <c r="O80" s="260"/>
      <c r="P80" s="260"/>
      <c r="Q80" s="260"/>
      <c r="R80" s="260"/>
      <c r="S80" s="262"/>
      <c r="T80" s="286"/>
      <c r="U80" s="286"/>
      <c r="V80" s="264"/>
    </row>
    <row r="81" spans="1:22">
      <c r="A81" s="259"/>
      <c r="B81" s="277"/>
      <c r="C81" s="260"/>
      <c r="D81" s="278"/>
      <c r="E81" s="260"/>
      <c r="F81" s="260"/>
      <c r="G81" s="260"/>
      <c r="H81" s="277"/>
      <c r="I81" s="260"/>
      <c r="J81" s="260"/>
      <c r="K81" s="260"/>
      <c r="L81" s="260"/>
      <c r="M81" s="260"/>
      <c r="N81" s="260"/>
      <c r="O81" s="260"/>
      <c r="P81" s="260"/>
      <c r="Q81" s="260"/>
      <c r="R81" s="260"/>
      <c r="S81" s="262"/>
      <c r="T81" s="286"/>
      <c r="U81" s="286"/>
      <c r="V81" s="264"/>
    </row>
    <row r="82" spans="1:22" ht="17.25" thickBot="1">
      <c r="A82" s="160"/>
      <c r="B82" s="151"/>
      <c r="C82" s="152"/>
      <c r="D82" s="151"/>
      <c r="E82" s="152"/>
      <c r="F82" s="152"/>
      <c r="G82" s="151"/>
      <c r="H82" s="152"/>
      <c r="I82" s="152"/>
      <c r="J82" s="152"/>
      <c r="K82" s="152"/>
      <c r="L82" s="152"/>
      <c r="M82" s="152"/>
      <c r="N82" s="152"/>
      <c r="O82" s="152"/>
      <c r="P82" s="152"/>
      <c r="Q82" s="152"/>
      <c r="R82" s="161"/>
      <c r="S82" s="162"/>
      <c r="T82" s="143"/>
      <c r="U82" s="143"/>
      <c r="V82" s="144"/>
    </row>
    <row r="83" spans="1:22" ht="17.25" thickBot="1">
      <c r="A83" s="136" t="s">
        <v>209</v>
      </c>
      <c r="B83" s="96"/>
      <c r="C83" s="96"/>
      <c r="D83" s="96"/>
      <c r="E83" s="96"/>
      <c r="F83" s="96"/>
      <c r="G83" s="96"/>
      <c r="H83" s="96"/>
      <c r="I83" s="96"/>
      <c r="J83" s="96"/>
      <c r="K83" s="96"/>
      <c r="L83" s="96"/>
      <c r="M83" s="96"/>
      <c r="N83" s="96"/>
      <c r="O83" s="96"/>
      <c r="P83" s="96"/>
      <c r="Q83" s="96"/>
      <c r="R83" s="96"/>
      <c r="S83" s="96"/>
      <c r="T83" s="96"/>
      <c r="U83" s="96"/>
      <c r="V83" s="137"/>
    </row>
    <row r="84" spans="1:22">
      <c r="A84" s="138"/>
      <c r="B84" s="96"/>
      <c r="C84" s="96"/>
      <c r="D84" s="96"/>
      <c r="E84" s="96"/>
      <c r="F84" s="700" t="s">
        <v>73</v>
      </c>
      <c r="G84" s="735">
        <f>Qa</f>
        <v>8785.4500000000007</v>
      </c>
      <c r="H84" s="700" t="s">
        <v>97</v>
      </c>
      <c r="I84" s="139">
        <v>21</v>
      </c>
      <c r="J84" s="401" t="s">
        <v>71</v>
      </c>
      <c r="K84" s="166">
        <f>Os</f>
        <v>12</v>
      </c>
      <c r="L84" s="713" t="s">
        <v>104</v>
      </c>
      <c r="M84" s="746">
        <f>Qa/((21-K84)/(21-K85))</f>
        <v>12816.995388888889</v>
      </c>
      <c r="N84" s="747"/>
      <c r="O84" s="748"/>
      <c r="P84" s="96"/>
      <c r="Q84" s="96"/>
      <c r="R84" s="96"/>
      <c r="S84" s="96"/>
      <c r="T84" s="96"/>
      <c r="U84" s="96"/>
      <c r="V84" s="137"/>
    </row>
    <row r="85" spans="1:22" ht="17.25" thickBot="1">
      <c r="A85" s="138"/>
      <c r="B85" s="96"/>
      <c r="C85" s="96"/>
      <c r="D85" s="96"/>
      <c r="E85" s="96"/>
      <c r="F85" s="700"/>
      <c r="G85" s="735"/>
      <c r="H85" s="700"/>
      <c r="I85" s="96">
        <v>21</v>
      </c>
      <c r="J85" s="400" t="s">
        <v>71</v>
      </c>
      <c r="K85" s="402">
        <f>Oa</f>
        <v>7.87</v>
      </c>
      <c r="L85" s="713"/>
      <c r="M85" s="749"/>
      <c r="N85" s="750"/>
      <c r="O85" s="751"/>
      <c r="P85" s="96"/>
      <c r="Q85" s="96"/>
      <c r="R85" s="288"/>
      <c r="S85" s="96"/>
      <c r="T85" s="400"/>
      <c r="U85" s="403"/>
      <c r="V85" s="266"/>
    </row>
    <row r="86" spans="1:22">
      <c r="A86" s="138"/>
      <c r="B86" s="96"/>
      <c r="C86" s="96"/>
      <c r="D86" s="96"/>
      <c r="E86" s="96"/>
      <c r="F86" s="96"/>
      <c r="G86" s="96"/>
      <c r="H86" s="96"/>
      <c r="I86" s="96"/>
      <c r="J86" s="96"/>
      <c r="K86" s="96"/>
      <c r="L86" s="96"/>
      <c r="M86" s="96"/>
      <c r="N86" s="96"/>
      <c r="O86" s="96"/>
      <c r="P86" s="96"/>
      <c r="Q86" s="96"/>
      <c r="R86" s="289"/>
      <c r="S86" s="289"/>
      <c r="T86" s="289"/>
      <c r="U86" s="96"/>
      <c r="V86" s="137"/>
    </row>
    <row r="87" spans="1:22">
      <c r="A87" s="138"/>
      <c r="B87" s="96"/>
      <c r="C87" s="96"/>
      <c r="D87" s="96"/>
      <c r="E87" s="96"/>
      <c r="F87" s="96"/>
      <c r="G87" s="96"/>
      <c r="H87" s="96"/>
      <c r="I87" s="96"/>
      <c r="J87" s="96"/>
      <c r="K87" s="96"/>
      <c r="L87" s="96"/>
      <c r="M87" s="96"/>
      <c r="N87" s="96"/>
      <c r="O87" s="96"/>
      <c r="P87" s="96"/>
      <c r="Q87" s="96"/>
      <c r="R87" s="96"/>
      <c r="S87" s="96"/>
      <c r="T87" s="96"/>
      <c r="U87" s="96"/>
      <c r="V87" s="137"/>
    </row>
    <row r="88" spans="1:22">
      <c r="A88" s="138"/>
      <c r="B88" s="96"/>
      <c r="C88" s="96"/>
      <c r="D88" s="96"/>
      <c r="E88" s="96"/>
      <c r="F88" s="96"/>
      <c r="G88" s="96"/>
      <c r="H88" s="96"/>
      <c r="I88" s="96"/>
      <c r="J88" s="96"/>
      <c r="K88" s="96"/>
      <c r="L88" s="96"/>
      <c r="M88" s="96"/>
      <c r="N88" s="96"/>
      <c r="O88" s="96"/>
      <c r="P88" s="96"/>
      <c r="Q88" s="96"/>
      <c r="R88" s="289"/>
      <c r="S88" s="289"/>
      <c r="T88" s="289"/>
      <c r="U88" s="96"/>
      <c r="V88" s="137"/>
    </row>
    <row r="89" spans="1:22">
      <c r="A89" s="138"/>
      <c r="B89" s="96"/>
      <c r="C89" s="96"/>
      <c r="D89" s="96"/>
      <c r="E89" s="96"/>
      <c r="F89" s="96"/>
      <c r="G89" s="96"/>
      <c r="H89" s="96"/>
      <c r="I89" s="96"/>
      <c r="J89" s="96"/>
      <c r="K89" s="96"/>
      <c r="L89" s="96"/>
      <c r="M89" s="96"/>
      <c r="N89" s="96"/>
      <c r="O89" s="96"/>
      <c r="P89" s="96"/>
      <c r="Q89" s="96"/>
      <c r="R89" s="289"/>
      <c r="S89" s="289"/>
      <c r="T89" s="289"/>
      <c r="U89" s="96"/>
      <c r="V89" s="137"/>
    </row>
    <row r="90" spans="1:22">
      <c r="A90" s="138"/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289"/>
      <c r="S90" s="289"/>
      <c r="T90" s="289"/>
      <c r="U90" s="96"/>
      <c r="V90" s="137"/>
    </row>
    <row r="91" spans="1:22" ht="17.25" thickBot="1">
      <c r="A91" s="736" t="s">
        <v>213</v>
      </c>
      <c r="B91" s="737"/>
      <c r="C91" s="737"/>
      <c r="D91" s="737"/>
      <c r="E91" s="737"/>
      <c r="F91" s="737"/>
      <c r="G91" s="737"/>
      <c r="H91" s="737"/>
      <c r="I91" s="737"/>
      <c r="J91" s="737"/>
      <c r="K91" s="737"/>
      <c r="L91" s="737"/>
      <c r="M91" s="737"/>
      <c r="N91" s="737"/>
      <c r="O91" s="737"/>
      <c r="P91" s="737"/>
      <c r="Q91" s="737"/>
      <c r="R91" s="737"/>
      <c r="S91" s="737"/>
      <c r="T91" s="737"/>
      <c r="U91" s="737"/>
      <c r="V91" s="738"/>
    </row>
    <row r="92" spans="1:22" ht="17.25" thickBot="1">
      <c r="A92" s="136" t="s">
        <v>209</v>
      </c>
      <c r="B92" s="96"/>
      <c r="C92" s="96"/>
      <c r="D92" s="96"/>
      <c r="E92" s="96"/>
      <c r="F92" s="96"/>
      <c r="G92" s="96"/>
      <c r="H92" s="96"/>
      <c r="I92" s="96"/>
      <c r="J92" s="96"/>
      <c r="K92" s="96"/>
      <c r="L92" s="96"/>
      <c r="M92" s="96"/>
      <c r="N92" s="96"/>
      <c r="O92" s="96"/>
      <c r="P92" s="96"/>
      <c r="Q92" s="96"/>
      <c r="R92" s="96"/>
      <c r="S92" s="96"/>
      <c r="T92" s="96"/>
      <c r="U92" s="96"/>
      <c r="V92" s="137"/>
    </row>
    <row r="93" spans="1:22">
      <c r="A93" s="138"/>
      <c r="B93" s="96"/>
      <c r="C93" s="96"/>
      <c r="D93" s="96"/>
      <c r="E93" s="96"/>
      <c r="F93" s="700" t="s">
        <v>73</v>
      </c>
      <c r="G93" s="735">
        <f>Qa</f>
        <v>8785.4500000000007</v>
      </c>
      <c r="H93" s="700" t="s">
        <v>97</v>
      </c>
      <c r="I93" s="139">
        <v>21</v>
      </c>
      <c r="J93" s="257" t="s">
        <v>71</v>
      </c>
      <c r="K93" s="166">
        <f>Os</f>
        <v>12</v>
      </c>
      <c r="L93" s="713" t="s">
        <v>104</v>
      </c>
      <c r="M93" s="746">
        <f>Qa/((21-K93)/(21-K94))</f>
        <v>12816.995388888889</v>
      </c>
      <c r="N93" s="747"/>
      <c r="O93" s="748"/>
      <c r="P93" s="96"/>
      <c r="Q93" s="96"/>
      <c r="R93" s="96"/>
      <c r="S93" s="96"/>
      <c r="T93" s="96"/>
      <c r="U93" s="96"/>
      <c r="V93" s="137"/>
    </row>
    <row r="94" spans="1:22" ht="17.25" thickBot="1">
      <c r="A94" s="138"/>
      <c r="B94" s="96"/>
      <c r="C94" s="96"/>
      <c r="D94" s="96"/>
      <c r="E94" s="96"/>
      <c r="F94" s="700"/>
      <c r="G94" s="735"/>
      <c r="H94" s="700"/>
      <c r="I94" s="96">
        <v>21</v>
      </c>
      <c r="J94" s="260" t="s">
        <v>71</v>
      </c>
      <c r="K94" s="274">
        <f>Oa</f>
        <v>7.87</v>
      </c>
      <c r="L94" s="713"/>
      <c r="M94" s="749"/>
      <c r="N94" s="750"/>
      <c r="O94" s="751"/>
      <c r="P94" s="96"/>
      <c r="Q94" s="96"/>
      <c r="R94" s="288"/>
      <c r="S94" s="96"/>
      <c r="T94" s="260"/>
      <c r="U94" s="280"/>
      <c r="V94" s="266"/>
    </row>
    <row r="95" spans="1:22">
      <c r="A95" s="138"/>
      <c r="B95" s="96"/>
      <c r="C95" s="96"/>
      <c r="D95" s="96"/>
      <c r="E95" s="96"/>
      <c r="F95" s="96"/>
      <c r="G95" s="96"/>
      <c r="H95" s="96"/>
      <c r="I95" s="96"/>
      <c r="J95" s="96"/>
      <c r="K95" s="96"/>
      <c r="L95" s="96"/>
      <c r="M95" s="96"/>
      <c r="N95" s="96"/>
      <c r="O95" s="96"/>
      <c r="P95" s="96"/>
      <c r="Q95" s="96"/>
      <c r="R95" s="289"/>
      <c r="S95" s="289"/>
      <c r="T95" s="289"/>
      <c r="U95" s="96"/>
      <c r="V95" s="137"/>
    </row>
    <row r="96" spans="1:22">
      <c r="A96" s="138"/>
      <c r="B96" s="96"/>
      <c r="C96" s="96"/>
      <c r="D96" s="96"/>
      <c r="E96" s="96"/>
      <c r="F96" s="96"/>
      <c r="G96" s="96"/>
      <c r="H96" s="96"/>
      <c r="I96" s="96"/>
      <c r="J96" s="96"/>
      <c r="K96" s="96"/>
      <c r="L96" s="96"/>
      <c r="M96" s="96"/>
      <c r="N96" s="96"/>
      <c r="O96" s="96"/>
      <c r="P96" s="96"/>
      <c r="Q96" s="96"/>
      <c r="R96" s="96"/>
      <c r="S96" s="96"/>
      <c r="T96" s="96"/>
      <c r="U96" s="96"/>
      <c r="V96" s="137"/>
    </row>
    <row r="97" spans="1:22">
      <c r="A97" s="138"/>
      <c r="B97" s="96"/>
      <c r="C97" s="96"/>
      <c r="D97" s="96"/>
      <c r="E97" s="96"/>
      <c r="F97" s="96"/>
      <c r="G97" s="96"/>
      <c r="H97" s="96"/>
      <c r="I97" s="96"/>
      <c r="J97" s="96"/>
      <c r="K97" s="96"/>
      <c r="L97" s="96"/>
      <c r="M97" s="96"/>
      <c r="N97" s="96"/>
      <c r="O97" s="96"/>
      <c r="P97" s="96"/>
      <c r="Q97" s="96"/>
      <c r="R97" s="289"/>
      <c r="S97" s="289"/>
      <c r="T97" s="289"/>
      <c r="U97" s="96"/>
      <c r="V97" s="137"/>
    </row>
    <row r="98" spans="1:22">
      <c r="A98" s="138"/>
      <c r="B98" s="96"/>
      <c r="C98" s="96"/>
      <c r="D98" s="96"/>
      <c r="E98" s="96"/>
      <c r="F98" s="96"/>
      <c r="G98" s="96"/>
      <c r="H98" s="96"/>
      <c r="I98" s="96"/>
      <c r="J98" s="96"/>
      <c r="K98" s="96"/>
      <c r="L98" s="96"/>
      <c r="M98" s="96"/>
      <c r="N98" s="96"/>
      <c r="O98" s="96"/>
      <c r="P98" s="96"/>
      <c r="Q98" s="96"/>
      <c r="R98" s="289"/>
      <c r="S98" s="289"/>
      <c r="T98" s="289"/>
      <c r="U98" s="96"/>
      <c r="V98" s="137"/>
    </row>
    <row r="99" spans="1:22" ht="17.25" thickBot="1">
      <c r="A99" s="138"/>
      <c r="B99" s="96"/>
      <c r="C99" s="96"/>
      <c r="D99" s="96"/>
      <c r="E99" s="96"/>
      <c r="F99" s="96"/>
      <c r="G99" s="96"/>
      <c r="H99" s="96"/>
      <c r="I99" s="96"/>
      <c r="J99" s="96"/>
      <c r="K99" s="96"/>
      <c r="L99" s="96"/>
      <c r="M99" s="96"/>
      <c r="N99" s="96"/>
      <c r="O99" s="96"/>
      <c r="P99" s="96"/>
      <c r="Q99" s="96"/>
      <c r="R99" s="289"/>
      <c r="S99" s="289"/>
      <c r="T99" s="289"/>
      <c r="U99" s="96"/>
      <c r="V99" s="137"/>
    </row>
    <row r="100" spans="1:22">
      <c r="A100" s="163"/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58"/>
    </row>
    <row r="101" spans="1:22">
      <c r="A101" s="136" t="s">
        <v>110</v>
      </c>
      <c r="B101" s="96"/>
      <c r="C101" s="96"/>
      <c r="D101" s="96"/>
      <c r="E101" s="96"/>
      <c r="F101" s="96"/>
      <c r="G101" s="96"/>
      <c r="H101" s="96"/>
      <c r="I101" s="96"/>
      <c r="J101" s="96"/>
      <c r="K101" s="96"/>
      <c r="L101" s="96"/>
      <c r="M101" s="96"/>
      <c r="N101" s="96"/>
      <c r="O101" s="96"/>
      <c r="P101" s="96"/>
      <c r="Q101" s="96"/>
      <c r="R101" s="96"/>
      <c r="S101" s="96"/>
      <c r="T101" s="96"/>
      <c r="U101" s="96"/>
      <c r="V101" s="137"/>
    </row>
    <row r="102" spans="1:22">
      <c r="A102" s="138"/>
      <c r="B102" s="96"/>
      <c r="C102" s="96"/>
      <c r="D102" s="96"/>
      <c r="E102" s="96"/>
      <c r="F102" s="96"/>
      <c r="G102" s="96"/>
      <c r="H102" s="96"/>
      <c r="I102" s="96"/>
      <c r="J102" s="96"/>
      <c r="K102" s="96"/>
      <c r="L102" s="96"/>
      <c r="M102" s="96"/>
      <c r="N102" s="96"/>
      <c r="O102" s="96"/>
      <c r="P102" s="96"/>
      <c r="Q102" s="96"/>
      <c r="R102" s="96"/>
      <c r="S102" s="96"/>
      <c r="T102" s="96"/>
      <c r="U102" s="96"/>
      <c r="V102" s="137"/>
    </row>
    <row r="103" spans="1:22">
      <c r="A103" s="138"/>
      <c r="B103" s="96"/>
      <c r="C103" s="96"/>
      <c r="D103" s="96"/>
      <c r="E103" s="96"/>
      <c r="F103" s="96"/>
      <c r="G103" s="96"/>
      <c r="H103" s="96"/>
      <c r="I103" s="96"/>
      <c r="J103" s="96"/>
      <c r="K103" s="96"/>
      <c r="L103" s="96"/>
      <c r="M103" s="96"/>
      <c r="N103" s="96"/>
      <c r="O103" s="96"/>
      <c r="P103" s="96"/>
      <c r="Q103" s="96"/>
      <c r="R103" s="96"/>
      <c r="S103" s="96"/>
      <c r="T103" s="96"/>
      <c r="U103" s="96"/>
      <c r="V103" s="137"/>
    </row>
    <row r="104" spans="1:22" ht="17.25" thickBot="1">
      <c r="A104" s="138"/>
      <c r="B104" s="96"/>
      <c r="C104" s="96"/>
      <c r="D104" s="96"/>
      <c r="E104" s="96"/>
      <c r="F104" s="96"/>
      <c r="G104" s="96"/>
      <c r="H104" s="96"/>
      <c r="I104" s="96"/>
      <c r="J104" s="96"/>
      <c r="K104" s="96"/>
      <c r="L104" s="96"/>
      <c r="M104" s="96"/>
      <c r="N104" s="96"/>
      <c r="O104" s="96"/>
      <c r="P104" s="96"/>
      <c r="Q104" s="96"/>
      <c r="R104" s="96"/>
      <c r="S104" s="96"/>
      <c r="T104" s="96"/>
      <c r="U104" s="96"/>
      <c r="V104" s="137"/>
    </row>
    <row r="105" spans="1:22" ht="15.75" customHeight="1">
      <c r="A105" s="710" t="s">
        <v>107</v>
      </c>
      <c r="B105" s="139"/>
      <c r="C105" s="164"/>
      <c r="D105" s="165" t="s">
        <v>68</v>
      </c>
      <c r="E105" s="166">
        <f>We</f>
        <v>0</v>
      </c>
      <c r="F105" s="167" t="s">
        <v>71</v>
      </c>
      <c r="G105" s="166">
        <f>Ws</f>
        <v>0</v>
      </c>
      <c r="H105" s="168" t="s">
        <v>75</v>
      </c>
      <c r="I105" s="164"/>
      <c r="J105" s="164"/>
      <c r="K105" s="164"/>
      <c r="L105" s="713" t="s">
        <v>104</v>
      </c>
      <c r="M105" s="713"/>
      <c r="N105" s="713"/>
      <c r="O105" s="706"/>
      <c r="P105" s="731" t="e">
        <f>(E105-G105)/(B106*273/(273+E107)*(G106+I106/13.6)/760)</f>
        <v>#DIV/0!</v>
      </c>
      <c r="Q105" s="732"/>
      <c r="R105" s="96"/>
      <c r="S105" s="96"/>
      <c r="T105" s="96"/>
      <c r="U105" s="96"/>
      <c r="V105" s="137"/>
    </row>
    <row r="106" spans="1:22" ht="17.25" thickBot="1">
      <c r="A106" s="710"/>
      <c r="B106" s="719">
        <f>'기록지(수분량자동측정기)'!G26</f>
        <v>0</v>
      </c>
      <c r="C106" s="700" t="s">
        <v>95</v>
      </c>
      <c r="D106" s="727">
        <v>273</v>
      </c>
      <c r="E106" s="727"/>
      <c r="F106" s="260"/>
      <c r="G106" s="274">
        <f>Pas</f>
        <v>765</v>
      </c>
      <c r="H106" s="257" t="s">
        <v>62</v>
      </c>
      <c r="I106" s="169">
        <f>'기록지(수분량자동측정기)'!F26</f>
        <v>29.150572459960337</v>
      </c>
      <c r="J106" s="141" t="s">
        <v>67</v>
      </c>
      <c r="K106" s="170">
        <v>13.6</v>
      </c>
      <c r="L106" s="713"/>
      <c r="M106" s="713"/>
      <c r="N106" s="713"/>
      <c r="O106" s="706"/>
      <c r="P106" s="733"/>
      <c r="Q106" s="734"/>
      <c r="R106" s="96"/>
      <c r="S106" s="96"/>
      <c r="T106" s="96"/>
      <c r="U106" s="96"/>
      <c r="V106" s="137"/>
    </row>
    <row r="107" spans="1:22">
      <c r="A107" s="710"/>
      <c r="B107" s="719"/>
      <c r="C107" s="700"/>
      <c r="D107" s="260" t="s">
        <v>63</v>
      </c>
      <c r="E107" s="274">
        <f>'기록지(수분량자동측정기)'!H26</f>
        <v>29</v>
      </c>
      <c r="F107" s="260"/>
      <c r="G107" s="714">
        <v>760</v>
      </c>
      <c r="H107" s="714"/>
      <c r="I107" s="714"/>
      <c r="J107" s="714"/>
      <c r="K107" s="714"/>
      <c r="L107" s="96"/>
      <c r="M107" s="96"/>
      <c r="N107" s="96"/>
      <c r="O107" s="96"/>
      <c r="P107" s="96"/>
      <c r="Q107" s="96"/>
      <c r="R107" s="96"/>
      <c r="S107" s="96"/>
      <c r="T107" s="96"/>
      <c r="U107" s="96"/>
      <c r="V107" s="137"/>
    </row>
    <row r="108" spans="1:22">
      <c r="A108" s="254"/>
      <c r="B108" s="277"/>
      <c r="C108" s="260"/>
      <c r="D108" s="260"/>
      <c r="E108" s="274"/>
      <c r="F108" s="260"/>
      <c r="G108" s="260"/>
      <c r="H108" s="260"/>
      <c r="I108" s="260"/>
      <c r="J108" s="260"/>
      <c r="K108" s="260"/>
      <c r="L108" s="96"/>
      <c r="M108" s="96"/>
      <c r="N108" s="96"/>
      <c r="O108" s="96"/>
      <c r="P108" s="96"/>
      <c r="Q108" s="96"/>
      <c r="R108" s="96"/>
      <c r="S108" s="96"/>
      <c r="T108" s="96"/>
      <c r="U108" s="96"/>
      <c r="V108" s="137"/>
    </row>
    <row r="109" spans="1:22">
      <c r="A109" s="254"/>
      <c r="B109" s="277"/>
      <c r="C109" s="260"/>
      <c r="D109" s="260"/>
      <c r="E109" s="274"/>
      <c r="F109" s="260"/>
      <c r="G109" s="260"/>
      <c r="H109" s="260"/>
      <c r="I109" s="260"/>
      <c r="J109" s="260"/>
      <c r="K109" s="260"/>
      <c r="L109" s="96"/>
      <c r="M109" s="96"/>
      <c r="N109" s="96"/>
      <c r="O109" s="96"/>
      <c r="P109" s="96"/>
      <c r="Q109" s="96"/>
      <c r="R109" s="96"/>
      <c r="S109" s="96"/>
      <c r="T109" s="96"/>
      <c r="U109" s="96"/>
      <c r="V109" s="137"/>
    </row>
    <row r="110" spans="1:22">
      <c r="A110" s="254"/>
      <c r="B110" s="277"/>
      <c r="C110" s="260"/>
      <c r="D110" s="260"/>
      <c r="E110" s="274"/>
      <c r="F110" s="260"/>
      <c r="G110" s="260"/>
      <c r="H110" s="260"/>
      <c r="I110" s="260"/>
      <c r="J110" s="260"/>
      <c r="K110" s="260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137"/>
    </row>
    <row r="111" spans="1:22" ht="17.25" thickBot="1">
      <c r="A111" s="254"/>
      <c r="B111" s="283"/>
      <c r="C111" s="260"/>
      <c r="D111" s="260"/>
      <c r="E111" s="283"/>
      <c r="F111" s="260"/>
      <c r="G111" s="260"/>
      <c r="H111" s="260"/>
      <c r="I111" s="260"/>
      <c r="J111" s="260"/>
      <c r="K111" s="260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137"/>
    </row>
    <row r="112" spans="1:22">
      <c r="A112" s="145" t="s">
        <v>210</v>
      </c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58"/>
    </row>
    <row r="113" spans="1:22">
      <c r="A113" s="138"/>
      <c r="B113" s="96"/>
      <c r="C113" s="96"/>
      <c r="D113" s="96"/>
      <c r="E113" s="96"/>
      <c r="F113" s="96"/>
      <c r="G113" s="96"/>
      <c r="H113" s="96"/>
      <c r="I113" s="96"/>
      <c r="J113" s="96"/>
      <c r="K113" s="96"/>
      <c r="L113" s="96"/>
      <c r="M113" s="96"/>
      <c r="N113" s="96"/>
      <c r="O113" s="96"/>
      <c r="P113" s="96"/>
      <c r="Q113" s="96"/>
      <c r="R113" s="96"/>
      <c r="S113" s="96"/>
      <c r="T113" s="96"/>
      <c r="U113" s="96"/>
      <c r="V113" s="137"/>
    </row>
    <row r="114" spans="1:22" ht="17.25" thickBot="1">
      <c r="A114" s="138"/>
      <c r="B114" s="96"/>
      <c r="C114" s="96"/>
      <c r="D114" s="96"/>
      <c r="E114" s="96"/>
      <c r="F114" s="96"/>
      <c r="G114" s="96"/>
      <c r="H114" s="96"/>
      <c r="I114" s="96"/>
      <c r="J114" s="96"/>
      <c r="K114" s="96"/>
      <c r="L114" s="96"/>
      <c r="M114" s="96"/>
      <c r="N114" s="96"/>
      <c r="O114" s="96"/>
      <c r="P114" s="96"/>
      <c r="Q114" s="96"/>
      <c r="R114" s="96"/>
      <c r="S114" s="96"/>
      <c r="T114" s="96"/>
      <c r="U114" s="96"/>
      <c r="V114" s="137"/>
    </row>
    <row r="115" spans="1:22">
      <c r="A115" s="138"/>
      <c r="B115" s="96"/>
      <c r="C115" s="96"/>
      <c r="D115" s="96"/>
      <c r="E115" s="96"/>
      <c r="F115" s="700" t="s">
        <v>72</v>
      </c>
      <c r="G115" s="735" t="e">
        <f>Ca</f>
        <v>#DIV/0!</v>
      </c>
      <c r="H115" s="700" t="s">
        <v>95</v>
      </c>
      <c r="I115" s="139">
        <v>21</v>
      </c>
      <c r="J115" s="257" t="s">
        <v>71</v>
      </c>
      <c r="K115" s="166">
        <f>Os</f>
        <v>12</v>
      </c>
      <c r="L115" s="713" t="s">
        <v>104</v>
      </c>
      <c r="M115" s="740" t="e">
        <f>Ca*((21-4)/(21-5))</f>
        <v>#DIV/0!</v>
      </c>
      <c r="N115" s="741"/>
      <c r="O115" s="742"/>
      <c r="P115" s="96"/>
      <c r="Q115" s="96"/>
      <c r="R115" s="96"/>
      <c r="S115" s="96"/>
      <c r="T115" s="96"/>
      <c r="U115" s="96"/>
      <c r="V115" s="137"/>
    </row>
    <row r="116" spans="1:22" ht="18" thickBot="1">
      <c r="A116" s="138"/>
      <c r="B116" s="96"/>
      <c r="C116" s="96"/>
      <c r="D116" s="287"/>
      <c r="E116" s="287"/>
      <c r="F116" s="700"/>
      <c r="G116" s="735"/>
      <c r="H116" s="700"/>
      <c r="I116" s="96">
        <v>21</v>
      </c>
      <c r="J116" s="260" t="s">
        <v>71</v>
      </c>
      <c r="K116" s="276">
        <f>Oa</f>
        <v>7.87</v>
      </c>
      <c r="L116" s="713"/>
      <c r="M116" s="743"/>
      <c r="N116" s="744"/>
      <c r="O116" s="745"/>
      <c r="P116" s="96"/>
      <c r="Q116" s="96"/>
      <c r="R116" s="288"/>
      <c r="S116" s="96"/>
      <c r="T116" s="260"/>
      <c r="U116" s="280"/>
      <c r="V116" s="266"/>
    </row>
    <row r="117" spans="1:22" ht="17.25">
      <c r="A117" s="138"/>
      <c r="B117" s="96"/>
      <c r="C117" s="96"/>
      <c r="D117" s="287"/>
      <c r="E117" s="287"/>
      <c r="F117" s="260"/>
      <c r="G117" s="274"/>
      <c r="H117" s="260"/>
      <c r="I117" s="96"/>
      <c r="J117" s="260"/>
      <c r="K117" s="276"/>
      <c r="L117" s="262"/>
      <c r="M117" s="265"/>
      <c r="N117" s="265"/>
      <c r="O117" s="265"/>
      <c r="P117" s="96"/>
      <c r="Q117" s="96"/>
      <c r="R117" s="288"/>
      <c r="S117" s="96"/>
      <c r="T117" s="260"/>
      <c r="U117" s="280"/>
      <c r="V117" s="266"/>
    </row>
    <row r="118" spans="1:22" ht="17.25">
      <c r="A118" s="138"/>
      <c r="B118" s="96"/>
      <c r="C118" s="96"/>
      <c r="D118" s="287"/>
      <c r="E118" s="287"/>
      <c r="F118" s="260"/>
      <c r="G118" s="274"/>
      <c r="H118" s="260"/>
      <c r="I118" s="96"/>
      <c r="J118" s="260"/>
      <c r="K118" s="276"/>
      <c r="L118" s="262"/>
      <c r="M118" s="265"/>
      <c r="N118" s="265"/>
      <c r="O118" s="265"/>
      <c r="P118" s="96"/>
      <c r="Q118" s="96"/>
      <c r="R118" s="288"/>
      <c r="S118" s="96"/>
      <c r="T118" s="260"/>
      <c r="U118" s="280"/>
      <c r="V118" s="266"/>
    </row>
    <row r="119" spans="1:22" ht="18" thickBot="1">
      <c r="A119" s="142"/>
      <c r="B119" s="143"/>
      <c r="C119" s="143"/>
      <c r="D119" s="267"/>
      <c r="E119" s="267"/>
      <c r="F119" s="152"/>
      <c r="G119" s="268"/>
      <c r="H119" s="152"/>
      <c r="I119" s="143"/>
      <c r="J119" s="152"/>
      <c r="K119" s="269"/>
      <c r="L119" s="161"/>
      <c r="M119" s="258"/>
      <c r="N119" s="258"/>
      <c r="O119" s="258"/>
      <c r="P119" s="143"/>
      <c r="Q119" s="143"/>
      <c r="R119" s="270"/>
      <c r="S119" s="143"/>
      <c r="T119" s="152"/>
      <c r="U119" s="271"/>
      <c r="V119" s="272"/>
    </row>
  </sheetData>
  <mergeCells count="78">
    <mergeCell ref="G84:G85"/>
    <mergeCell ref="H84:H85"/>
    <mergeCell ref="L84:L85"/>
    <mergeCell ref="M84:O85"/>
    <mergeCell ref="M115:O116"/>
    <mergeCell ref="H115:H116"/>
    <mergeCell ref="A105:A107"/>
    <mergeCell ref="M93:O94"/>
    <mergeCell ref="L115:L116"/>
    <mergeCell ref="L93:L94"/>
    <mergeCell ref="F115:F116"/>
    <mergeCell ref="D106:E106"/>
    <mergeCell ref="B106:B107"/>
    <mergeCell ref="F93:F94"/>
    <mergeCell ref="G115:G116"/>
    <mergeCell ref="S75:S76"/>
    <mergeCell ref="P105:Q106"/>
    <mergeCell ref="G107:K107"/>
    <mergeCell ref="J76:L76"/>
    <mergeCell ref="M75:M76"/>
    <mergeCell ref="F75:H75"/>
    <mergeCell ref="F76:G76"/>
    <mergeCell ref="L105:O106"/>
    <mergeCell ref="G93:G94"/>
    <mergeCell ref="H93:H94"/>
    <mergeCell ref="I75:I76"/>
    <mergeCell ref="A91:V91"/>
    <mergeCell ref="A75:A76"/>
    <mergeCell ref="C106:C107"/>
    <mergeCell ref="E75:E76"/>
    <mergeCell ref="F84:F85"/>
    <mergeCell ref="D11:E11"/>
    <mergeCell ref="B24:B25"/>
    <mergeCell ref="C75:C76"/>
    <mergeCell ref="D75:D76"/>
    <mergeCell ref="C58:D58"/>
    <mergeCell ref="D24:E24"/>
    <mergeCell ref="B35:B36"/>
    <mergeCell ref="C35:C36"/>
    <mergeCell ref="B75:B76"/>
    <mergeCell ref="O10:O11"/>
    <mergeCell ref="J24:J25"/>
    <mergeCell ref="K24:K25"/>
    <mergeCell ref="P10:Q11"/>
    <mergeCell ref="N10:N11"/>
    <mergeCell ref="M10:M11"/>
    <mergeCell ref="H9:H10"/>
    <mergeCell ref="H46:H47"/>
    <mergeCell ref="G25:I25"/>
    <mergeCell ref="G35:G36"/>
    <mergeCell ref="C24:C25"/>
    <mergeCell ref="F46:F47"/>
    <mergeCell ref="G12:I12"/>
    <mergeCell ref="F11:F12"/>
    <mergeCell ref="A46:C47"/>
    <mergeCell ref="G46:G47"/>
    <mergeCell ref="B11:B12"/>
    <mergeCell ref="D36:E36"/>
    <mergeCell ref="F24:F25"/>
    <mergeCell ref="F35:F36"/>
    <mergeCell ref="D46:E47"/>
    <mergeCell ref="C11:C12"/>
    <mergeCell ref="A1:V3"/>
    <mergeCell ref="T58:T59"/>
    <mergeCell ref="N75:N76"/>
    <mergeCell ref="P75:P76"/>
    <mergeCell ref="Q75:Q76"/>
    <mergeCell ref="R75:R76"/>
    <mergeCell ref="T75:U76"/>
    <mergeCell ref="R58:R59"/>
    <mergeCell ref="S58:S59"/>
    <mergeCell ref="I46:I47"/>
    <mergeCell ref="Q58:Q59"/>
    <mergeCell ref="J11:J12"/>
    <mergeCell ref="A35:A36"/>
    <mergeCell ref="L11:L12"/>
    <mergeCell ref="A10:A11"/>
    <mergeCell ref="A24:A25"/>
  </mergeCells>
  <phoneticPr fontId="5" type="noConversion"/>
  <pageMargins left="0.70866141732283461" right="0.70866141732283461" top="0.74803149606299213" bottom="0.74803149606299213" header="0.31496062992125984" footer="0.31496062992125984"/>
  <pageSetup paperSize="9" scale="41" orientation="portrait" r:id="rId1"/>
  <rowBreaks count="1" manualBreakCount="1">
    <brk id="48" max="21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152"/>
  <sheetViews>
    <sheetView topLeftCell="A7" zoomScale="85" zoomScaleNormal="85" workbookViewId="0">
      <selection activeCell="K33" sqref="K33:K34"/>
    </sheetView>
  </sheetViews>
  <sheetFormatPr defaultColWidth="8.88671875" defaultRowHeight="16.5"/>
  <cols>
    <col min="1" max="2" width="8.88671875" style="354"/>
    <col min="3" max="3" width="6.88671875" style="354" customWidth="1"/>
    <col min="4" max="4" width="11.109375" style="354" customWidth="1"/>
    <col min="5" max="5" width="4.33203125" style="354" customWidth="1"/>
    <col min="6" max="6" width="16.88671875" style="354" customWidth="1"/>
    <col min="7" max="7" width="8.88671875" style="354"/>
    <col min="8" max="8" width="7.6640625" style="354" customWidth="1"/>
    <col min="9" max="16384" width="8.88671875" style="354"/>
  </cols>
  <sheetData>
    <row r="1" spans="1:9" ht="30.75" customHeight="1">
      <c r="A1" s="754" t="s">
        <v>45</v>
      </c>
      <c r="B1" s="754"/>
      <c r="C1" s="754"/>
      <c r="D1" s="754"/>
      <c r="E1" s="754"/>
      <c r="F1" s="754"/>
      <c r="G1" s="754"/>
      <c r="H1" s="754"/>
      <c r="I1" s="353"/>
    </row>
    <row r="2" spans="1:9" ht="21" customHeight="1">
      <c r="A2" s="353"/>
      <c r="B2" s="353"/>
      <c r="C2" s="353"/>
      <c r="D2" s="353"/>
      <c r="E2" s="353"/>
      <c r="F2" s="353"/>
      <c r="G2" s="753">
        <f ca="1">TODAY()</f>
        <v>46244</v>
      </c>
      <c r="H2" s="753"/>
      <c r="I2" s="353"/>
    </row>
    <row r="3" spans="1:9" ht="24.95" customHeight="1"/>
    <row r="4" spans="1:9" ht="24.95" customHeight="1">
      <c r="A4" s="355" t="s">
        <v>46</v>
      </c>
    </row>
    <row r="5" spans="1:9" ht="24.95" customHeight="1">
      <c r="A5" s="356" t="s">
        <v>118</v>
      </c>
      <c r="B5" s="356"/>
      <c r="C5" s="356"/>
      <c r="D5" s="356"/>
      <c r="E5" s="356"/>
      <c r="F5" s="356"/>
      <c r="G5" s="356"/>
      <c r="H5" s="356"/>
    </row>
    <row r="6" spans="1:9" ht="24.95" customHeight="1">
      <c r="A6" s="357" t="s">
        <v>119</v>
      </c>
      <c r="B6" s="357"/>
      <c r="C6" s="357"/>
      <c r="D6" s="357"/>
      <c r="E6" s="357" t="s">
        <v>120</v>
      </c>
      <c r="F6" s="357"/>
      <c r="G6" s="357"/>
      <c r="H6" s="357"/>
    </row>
    <row r="7" spans="1:9" ht="24.95" customHeight="1">
      <c r="A7" s="357" t="s">
        <v>47</v>
      </c>
      <c r="B7" s="357"/>
      <c r="C7" s="357">
        <v>480</v>
      </c>
      <c r="D7" s="357" t="s">
        <v>48</v>
      </c>
      <c r="E7" s="357" t="s">
        <v>49</v>
      </c>
      <c r="F7" s="357"/>
      <c r="G7" s="357">
        <v>320</v>
      </c>
      <c r="H7" s="357" t="s">
        <v>48</v>
      </c>
    </row>
    <row r="8" spans="1:9" ht="24.95" customHeight="1"/>
    <row r="9" spans="1:9" ht="24.95" customHeight="1">
      <c r="A9" s="355" t="s">
        <v>50</v>
      </c>
    </row>
    <row r="10" spans="1:9" ht="24.95" customHeight="1">
      <c r="A10" s="356" t="s">
        <v>51</v>
      </c>
      <c r="B10" s="356"/>
      <c r="C10" s="358">
        <f>Oa</f>
        <v>7.87</v>
      </c>
      <c r="D10" s="356" t="s">
        <v>29</v>
      </c>
      <c r="E10" s="356" t="s">
        <v>52</v>
      </c>
      <c r="F10" s="356"/>
      <c r="G10" s="356">
        <f>Os</f>
        <v>12</v>
      </c>
      <c r="H10" s="356" t="s">
        <v>29</v>
      </c>
    </row>
    <row r="11" spans="1:9" ht="24.95" customHeight="1">
      <c r="A11" s="357" t="s">
        <v>53</v>
      </c>
      <c r="B11" s="357"/>
      <c r="C11" s="359">
        <f>Xw</f>
        <v>100</v>
      </c>
      <c r="D11" s="357" t="s">
        <v>29</v>
      </c>
      <c r="E11" s="357" t="s">
        <v>54</v>
      </c>
      <c r="F11" s="357"/>
      <c r="G11" s="359">
        <f>I</f>
        <v>-271.91302697154367</v>
      </c>
      <c r="H11" s="357" t="s">
        <v>29</v>
      </c>
    </row>
    <row r="12" spans="1:9" ht="24.95" customHeight="1">
      <c r="A12" s="357" t="s">
        <v>55</v>
      </c>
      <c r="B12" s="357"/>
      <c r="C12" s="359" t="e">
        <f>Ca</f>
        <v>#DIV/0!</v>
      </c>
      <c r="D12" s="357" t="s">
        <v>320</v>
      </c>
      <c r="E12" s="357" t="s">
        <v>56</v>
      </c>
      <c r="F12" s="357"/>
      <c r="G12" s="359" t="e">
        <f>DC</f>
        <v>#DIV/0!</v>
      </c>
      <c r="H12" s="357" t="s">
        <v>320</v>
      </c>
    </row>
    <row r="13" spans="1:9" ht="24.95" customHeight="1">
      <c r="A13" s="357" t="s">
        <v>57</v>
      </c>
      <c r="B13" s="357"/>
      <c r="C13" s="357"/>
      <c r="D13" s="357"/>
      <c r="E13" s="356"/>
      <c r="F13" s="356"/>
      <c r="G13" s="358">
        <f>Q</f>
        <v>12816.995388888889</v>
      </c>
      <c r="H13" s="356" t="s">
        <v>321</v>
      </c>
    </row>
    <row r="14" spans="1:9" ht="24.95" customHeight="1">
      <c r="A14" s="357" t="s">
        <v>58</v>
      </c>
      <c r="B14" s="357"/>
      <c r="C14" s="357"/>
      <c r="D14" s="357"/>
      <c r="E14" s="357"/>
      <c r="F14" s="357"/>
      <c r="G14" s="359">
        <f>Qa*C7/G7</f>
        <v>13178.174999999999</v>
      </c>
      <c r="H14" s="357" t="s">
        <v>321</v>
      </c>
    </row>
    <row r="15" spans="1:9" ht="24.95" customHeight="1"/>
    <row r="16" spans="1:9" ht="24.95" customHeight="1">
      <c r="A16" s="355" t="s">
        <v>59</v>
      </c>
    </row>
    <row r="17" spans="1:8" ht="24.95" customHeight="1">
      <c r="A17" s="356"/>
      <c r="B17" s="356"/>
      <c r="C17" s="356"/>
      <c r="D17" s="356"/>
      <c r="E17" s="356"/>
      <c r="F17" s="356"/>
      <c r="G17" s="356"/>
      <c r="H17" s="356"/>
    </row>
    <row r="18" spans="1:8" ht="24.95" customHeight="1">
      <c r="A18" s="357"/>
      <c r="B18" s="357"/>
      <c r="C18" s="357"/>
      <c r="D18" s="357"/>
      <c r="E18" s="357"/>
      <c r="F18" s="357"/>
      <c r="G18" s="357"/>
      <c r="H18" s="357"/>
    </row>
    <row r="19" spans="1:8" ht="24.95" customHeight="1">
      <c r="A19" s="357"/>
      <c r="B19" s="357"/>
      <c r="C19" s="357"/>
      <c r="D19" s="357"/>
      <c r="E19" s="357"/>
      <c r="F19" s="357"/>
      <c r="G19" s="357"/>
      <c r="H19" s="357"/>
    </row>
    <row r="20" spans="1:8" ht="24.95" customHeight="1">
      <c r="A20" s="356"/>
      <c r="B20" s="356"/>
      <c r="C20" s="356"/>
      <c r="D20" s="356"/>
      <c r="E20" s="356"/>
      <c r="F20" s="356"/>
      <c r="G20" s="356"/>
      <c r="H20" s="356"/>
    </row>
    <row r="21" spans="1:8" ht="24.95" customHeight="1">
      <c r="A21" s="357"/>
      <c r="B21" s="357"/>
      <c r="C21" s="357"/>
      <c r="D21" s="357"/>
      <c r="E21" s="357"/>
      <c r="F21" s="357"/>
      <c r="G21" s="357"/>
      <c r="H21" s="357"/>
    </row>
    <row r="22" spans="1:8" ht="24.95" customHeight="1">
      <c r="A22" s="357"/>
      <c r="B22" s="357"/>
      <c r="C22" s="357"/>
      <c r="D22" s="357"/>
      <c r="E22" s="357"/>
      <c r="F22" s="357"/>
      <c r="G22" s="357"/>
      <c r="H22" s="357"/>
    </row>
    <row r="23" spans="1:8" ht="24.95" customHeight="1"/>
    <row r="24" spans="1:8" ht="24.95" customHeight="1"/>
    <row r="25" spans="1:8" ht="24.95" customHeight="1">
      <c r="A25" s="354" t="s">
        <v>115</v>
      </c>
      <c r="F25" s="354" t="s">
        <v>117</v>
      </c>
      <c r="G25" s="354" t="s">
        <v>214</v>
      </c>
    </row>
    <row r="26" spans="1:8" ht="24.95" customHeight="1">
      <c r="A26" s="354" t="s">
        <v>116</v>
      </c>
      <c r="F26" s="354" t="s">
        <v>117</v>
      </c>
      <c r="G26" s="354" t="s">
        <v>214</v>
      </c>
    </row>
    <row r="27" spans="1:8" ht="24.95" customHeight="1">
      <c r="A27" s="752" t="s">
        <v>212</v>
      </c>
      <c r="B27" s="752"/>
      <c r="C27" s="752"/>
      <c r="D27" s="752"/>
      <c r="E27" s="752"/>
      <c r="F27" s="752"/>
      <c r="G27" s="752"/>
      <c r="H27" s="752"/>
    </row>
    <row r="28" spans="1:8" ht="24.95" customHeight="1"/>
    <row r="29" spans="1:8" ht="24.95" customHeight="1"/>
    <row r="30" spans="1:8" ht="24.95" customHeight="1"/>
    <row r="31" spans="1:8" ht="24.95" customHeight="1"/>
    <row r="32" spans="1:8" ht="24.95" customHeight="1"/>
    <row r="33" ht="24.95" customHeight="1"/>
    <row r="34" ht="24.95" customHeight="1"/>
    <row r="35" ht="24.95" customHeight="1"/>
    <row r="36" ht="24.95" customHeight="1"/>
    <row r="37" ht="24.95" customHeight="1"/>
    <row r="38" ht="24.95" customHeight="1"/>
    <row r="39" ht="24.95" customHeight="1"/>
    <row r="40" ht="24.95" customHeight="1"/>
    <row r="41" ht="24.95" customHeight="1"/>
    <row r="42" ht="24.95" customHeight="1"/>
    <row r="43" ht="24.95" customHeight="1"/>
    <row r="44" ht="24.95" customHeight="1"/>
    <row r="45" ht="24.95" customHeight="1"/>
    <row r="46" ht="24.95" customHeight="1"/>
    <row r="47" ht="24.95" customHeight="1"/>
    <row r="48" ht="24.95" customHeight="1"/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  <row r="55" ht="24.95" customHeight="1"/>
    <row r="56" ht="24.95" customHeight="1"/>
    <row r="57" ht="24.95" customHeight="1"/>
    <row r="58" ht="24.95" customHeight="1"/>
    <row r="59" ht="24.95" customHeight="1"/>
    <row r="60" ht="24.95" customHeight="1"/>
    <row r="61" ht="24.95" customHeight="1"/>
    <row r="62" ht="24.95" customHeight="1"/>
    <row r="63" ht="24.95" customHeight="1"/>
    <row r="64" ht="24.95" customHeight="1"/>
    <row r="65" ht="24.95" customHeight="1"/>
    <row r="66" ht="24.95" customHeight="1"/>
    <row r="67" ht="24.95" customHeight="1"/>
    <row r="68" ht="24.95" customHeight="1"/>
    <row r="69" ht="24.95" customHeight="1"/>
    <row r="70" ht="24.95" customHeight="1"/>
    <row r="71" ht="24.95" customHeight="1"/>
    <row r="72" ht="24.95" customHeight="1"/>
    <row r="73" ht="24.95" customHeight="1"/>
    <row r="74" ht="24.95" customHeight="1"/>
    <row r="75" ht="24.95" customHeight="1"/>
    <row r="76" ht="24.95" customHeight="1"/>
    <row r="77" ht="24.95" customHeight="1"/>
    <row r="78" ht="24.95" customHeight="1"/>
    <row r="79" ht="24.95" customHeight="1"/>
    <row r="80" ht="24.95" customHeight="1"/>
    <row r="81" ht="24.95" customHeight="1"/>
    <row r="82" ht="24.95" customHeight="1"/>
    <row r="83" ht="24.95" customHeight="1"/>
    <row r="84" ht="24.95" customHeight="1"/>
    <row r="85" ht="24.95" customHeight="1"/>
    <row r="86" ht="24.95" customHeight="1"/>
    <row r="87" ht="24.95" customHeight="1"/>
    <row r="88" ht="24.95" customHeight="1"/>
    <row r="89" ht="24.95" customHeight="1"/>
    <row r="90" ht="24.95" customHeight="1"/>
    <row r="91" ht="24.95" customHeight="1"/>
    <row r="92" ht="24.95" customHeight="1"/>
    <row r="93" ht="24.95" customHeight="1"/>
    <row r="94" ht="24.95" customHeight="1"/>
    <row r="95" ht="24.95" customHeight="1"/>
    <row r="96" ht="24.95" customHeight="1"/>
    <row r="97" ht="24.95" customHeight="1"/>
    <row r="98" ht="24.95" customHeight="1"/>
    <row r="99" ht="24.95" customHeight="1"/>
    <row r="100" ht="24.95" customHeight="1"/>
    <row r="101" ht="24.95" customHeight="1"/>
    <row r="102" ht="24.95" customHeight="1"/>
    <row r="103" ht="24.95" customHeight="1"/>
    <row r="104" ht="24.95" customHeight="1"/>
    <row r="105" ht="24.95" customHeight="1"/>
    <row r="106" ht="24.95" customHeight="1"/>
    <row r="107" ht="24.95" customHeight="1"/>
    <row r="108" ht="24.95" customHeight="1"/>
    <row r="109" ht="24.95" customHeight="1"/>
    <row r="110" ht="24.95" customHeight="1"/>
    <row r="111" ht="24.95" customHeight="1"/>
    <row r="112" ht="24.95" customHeight="1"/>
    <row r="113" ht="24.95" customHeight="1"/>
    <row r="114" ht="24.95" customHeight="1"/>
    <row r="115" ht="24.95" customHeight="1"/>
    <row r="116" ht="24.95" customHeight="1"/>
    <row r="117" ht="24.95" customHeight="1"/>
    <row r="118" ht="24.95" customHeight="1"/>
    <row r="119" ht="24.95" customHeight="1"/>
    <row r="120" ht="24.95" customHeight="1"/>
    <row r="121" ht="24.95" customHeight="1"/>
    <row r="122" ht="24.95" customHeight="1"/>
    <row r="123" ht="24.95" customHeight="1"/>
    <row r="124" ht="24.95" customHeight="1"/>
    <row r="125" ht="24.95" customHeight="1"/>
    <row r="126" ht="24.95" customHeight="1"/>
    <row r="127" ht="24.95" customHeight="1"/>
    <row r="128" ht="24.95" customHeight="1"/>
    <row r="129" ht="24.95" customHeight="1"/>
    <row r="130" ht="24.95" customHeight="1"/>
    <row r="131" ht="24.95" customHeight="1"/>
    <row r="132" ht="24.95" customHeight="1"/>
    <row r="133" ht="24.95" customHeight="1"/>
    <row r="134" ht="24.95" customHeight="1"/>
    <row r="135" ht="24.95" customHeight="1"/>
    <row r="136" ht="24.95" customHeight="1"/>
    <row r="137" ht="24.95" customHeight="1"/>
    <row r="138" ht="24.95" customHeight="1"/>
    <row r="139" ht="24.95" customHeight="1"/>
    <row r="140" ht="24.95" customHeight="1"/>
    <row r="141" ht="24.95" customHeight="1"/>
    <row r="142" ht="24.95" customHeight="1"/>
    <row r="143" ht="24.95" customHeight="1"/>
    <row r="144" ht="24.95" customHeight="1"/>
    <row r="145" ht="24.95" customHeight="1"/>
    <row r="146" ht="24.95" customHeight="1"/>
    <row r="147" ht="24.95" customHeight="1"/>
    <row r="148" ht="24.95" customHeight="1"/>
    <row r="149" ht="24.95" customHeight="1"/>
    <row r="150" ht="24.95" customHeight="1"/>
    <row r="151" ht="24.95" customHeight="1"/>
    <row r="152" ht="24.95" customHeight="1"/>
  </sheetData>
  <mergeCells count="3">
    <mergeCell ref="A27:H27"/>
    <mergeCell ref="G2:H2"/>
    <mergeCell ref="A1:H1"/>
  </mergeCells>
  <phoneticPr fontId="3" type="noConversion"/>
  <pageMargins left="0.75" right="0.75" top="1" bottom="1" header="0.5" footer="0.5"/>
  <pageSetup paperSize="9" orientation="portrait" horizont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E0996-4933-41C7-98AF-6FEF25969379}">
  <sheetPr codeName="Sheet10">
    <pageSetUpPr fitToPage="1"/>
  </sheetPr>
  <dimension ref="A1:Z43"/>
  <sheetViews>
    <sheetView showGridLines="0" view="pageBreakPreview" zoomScale="70" zoomScaleNormal="100" zoomScaleSheetLayoutView="70" workbookViewId="0">
      <pane xSplit="1" ySplit="1" topLeftCell="B2" activePane="bottomRight" state="frozen"/>
      <selection sqref="A1:H1"/>
      <selection pane="topRight" sqref="A1:H1"/>
      <selection pane="bottomLeft" sqref="A1:H1"/>
      <selection pane="bottomRight" sqref="A1:H1"/>
    </sheetView>
  </sheetViews>
  <sheetFormatPr defaultColWidth="8.88671875" defaultRowHeight="16.5"/>
  <cols>
    <col min="1" max="1" width="15.44140625" style="194" bestFit="1" customWidth="1"/>
    <col min="2" max="2" width="6.21875" style="210" bestFit="1" customWidth="1"/>
    <col min="3" max="3" width="9.33203125" style="212" bestFit="1" customWidth="1"/>
    <col min="4" max="5" width="11.21875" style="194" bestFit="1" customWidth="1"/>
    <col min="6" max="6" width="6.44140625" style="194" bestFit="1" customWidth="1"/>
    <col min="7" max="7" width="11.21875" style="194" bestFit="1" customWidth="1"/>
    <col min="8" max="8" width="6.44140625" style="194" bestFit="1" customWidth="1"/>
    <col min="9" max="9" width="11.21875" style="194" bestFit="1" customWidth="1"/>
    <col min="10" max="10" width="6.44140625" style="194" bestFit="1" customWidth="1"/>
    <col min="11" max="11" width="11.21875" style="194" bestFit="1" customWidth="1"/>
    <col min="12" max="12" width="6.44140625" style="194" bestFit="1" customWidth="1"/>
    <col min="13" max="13" width="11.21875" style="194" bestFit="1" customWidth="1"/>
    <col min="14" max="14" width="6.44140625" style="194" bestFit="1" customWidth="1"/>
    <col min="15" max="15" width="11.21875" style="194" bestFit="1" customWidth="1"/>
    <col min="16" max="16" width="6.44140625" style="194" bestFit="1" customWidth="1"/>
    <col min="17" max="17" width="11.21875" style="194" bestFit="1" customWidth="1"/>
    <col min="18" max="18" width="6.44140625" style="194" bestFit="1" customWidth="1"/>
    <col min="19" max="19" width="11.21875" style="194" bestFit="1" customWidth="1"/>
    <col min="20" max="20" width="6.44140625" style="194" bestFit="1" customWidth="1"/>
    <col min="21" max="16384" width="8.88671875" style="194"/>
  </cols>
  <sheetData>
    <row r="1" spans="1:26" s="178" customFormat="1" ht="21.95" customHeight="1">
      <c r="A1" s="177" t="s">
        <v>269</v>
      </c>
      <c r="B1" s="211" t="s">
        <v>270</v>
      </c>
      <c r="C1" s="211" t="s">
        <v>271</v>
      </c>
      <c r="D1" s="177" t="s">
        <v>272</v>
      </c>
      <c r="E1" s="177" t="s">
        <v>273</v>
      </c>
      <c r="F1" s="177" t="s">
        <v>274</v>
      </c>
      <c r="G1" s="177" t="s">
        <v>275</v>
      </c>
      <c r="H1" s="177" t="s">
        <v>276</v>
      </c>
      <c r="I1" s="177" t="s">
        <v>277</v>
      </c>
      <c r="J1" s="177" t="s">
        <v>278</v>
      </c>
      <c r="K1" s="177" t="s">
        <v>279</v>
      </c>
      <c r="L1" s="177" t="s">
        <v>280</v>
      </c>
      <c r="M1" s="177" t="s">
        <v>281</v>
      </c>
      <c r="N1" s="177" t="s">
        <v>282</v>
      </c>
      <c r="O1" s="177" t="s">
        <v>283</v>
      </c>
      <c r="P1" s="177" t="s">
        <v>284</v>
      </c>
      <c r="Q1" s="177" t="s">
        <v>285</v>
      </c>
      <c r="R1" s="177" t="s">
        <v>286</v>
      </c>
      <c r="S1" s="177" t="s">
        <v>287</v>
      </c>
      <c r="T1" s="177" t="s">
        <v>288</v>
      </c>
    </row>
    <row r="2" spans="1:26" s="183" customFormat="1" ht="21.95" customHeight="1">
      <c r="A2" s="179" t="s">
        <v>289</v>
      </c>
      <c r="B2" s="207" t="s">
        <v>290</v>
      </c>
      <c r="C2" s="204">
        <v>65</v>
      </c>
      <c r="D2" s="180" t="s">
        <v>291</v>
      </c>
      <c r="E2" s="181">
        <v>4.95</v>
      </c>
      <c r="F2" s="182">
        <v>0.81599999999999995</v>
      </c>
      <c r="G2" s="181">
        <v>6.92</v>
      </c>
      <c r="H2" s="182">
        <v>0.82099999999999995</v>
      </c>
      <c r="I2" s="181">
        <v>8.91</v>
      </c>
      <c r="J2" s="182">
        <v>0.82199999999999995</v>
      </c>
      <c r="K2" s="181">
        <v>11.92</v>
      </c>
      <c r="L2" s="182">
        <v>0.82199999999999995</v>
      </c>
      <c r="M2" s="181">
        <v>14.93</v>
      </c>
      <c r="N2" s="182">
        <v>0.82299999999999995</v>
      </c>
      <c r="O2" s="181">
        <v>19.95</v>
      </c>
      <c r="P2" s="182">
        <v>0.82399999999999995</v>
      </c>
      <c r="Q2" s="181">
        <v>29.94</v>
      </c>
      <c r="R2" s="182">
        <v>0.82299999999999995</v>
      </c>
      <c r="S2" s="181">
        <v>37.39</v>
      </c>
      <c r="T2" s="182">
        <v>0.82399999999999995</v>
      </c>
      <c r="V2" s="757"/>
      <c r="W2" s="757"/>
      <c r="X2" s="757"/>
      <c r="Y2" s="757"/>
    </row>
    <row r="3" spans="1:26" s="183" customFormat="1" ht="21.95" customHeight="1">
      <c r="A3" s="179" t="s">
        <v>292</v>
      </c>
      <c r="B3" s="207" t="s">
        <v>290</v>
      </c>
      <c r="C3" s="204">
        <v>125</v>
      </c>
      <c r="D3" s="180" t="s">
        <v>291</v>
      </c>
      <c r="E3" s="181">
        <v>5.13</v>
      </c>
      <c r="F3" s="182">
        <v>0.82499999999999996</v>
      </c>
      <c r="G3" s="181">
        <v>7.04</v>
      </c>
      <c r="H3" s="182">
        <v>0.82399999999999995</v>
      </c>
      <c r="I3" s="181">
        <v>8.9600000000000009</v>
      </c>
      <c r="J3" s="182">
        <v>0.82299999999999995</v>
      </c>
      <c r="K3" s="181">
        <v>11.88</v>
      </c>
      <c r="L3" s="182">
        <v>0.82199999999999995</v>
      </c>
      <c r="M3" s="181">
        <v>14.84</v>
      </c>
      <c r="N3" s="182">
        <v>0.82099999999999995</v>
      </c>
      <c r="O3" s="181">
        <v>19.82</v>
      </c>
      <c r="P3" s="182">
        <v>0.82199999999999995</v>
      </c>
      <c r="Q3" s="181">
        <v>29.86</v>
      </c>
      <c r="R3" s="182">
        <v>0.82299999999999995</v>
      </c>
      <c r="S3" s="181">
        <v>37.49</v>
      </c>
      <c r="T3" s="182">
        <v>0.82299999999999995</v>
      </c>
      <c r="V3" s="755"/>
      <c r="W3" s="755"/>
      <c r="X3" s="755"/>
      <c r="Y3" s="755"/>
    </row>
    <row r="4" spans="1:26" s="183" customFormat="1" ht="21.95" customHeight="1">
      <c r="A4" s="179" t="s">
        <v>293</v>
      </c>
      <c r="B4" s="207" t="s">
        <v>290</v>
      </c>
      <c r="C4" s="204">
        <v>125</v>
      </c>
      <c r="D4" s="180" t="s">
        <v>291</v>
      </c>
      <c r="E4" s="181">
        <v>5.13</v>
      </c>
      <c r="F4" s="182">
        <v>0.82699999999999996</v>
      </c>
      <c r="G4" s="181">
        <v>7.04</v>
      </c>
      <c r="H4" s="182">
        <v>0.82699999999999996</v>
      </c>
      <c r="I4" s="181">
        <v>8.9600000000000009</v>
      </c>
      <c r="J4" s="182">
        <v>0.82599999999999996</v>
      </c>
      <c r="K4" s="181">
        <v>11.88</v>
      </c>
      <c r="L4" s="182">
        <v>0.82399999999999995</v>
      </c>
      <c r="M4" s="181">
        <v>14.84</v>
      </c>
      <c r="N4" s="182">
        <v>0.82399999999999995</v>
      </c>
      <c r="O4" s="181">
        <v>19.82</v>
      </c>
      <c r="P4" s="182">
        <v>0.82299999999999995</v>
      </c>
      <c r="Q4" s="181">
        <v>29.86</v>
      </c>
      <c r="R4" s="182">
        <v>0.82199999999999995</v>
      </c>
      <c r="S4" s="181">
        <v>37.49</v>
      </c>
      <c r="T4" s="182">
        <v>0.82099999999999995</v>
      </c>
      <c r="V4" s="756"/>
      <c r="W4" s="756"/>
      <c r="X4" s="755"/>
      <c r="Y4" s="755"/>
    </row>
    <row r="5" spans="1:26" s="183" customFormat="1" ht="21.95" customHeight="1">
      <c r="A5" s="179" t="s">
        <v>294</v>
      </c>
      <c r="B5" s="207" t="s">
        <v>290</v>
      </c>
      <c r="C5" s="204">
        <v>125</v>
      </c>
      <c r="D5" s="180" t="s">
        <v>291</v>
      </c>
      <c r="E5" s="181">
        <v>5.13</v>
      </c>
      <c r="F5" s="182">
        <v>0.82699999999999996</v>
      </c>
      <c r="G5" s="181">
        <v>7.03</v>
      </c>
      <c r="H5" s="182">
        <v>0.82499999999999996</v>
      </c>
      <c r="I5" s="181">
        <v>8.9600000000000009</v>
      </c>
      <c r="J5" s="182">
        <v>0.82399999999999995</v>
      </c>
      <c r="K5" s="181">
        <v>11.88</v>
      </c>
      <c r="L5" s="182">
        <v>0.82299999999999995</v>
      </c>
      <c r="M5" s="181">
        <v>14.85</v>
      </c>
      <c r="N5" s="182">
        <v>0.82199999999999995</v>
      </c>
      <c r="O5" s="181">
        <v>19.809999999999999</v>
      </c>
      <c r="P5" s="182">
        <v>0.82199999999999995</v>
      </c>
      <c r="Q5" s="181">
        <v>29.86</v>
      </c>
      <c r="R5" s="182">
        <v>0.82299999999999995</v>
      </c>
      <c r="S5" s="181">
        <v>37.51</v>
      </c>
      <c r="T5" s="182">
        <v>0.82299999999999995</v>
      </c>
      <c r="V5" s="176"/>
      <c r="W5" s="213"/>
      <c r="X5" s="176"/>
      <c r="Y5" s="176"/>
    </row>
    <row r="6" spans="1:26" s="183" customFormat="1" ht="21.95" customHeight="1">
      <c r="A6" s="179" t="s">
        <v>295</v>
      </c>
      <c r="B6" s="207" t="s">
        <v>290</v>
      </c>
      <c r="C6" s="204">
        <v>230</v>
      </c>
      <c r="D6" s="180" t="s">
        <v>291</v>
      </c>
      <c r="E6" s="181">
        <v>4.96</v>
      </c>
      <c r="F6" s="182">
        <v>0.80700000000000005</v>
      </c>
      <c r="G6" s="181">
        <v>6.91</v>
      </c>
      <c r="H6" s="182">
        <v>0.80900000000000005</v>
      </c>
      <c r="I6" s="181">
        <v>8.89</v>
      </c>
      <c r="J6" s="182">
        <v>0.81</v>
      </c>
      <c r="K6" s="181">
        <v>11.9</v>
      </c>
      <c r="L6" s="182">
        <v>0.81100000000000005</v>
      </c>
      <c r="M6" s="181">
        <v>14.9</v>
      </c>
      <c r="N6" s="182">
        <v>0.81299999999999994</v>
      </c>
      <c r="O6" s="181">
        <v>19.920000000000002</v>
      </c>
      <c r="P6" s="182">
        <v>0.81399999999999995</v>
      </c>
      <c r="Q6" s="181">
        <v>29.91</v>
      </c>
      <c r="R6" s="182">
        <v>0.81399999999999995</v>
      </c>
      <c r="S6" s="181">
        <v>37.39</v>
      </c>
      <c r="T6" s="182">
        <v>0.81399999999999995</v>
      </c>
      <c r="V6" s="176"/>
      <c r="W6" s="213"/>
      <c r="X6" s="176"/>
      <c r="Y6" s="176"/>
    </row>
    <row r="7" spans="1:26" s="183" customFormat="1" ht="21.95" customHeight="1">
      <c r="A7" s="179" t="s">
        <v>296</v>
      </c>
      <c r="B7" s="207" t="s">
        <v>290</v>
      </c>
      <c r="C7" s="204">
        <v>235</v>
      </c>
      <c r="D7" s="180" t="s">
        <v>297</v>
      </c>
      <c r="E7" s="181">
        <v>4.96</v>
      </c>
      <c r="F7" s="182">
        <v>0.81399999999999995</v>
      </c>
      <c r="G7" s="181">
        <v>6.92</v>
      </c>
      <c r="H7" s="182">
        <v>0.81799999999999995</v>
      </c>
      <c r="I7" s="181">
        <v>8.92</v>
      </c>
      <c r="J7" s="182">
        <v>0.82</v>
      </c>
      <c r="K7" s="181">
        <v>11.92</v>
      </c>
      <c r="L7" s="182">
        <v>0.82</v>
      </c>
      <c r="M7" s="181">
        <v>14.92</v>
      </c>
      <c r="N7" s="182">
        <v>0.82</v>
      </c>
      <c r="O7" s="181">
        <v>19.940000000000001</v>
      </c>
      <c r="P7" s="182">
        <v>0.82</v>
      </c>
      <c r="Q7" s="181">
        <v>29.92</v>
      </c>
      <c r="R7" s="182">
        <v>0.81899999999999995</v>
      </c>
      <c r="S7" s="181">
        <v>37.409999999999997</v>
      </c>
      <c r="T7" s="182">
        <v>0.81899999999999995</v>
      </c>
      <c r="V7" s="176"/>
      <c r="W7" s="213"/>
      <c r="X7" s="176"/>
      <c r="Y7" s="176"/>
    </row>
    <row r="8" spans="1:26" s="183" customFormat="1" ht="21.95" customHeight="1">
      <c r="A8" s="179" t="s">
        <v>298</v>
      </c>
      <c r="B8" s="207" t="s">
        <v>290</v>
      </c>
      <c r="C8" s="204">
        <v>295</v>
      </c>
      <c r="D8" s="180" t="s">
        <v>291</v>
      </c>
      <c r="E8" s="181">
        <v>4.96</v>
      </c>
      <c r="F8" s="182">
        <v>0.81499999999999995</v>
      </c>
      <c r="G8" s="181">
        <v>6.92</v>
      </c>
      <c r="H8" s="182">
        <v>0.82199999999999995</v>
      </c>
      <c r="I8" s="181">
        <v>8.9</v>
      </c>
      <c r="J8" s="182">
        <v>0.82499999999999996</v>
      </c>
      <c r="K8" s="181">
        <v>11.91</v>
      </c>
      <c r="L8" s="182">
        <v>0.82599999999999996</v>
      </c>
      <c r="M8" s="181">
        <v>14.92</v>
      </c>
      <c r="N8" s="182">
        <v>0.82499999999999996</v>
      </c>
      <c r="O8" s="181">
        <v>19.920000000000002</v>
      </c>
      <c r="P8" s="182">
        <v>0.82499999999999996</v>
      </c>
      <c r="Q8" s="181">
        <v>29.94</v>
      </c>
      <c r="R8" s="182">
        <v>0.82799999999999996</v>
      </c>
      <c r="S8" s="181">
        <v>37.42</v>
      </c>
      <c r="T8" s="182">
        <v>0.82799999999999996</v>
      </c>
      <c r="V8" s="176"/>
      <c r="W8" s="213"/>
      <c r="X8" s="176"/>
      <c r="Y8" s="176"/>
    </row>
    <row r="9" spans="1:26" s="188" customFormat="1" ht="21.95" customHeight="1">
      <c r="A9" s="184" t="s">
        <v>299</v>
      </c>
      <c r="B9" s="208" t="s">
        <v>309</v>
      </c>
      <c r="C9" s="205">
        <v>55</v>
      </c>
      <c r="D9" s="185" t="s">
        <v>291</v>
      </c>
      <c r="E9" s="186">
        <v>5.13</v>
      </c>
      <c r="F9" s="187">
        <v>0.82599999999999996</v>
      </c>
      <c r="G9" s="186">
        <v>7.03</v>
      </c>
      <c r="H9" s="187">
        <v>0.82599999999999996</v>
      </c>
      <c r="I9" s="186">
        <v>8.9600000000000009</v>
      </c>
      <c r="J9" s="187">
        <v>0.82599999999999996</v>
      </c>
      <c r="K9" s="186">
        <v>11.88</v>
      </c>
      <c r="L9" s="187">
        <v>0.82599999999999996</v>
      </c>
      <c r="M9" s="186">
        <v>14.85</v>
      </c>
      <c r="N9" s="187">
        <v>0.82499999999999996</v>
      </c>
      <c r="O9" s="186">
        <v>19.82</v>
      </c>
      <c r="P9" s="187">
        <v>0.82499999999999996</v>
      </c>
      <c r="Q9" s="186">
        <v>29.87</v>
      </c>
      <c r="R9" s="187">
        <v>0.82399999999999995</v>
      </c>
      <c r="S9" s="186">
        <v>37.51</v>
      </c>
      <c r="T9" s="187">
        <v>0.82299999999999995</v>
      </c>
      <c r="V9" s="176"/>
      <c r="W9" s="213"/>
      <c r="X9" s="176"/>
      <c r="Y9" s="176"/>
    </row>
    <row r="10" spans="1:26" s="188" customFormat="1" ht="21.95" customHeight="1">
      <c r="A10" s="184" t="s">
        <v>300</v>
      </c>
      <c r="B10" s="208" t="s">
        <v>309</v>
      </c>
      <c r="C10" s="205">
        <v>115</v>
      </c>
      <c r="D10" s="185" t="s">
        <v>291</v>
      </c>
      <c r="E10" s="186">
        <v>5.14</v>
      </c>
      <c r="F10" s="187">
        <v>0.82599999999999996</v>
      </c>
      <c r="G10" s="186">
        <v>7.04</v>
      </c>
      <c r="H10" s="187">
        <v>0.82399999999999995</v>
      </c>
      <c r="I10" s="186">
        <v>8.9600000000000009</v>
      </c>
      <c r="J10" s="187">
        <v>0.82199999999999995</v>
      </c>
      <c r="K10" s="186">
        <v>11.89</v>
      </c>
      <c r="L10" s="187">
        <v>0.81899999999999995</v>
      </c>
      <c r="M10" s="186">
        <v>14.86</v>
      </c>
      <c r="N10" s="187">
        <v>0.81799999999999995</v>
      </c>
      <c r="O10" s="186">
        <v>19.84</v>
      </c>
      <c r="P10" s="187">
        <v>0.81799999999999995</v>
      </c>
      <c r="Q10" s="186">
        <v>29.9</v>
      </c>
      <c r="R10" s="187">
        <v>0.81799999999999995</v>
      </c>
      <c r="S10" s="186">
        <v>37.53</v>
      </c>
      <c r="T10" s="187">
        <v>0.81699999999999995</v>
      </c>
      <c r="V10" s="176"/>
      <c r="W10" s="213"/>
      <c r="X10" s="176"/>
      <c r="Y10" s="176"/>
    </row>
    <row r="11" spans="1:26" s="188" customFormat="1" ht="21.95" customHeight="1">
      <c r="A11" s="184" t="s">
        <v>301</v>
      </c>
      <c r="B11" s="208" t="s">
        <v>309</v>
      </c>
      <c r="C11" s="205">
        <v>115</v>
      </c>
      <c r="D11" s="185" t="s">
        <v>291</v>
      </c>
      <c r="E11" s="186">
        <v>5.14</v>
      </c>
      <c r="F11" s="187">
        <v>0.82499999999999996</v>
      </c>
      <c r="G11" s="186">
        <v>7.03</v>
      </c>
      <c r="H11" s="187">
        <v>0.82399999999999995</v>
      </c>
      <c r="I11" s="186">
        <v>8.9600000000000009</v>
      </c>
      <c r="J11" s="187">
        <v>0.82299999999999995</v>
      </c>
      <c r="K11" s="186">
        <v>11.88</v>
      </c>
      <c r="L11" s="187">
        <v>0.82199999999999995</v>
      </c>
      <c r="M11" s="186">
        <v>14.85</v>
      </c>
      <c r="N11" s="187">
        <v>0.82199999999999995</v>
      </c>
      <c r="O11" s="186">
        <v>19.829999999999998</v>
      </c>
      <c r="P11" s="187">
        <v>0.82099999999999995</v>
      </c>
      <c r="Q11" s="186">
        <v>29.87</v>
      </c>
      <c r="R11" s="187">
        <v>0.82</v>
      </c>
      <c r="S11" s="186">
        <v>37.520000000000003</v>
      </c>
      <c r="T11" s="187">
        <v>0.82</v>
      </c>
      <c r="V11" s="176"/>
      <c r="W11" s="213"/>
      <c r="X11" s="176"/>
      <c r="Y11" s="176"/>
    </row>
    <row r="12" spans="1:26" s="188" customFormat="1" ht="21.95" customHeight="1">
      <c r="A12" s="184" t="s">
        <v>302</v>
      </c>
      <c r="B12" s="208" t="s">
        <v>309</v>
      </c>
      <c r="C12" s="205">
        <v>215</v>
      </c>
      <c r="D12" s="185" t="s">
        <v>291</v>
      </c>
      <c r="E12" s="186">
        <v>5.13</v>
      </c>
      <c r="F12" s="187">
        <v>0.82799999999999996</v>
      </c>
      <c r="G12" s="186">
        <v>7.03</v>
      </c>
      <c r="H12" s="187">
        <v>0.82799999999999996</v>
      </c>
      <c r="I12" s="186">
        <v>8.9499999999999993</v>
      </c>
      <c r="J12" s="187">
        <v>0.82699999999999996</v>
      </c>
      <c r="K12" s="186">
        <v>11.88</v>
      </c>
      <c r="L12" s="187">
        <v>0.82699999999999996</v>
      </c>
      <c r="M12" s="186">
        <v>14.84</v>
      </c>
      <c r="N12" s="187">
        <v>0.82599999999999996</v>
      </c>
      <c r="O12" s="186">
        <v>19.82</v>
      </c>
      <c r="P12" s="187">
        <v>0.82499999999999996</v>
      </c>
      <c r="Q12" s="186">
        <v>29.87</v>
      </c>
      <c r="R12" s="187">
        <v>0.82499999999999996</v>
      </c>
      <c r="S12" s="186">
        <v>37.5</v>
      </c>
      <c r="T12" s="187">
        <v>0.82399999999999995</v>
      </c>
      <c r="V12" s="176"/>
      <c r="W12" s="213"/>
      <c r="X12" s="176"/>
      <c r="Y12" s="176"/>
      <c r="Z12" s="203"/>
    </row>
    <row r="13" spans="1:26" s="188" customFormat="1" ht="21.95" customHeight="1">
      <c r="A13" s="184" t="s">
        <v>303</v>
      </c>
      <c r="B13" s="208" t="s">
        <v>309</v>
      </c>
      <c r="C13" s="205">
        <v>315</v>
      </c>
      <c r="D13" s="185" t="s">
        <v>291</v>
      </c>
      <c r="E13" s="186">
        <v>4.96</v>
      </c>
      <c r="F13" s="187">
        <v>0.81200000000000006</v>
      </c>
      <c r="G13" s="186">
        <v>6.93</v>
      </c>
      <c r="H13" s="187">
        <v>0.82</v>
      </c>
      <c r="I13" s="186">
        <v>8.9</v>
      </c>
      <c r="J13" s="187">
        <v>0.82199999999999995</v>
      </c>
      <c r="K13" s="186">
        <v>11.9</v>
      </c>
      <c r="L13" s="187">
        <v>0.82299999999999995</v>
      </c>
      <c r="M13" s="186">
        <v>14.92</v>
      </c>
      <c r="N13" s="187">
        <v>0.82499999999999996</v>
      </c>
      <c r="O13" s="186">
        <v>19.95</v>
      </c>
      <c r="P13" s="187">
        <v>0.82499999999999996</v>
      </c>
      <c r="Q13" s="186">
        <v>29.92</v>
      </c>
      <c r="R13" s="187">
        <v>0.82699999999999996</v>
      </c>
      <c r="S13" s="186">
        <v>37.409999999999997</v>
      </c>
      <c r="T13" s="187">
        <v>0.82899999999999996</v>
      </c>
      <c r="V13" s="755"/>
      <c r="W13" s="755"/>
      <c r="X13" s="755"/>
      <c r="Y13" s="755"/>
    </row>
    <row r="14" spans="1:26" s="193" customFormat="1" ht="21.95" customHeight="1">
      <c r="A14" s="189" t="s">
        <v>304</v>
      </c>
      <c r="B14" s="209" t="s">
        <v>305</v>
      </c>
      <c r="C14" s="206">
        <v>120</v>
      </c>
      <c r="D14" s="190" t="s">
        <v>297</v>
      </c>
      <c r="E14" s="191">
        <v>4.96</v>
      </c>
      <c r="F14" s="192">
        <v>0.81</v>
      </c>
      <c r="G14" s="191">
        <v>6.93</v>
      </c>
      <c r="H14" s="192">
        <v>0.81499999999999995</v>
      </c>
      <c r="I14" s="191">
        <v>8.92</v>
      </c>
      <c r="J14" s="192">
        <v>0.81699999999999995</v>
      </c>
      <c r="K14" s="191">
        <v>11.92</v>
      </c>
      <c r="L14" s="192">
        <v>0.81699999999999995</v>
      </c>
      <c r="M14" s="191">
        <v>14.91</v>
      </c>
      <c r="N14" s="192">
        <v>0.81599999999999995</v>
      </c>
      <c r="O14" s="191">
        <v>19.940000000000001</v>
      </c>
      <c r="P14" s="192">
        <v>0.81699999999999995</v>
      </c>
      <c r="Q14" s="191">
        <v>29.92</v>
      </c>
      <c r="R14" s="192">
        <v>0.81599999999999995</v>
      </c>
      <c r="S14" s="191">
        <v>37.43</v>
      </c>
      <c r="T14" s="192">
        <v>0.81699999999999995</v>
      </c>
      <c r="V14" s="176"/>
      <c r="W14" s="176"/>
      <c r="X14" s="176"/>
      <c r="Y14" s="176"/>
    </row>
    <row r="15" spans="1:26" s="193" customFormat="1" ht="21.95" customHeight="1">
      <c r="A15" s="189" t="s">
        <v>306</v>
      </c>
      <c r="B15" s="209" t="s">
        <v>305</v>
      </c>
      <c r="C15" s="206">
        <v>170</v>
      </c>
      <c r="D15" s="190" t="s">
        <v>297</v>
      </c>
      <c r="E15" s="191">
        <v>4.96</v>
      </c>
      <c r="F15" s="192">
        <v>0.81299999999999994</v>
      </c>
      <c r="G15" s="191">
        <v>6.92</v>
      </c>
      <c r="H15" s="192">
        <v>0.81799999999999995</v>
      </c>
      <c r="I15" s="191">
        <v>8.92</v>
      </c>
      <c r="J15" s="192">
        <v>0.82</v>
      </c>
      <c r="K15" s="191">
        <v>11.91</v>
      </c>
      <c r="L15" s="192">
        <v>0.82</v>
      </c>
      <c r="M15" s="191">
        <v>14.92</v>
      </c>
      <c r="N15" s="192">
        <v>0.82099999999999995</v>
      </c>
      <c r="O15" s="191">
        <v>19.95</v>
      </c>
      <c r="P15" s="192">
        <v>0.82099999999999995</v>
      </c>
      <c r="Q15" s="191">
        <v>29.95</v>
      </c>
      <c r="R15" s="192">
        <v>0.82099999999999995</v>
      </c>
      <c r="S15" s="191">
        <v>37.42</v>
      </c>
      <c r="T15" s="192">
        <v>0.82099999999999995</v>
      </c>
      <c r="V15" s="213"/>
      <c r="W15" s="176"/>
      <c r="X15" s="176"/>
      <c r="Y15" s="176"/>
    </row>
    <row r="16" spans="1:26" s="193" customFormat="1" ht="21.95" customHeight="1">
      <c r="A16" s="189" t="s">
        <v>307</v>
      </c>
      <c r="B16" s="209" t="s">
        <v>305</v>
      </c>
      <c r="C16" s="206">
        <v>315</v>
      </c>
      <c r="D16" s="190" t="s">
        <v>297</v>
      </c>
      <c r="E16" s="191">
        <v>4.96</v>
      </c>
      <c r="F16" s="192">
        <v>0.80800000000000005</v>
      </c>
      <c r="G16" s="191">
        <v>6.91</v>
      </c>
      <c r="H16" s="192">
        <v>0.81399999999999995</v>
      </c>
      <c r="I16" s="191">
        <v>8.91</v>
      </c>
      <c r="J16" s="192">
        <v>0.81699999999999995</v>
      </c>
      <c r="K16" s="191">
        <v>11.9</v>
      </c>
      <c r="L16" s="192">
        <v>0.81799999999999995</v>
      </c>
      <c r="M16" s="191">
        <v>14.92</v>
      </c>
      <c r="N16" s="192">
        <v>0.81799999999999995</v>
      </c>
      <c r="O16" s="191">
        <v>19.93</v>
      </c>
      <c r="P16" s="192">
        <v>0.81799999999999995</v>
      </c>
      <c r="Q16" s="191">
        <v>29.89</v>
      </c>
      <c r="R16" s="192">
        <v>0.81699999999999995</v>
      </c>
      <c r="S16" s="191">
        <v>37.409999999999997</v>
      </c>
      <c r="T16" s="192">
        <v>0.81899999999999995</v>
      </c>
      <c r="V16" s="176"/>
      <c r="W16" s="176"/>
      <c r="X16" s="176"/>
      <c r="Y16" s="176"/>
    </row>
    <row r="17" spans="2:25">
      <c r="V17" s="213"/>
      <c r="W17" s="176"/>
      <c r="X17" s="176"/>
      <c r="Y17" s="176"/>
    </row>
    <row r="18" spans="2:25">
      <c r="V18" s="176"/>
      <c r="W18" s="176"/>
      <c r="X18" s="176"/>
      <c r="Y18" s="176"/>
    </row>
    <row r="19" spans="2:25">
      <c r="V19" s="176"/>
      <c r="W19" s="176"/>
      <c r="X19" s="176"/>
      <c r="Y19" s="176"/>
    </row>
    <row r="20" spans="2:25">
      <c r="V20" s="176"/>
      <c r="W20" s="176"/>
      <c r="X20" s="176"/>
      <c r="Y20" s="176"/>
    </row>
    <row r="21" spans="2:25">
      <c r="V21" s="176"/>
      <c r="W21" s="176"/>
      <c r="X21" s="176"/>
      <c r="Y21" s="176"/>
    </row>
    <row r="22" spans="2:25">
      <c r="V22" s="176"/>
      <c r="W22" s="176"/>
      <c r="X22" s="176"/>
      <c r="Y22" s="176"/>
    </row>
    <row r="23" spans="2:25">
      <c r="B23" s="757"/>
      <c r="C23" s="757"/>
      <c r="D23" s="757"/>
      <c r="E23" s="757"/>
    </row>
    <row r="24" spans="2:25">
      <c r="B24" s="755"/>
      <c r="C24" s="755"/>
      <c r="D24" s="755"/>
      <c r="E24" s="755"/>
    </row>
    <row r="25" spans="2:25">
      <c r="B25" s="756"/>
      <c r="C25" s="756"/>
      <c r="D25" s="755"/>
      <c r="E25" s="755"/>
    </row>
    <row r="26" spans="2:25">
      <c r="B26" s="176"/>
      <c r="C26" s="213"/>
      <c r="D26" s="176"/>
      <c r="E26" s="176"/>
    </row>
    <row r="27" spans="2:25">
      <c r="B27" s="176"/>
      <c r="C27" s="213"/>
      <c r="D27" s="176"/>
      <c r="E27" s="176"/>
    </row>
    <row r="28" spans="2:25">
      <c r="B28" s="176"/>
      <c r="C28" s="213"/>
      <c r="D28" s="176"/>
      <c r="E28" s="176"/>
    </row>
    <row r="29" spans="2:25">
      <c r="B29" s="176"/>
      <c r="C29" s="213"/>
      <c r="D29" s="176"/>
      <c r="E29" s="176"/>
    </row>
    <row r="30" spans="2:25">
      <c r="B30" s="176"/>
      <c r="C30" s="213"/>
      <c r="D30" s="176"/>
      <c r="E30" s="176"/>
    </row>
    <row r="31" spans="2:25">
      <c r="B31" s="176"/>
      <c r="C31" s="213"/>
      <c r="D31" s="176"/>
      <c r="E31" s="176"/>
    </row>
    <row r="32" spans="2:25">
      <c r="B32" s="176"/>
      <c r="C32" s="213"/>
      <c r="D32" s="176"/>
      <c r="E32" s="176"/>
    </row>
    <row r="33" spans="2:5">
      <c r="B33" s="176"/>
      <c r="C33" s="213"/>
      <c r="D33" s="176"/>
      <c r="E33" s="176"/>
    </row>
    <row r="34" spans="2:5">
      <c r="B34" s="755"/>
      <c r="C34" s="755"/>
      <c r="D34" s="755"/>
      <c r="E34" s="755"/>
    </row>
    <row r="35" spans="2:5">
      <c r="B35" s="176"/>
      <c r="C35" s="176"/>
      <c r="D35" s="176"/>
      <c r="E35" s="176"/>
    </row>
    <row r="36" spans="2:5">
      <c r="B36" s="213"/>
      <c r="C36" s="176"/>
      <c r="D36" s="176"/>
      <c r="E36" s="176"/>
    </row>
    <row r="37" spans="2:5">
      <c r="B37" s="176"/>
      <c r="C37" s="176"/>
      <c r="D37" s="176"/>
      <c r="E37" s="176"/>
    </row>
    <row r="38" spans="2:5">
      <c r="B38" s="213"/>
      <c r="C38" s="176"/>
      <c r="D38" s="176"/>
      <c r="E38" s="176"/>
    </row>
    <row r="39" spans="2:5">
      <c r="B39" s="176"/>
      <c r="C39" s="176"/>
      <c r="D39" s="176"/>
      <c r="E39" s="176"/>
    </row>
    <row r="40" spans="2:5">
      <c r="B40" s="176"/>
      <c r="C40" s="176"/>
      <c r="D40" s="176"/>
      <c r="E40" s="176"/>
    </row>
    <row r="41" spans="2:5">
      <c r="B41" s="176"/>
      <c r="C41" s="176"/>
      <c r="D41" s="176"/>
      <c r="E41" s="176"/>
    </row>
    <row r="42" spans="2:5">
      <c r="B42" s="176"/>
      <c r="C42" s="176"/>
      <c r="D42" s="176"/>
      <c r="E42" s="176"/>
    </row>
    <row r="43" spans="2:5">
      <c r="B43" s="176"/>
      <c r="C43" s="176"/>
      <c r="D43" s="176"/>
      <c r="E43" s="176"/>
    </row>
  </sheetData>
  <mergeCells count="14">
    <mergeCell ref="B23:E23"/>
    <mergeCell ref="V2:Y2"/>
    <mergeCell ref="V3:W3"/>
    <mergeCell ref="X3:Y3"/>
    <mergeCell ref="V4:W4"/>
    <mergeCell ref="X4:Y4"/>
    <mergeCell ref="V13:W13"/>
    <mergeCell ref="X13:Y13"/>
    <mergeCell ref="B24:C24"/>
    <mergeCell ref="D24:E24"/>
    <mergeCell ref="B25:C25"/>
    <mergeCell ref="D25:E25"/>
    <mergeCell ref="B34:C34"/>
    <mergeCell ref="D34:E34"/>
  </mergeCells>
  <phoneticPr fontId="3" type="noConversion"/>
  <dataValidations count="1">
    <dataValidation type="list" allowBlank="1" showInputMessage="1" showErrorMessage="1" sqref="V13" xr:uid="{A1737B36-94F7-451E-AA32-E2D03DDB3802}">
      <formula1>$C$4:$C$10</formula1>
    </dataValidation>
  </dataValidations>
  <pageMargins left="0.75" right="0.75" top="1" bottom="1" header="0.5" footer="0.5"/>
  <pageSetup paperSize="9" scale="61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581B2-4ECC-4E7C-846C-2192B336F0F4}">
  <sheetPr codeName="Sheet11"/>
  <dimension ref="B1:X40"/>
  <sheetViews>
    <sheetView zoomScale="130" zoomScaleNormal="130" workbookViewId="0">
      <selection activeCell="B1" sqref="B1:E1"/>
    </sheetView>
  </sheetViews>
  <sheetFormatPr defaultColWidth="8.88671875" defaultRowHeight="16.5"/>
  <cols>
    <col min="1" max="1" width="8.88671875" style="360"/>
    <col min="2" max="6" width="16.6640625" style="360" customWidth="1"/>
    <col min="7" max="25" width="8.88671875" style="360"/>
    <col min="26" max="26" width="10.109375" style="360" bestFit="1" customWidth="1"/>
    <col min="27" max="16384" width="8.88671875" style="360"/>
  </cols>
  <sheetData>
    <row r="1" spans="2:24" ht="17.25" thickBot="1">
      <c r="B1" s="758" t="str">
        <f>IF(ISNUMBER(SEARCH("수은",표지!$A$10)),"수은",IF(ISNUMBER(SEARCH("PAH",표지!$A$10)),"PAHs",IF(OR(ISNUMBER(SEARCH("유량",표지!$A$10)),ISNUMBER(SEARCH("먼지",표지!$A$10)),ISNUMBER(SEARCH("금속",표지!$A$10))),"입자","")))</f>
        <v>입자</v>
      </c>
      <c r="C1" s="759"/>
      <c r="D1" s="759"/>
      <c r="E1" s="760"/>
      <c r="F1" s="221"/>
    </row>
    <row r="2" spans="2:24">
      <c r="B2" s="371" t="s">
        <v>322</v>
      </c>
      <c r="C2" s="379" t="s">
        <v>323</v>
      </c>
      <c r="D2" s="376" t="s">
        <v>324</v>
      </c>
      <c r="E2" s="375" t="str">
        <f>노즐산정!$C$8</f>
        <v>YNJ0412</v>
      </c>
    </row>
    <row r="3" spans="2:24">
      <c r="B3" s="363" t="str">
        <f>IFERROR(INDEX(피토!$A$2:$A$100,_xlfn.AGGREGATE(15,6,(ROW(피토!$A$2:$A$100)-ROW(피토!$A$2)+1)/(TRIM(피토!$B$2:$B$100)=TRIM($B$1)),ROWS($B$3:B3))),"")</f>
        <v>YNJ0412</v>
      </c>
      <c r="C3" s="372">
        <f>IF($B3="","",INDEX(피토!$C$2:$C$100,MATCH($B3,피토!$A$2:$A$100,0)))</f>
        <v>65</v>
      </c>
      <c r="D3" s="377" t="s">
        <v>325</v>
      </c>
      <c r="E3" s="361">
        <f>IF($E$2="","",IFERROR(INDEX(피토!$C$2:$C$100,MATCH($E$2,피토!$A$2:$A$100,0)),""))</f>
        <v>65</v>
      </c>
    </row>
    <row r="4" spans="2:24">
      <c r="B4" s="363" t="str">
        <f>IFERROR(INDEX(피토!$A$2:$A$100,_xlfn.AGGREGATE(15,6,(ROW(피토!$A$2:$A$100)-ROW(피토!$A$2)+1)/(TRIM(피토!$B$2:$B$100)=TRIM($B$1)),ROWS($B$3:B4))),"")</f>
        <v>GNT-TECH 525</v>
      </c>
      <c r="C4" s="372">
        <f>IF($B4="","",INDEX(피토!$C$2:$C$100,MATCH($B4,피토!$A$2:$A$100,0)))</f>
        <v>125</v>
      </c>
      <c r="D4" s="377" t="s">
        <v>326</v>
      </c>
      <c r="E4" s="361" t="str">
        <f>IF($E$2="","",IFERROR(INDEX(피토!$B$2:$B$100,MATCH($E$2,피토!$A$2:$A$100,0)),""))</f>
        <v>입자</v>
      </c>
    </row>
    <row r="5" spans="2:24" ht="17.25" thickBot="1">
      <c r="B5" s="363" t="str">
        <f>IFERROR(INDEX(피토!$A$2:$A$100,_xlfn.AGGREGATE(15,6,(ROW(피토!$A$2:$A$100)-ROW(피토!$A$2)+1)/(TRIM(피토!$B$2:$B$100)=TRIM($B$1)),ROWS($B$3:B5))),"")</f>
        <v>GNT-TECH 528</v>
      </c>
      <c r="C5" s="372">
        <f>IF($B5="","",INDEX(피토!$C$2:$C$100,MATCH($B5,피토!$A$2:$A$100,0)))</f>
        <v>125</v>
      </c>
      <c r="D5" s="378" t="s">
        <v>272</v>
      </c>
      <c r="E5" s="224" t="str">
        <f>IF($E$2="","",IFERROR(INDEX(피토!$D$2:$D$100,MATCH($E$2,피토!$A$2:$A$100,0)),""))</f>
        <v>2026-01-20</v>
      </c>
    </row>
    <row r="6" spans="2:24">
      <c r="B6" s="363" t="str">
        <f>IFERROR(INDEX(피토!$A$2:$A$100,_xlfn.AGGREGATE(15,6,(ROW(피토!$A$2:$A$100)-ROW(피토!$A$2)+1)/(TRIM(피토!$B$2:$B$100)=TRIM($B$1)),ROWS($B$3:B6))),"")</f>
        <v>GNT-TECH 621</v>
      </c>
      <c r="C6" s="372">
        <f>IF($B6="","",INDEX(피토!$C$2:$C$100,MATCH($B6,피토!$A$2:$A$100,0)))</f>
        <v>125</v>
      </c>
    </row>
    <row r="7" spans="2:24">
      <c r="B7" s="363" t="str">
        <f>IFERROR(INDEX(피토!$A$2:$A$100,_xlfn.AGGREGATE(15,6,(ROW(피토!$A$2:$A$100)-ROW(피토!$A$2)+1)/(TRIM(피토!$B$2:$B$100)=TRIM($B$1)),ROWS($B$3:B7))),"")</f>
        <v>YNJ0022</v>
      </c>
      <c r="C7" s="372">
        <f>IF($B7="","",INDEX(피토!$C$2:$C$100,MATCH($B7,피토!$A$2:$A$100,0)))</f>
        <v>230</v>
      </c>
    </row>
    <row r="8" spans="2:24">
      <c r="B8" s="363" t="str">
        <f>IFERROR(INDEX(피토!$A$2:$A$100,_xlfn.AGGREGATE(15,6,(ROW(피토!$A$2:$A$100)-ROW(피토!$A$2)+1)/(TRIM(피토!$B$2:$B$100)=TRIM($B$1)),ROWS($B$3:B8))),"")</f>
        <v>YNJ0854</v>
      </c>
      <c r="C8" s="372">
        <f>IF($B8="","",INDEX(피토!$C$2:$C$100,MATCH($B8,피토!$A$2:$A$100,0)))</f>
        <v>235</v>
      </c>
    </row>
    <row r="9" spans="2:24">
      <c r="B9" s="363" t="str">
        <f>IFERROR(INDEX(피토!$A$2:$A$100,_xlfn.AGGREGATE(15,6,(ROW(피토!$A$2:$A$100)-ROW(피토!$A$2)+1)/(TRIM(피토!$B$2:$B$100)=TRIM($B$1)),ROWS($B$3:B9))),"")</f>
        <v>YNJ0046</v>
      </c>
      <c r="C9" s="372">
        <f>IF($B9="","",INDEX(피토!$C$2:$C$100,MATCH($B9,피토!$A$2:$A$100,0)))</f>
        <v>295</v>
      </c>
    </row>
    <row r="10" spans="2:24">
      <c r="B10" s="363" t="str">
        <f>IFERROR(INDEX(피토!$A$2:$A$100,_xlfn.AGGREGATE(15,6,(ROW(피토!$A$2:$A$100)-ROW(피토!$A$2)+1)/(TRIM(피토!$B$2:$B$100)=TRIM($B$1)),ROWS($B$3:B10))),"")</f>
        <v/>
      </c>
      <c r="C10" s="372" t="str">
        <f>IF($B10="","",INDEX(피토!$C$2:$C$100,MATCH($B10,피토!$A$2:$A$100,0)))</f>
        <v/>
      </c>
    </row>
    <row r="11" spans="2:24">
      <c r="B11" s="363" t="str">
        <f>IFERROR(INDEX(피토!$A$2:$A$100,_xlfn.AGGREGATE(15,6,(ROW(피토!$A$2:$A$100)-ROW(피토!$A$2)+1)/(TRIM(피토!$B$2:$B$100)=TRIM($B$1)),ROWS($B$3:B11))),"")</f>
        <v/>
      </c>
      <c r="C11" s="372" t="str">
        <f>IF($B11="","",INDEX(피토!$C$2:$C$100,MATCH($B11,피토!$A$2:$A$100,0)))</f>
        <v/>
      </c>
    </row>
    <row r="12" spans="2:24">
      <c r="B12" s="363" t="str">
        <f>IFERROR(INDEX(피토!$A$2:$A$100,_xlfn.AGGREGATE(15,6,(ROW(피토!$A$2:$A$100)-ROW(피토!$A$2)+1)/(TRIM(피토!$B$2:$B$100)=TRIM($B$1)),ROWS($B$3:B12))),"")</f>
        <v/>
      </c>
      <c r="C12" s="372" t="str">
        <f>IF($B12="","",INDEX(피토!$C$2:$C$100,MATCH($B12,피토!$A$2:$A$100,0)))</f>
        <v/>
      </c>
    </row>
    <row r="13" spans="2:24">
      <c r="B13" s="363" t="str">
        <f>IFERROR(INDEX(피토!$A$2:$A$100,_xlfn.AGGREGATE(15,6,(ROW(피토!$A$2:$A$100)-ROW(피토!$A$2)+1)/(TRIM(피토!$B$2:$B$100)=TRIM($B$1)),ROWS($B$3:B13))),"")</f>
        <v/>
      </c>
      <c r="C13" s="372" t="str">
        <f>IF($B13="","",INDEX(피토!$C$2:$C$100,MATCH($B13,피토!$A$2:$A$100,0)))</f>
        <v/>
      </c>
    </row>
    <row r="14" spans="2:24">
      <c r="B14" s="363" t="str">
        <f>IFERROR(INDEX(피토!$A$2:$A$100,_xlfn.AGGREGATE(15,6,(ROW(피토!$A$2:$A$100)-ROW(피토!$A$2)+1)/(TRIM(피토!$B$2:$B$100)=TRIM($B$1)),ROWS($B$3:B14))),"")</f>
        <v/>
      </c>
      <c r="C14" s="372" t="str">
        <f>IF($B14="","",INDEX(피토!$C$2:$C$100,MATCH($B14,피토!$A$2:$A$100,0)))</f>
        <v/>
      </c>
    </row>
    <row r="15" spans="2:24">
      <c r="B15" s="363" t="str">
        <f>IFERROR(INDEX(피토!$A$2:$A$100,_xlfn.AGGREGATE(15,6,(ROW(피토!$A$2:$A$100)-ROW(피토!$A$2)+1)/(TRIM(피토!$B$2:$B$100)=TRIM($B$1)),ROWS($B$3:B15))),"")</f>
        <v/>
      </c>
      <c r="C15" s="372" t="str">
        <f>IF($B15="","",INDEX(피토!$C$2:$C$100,MATCH($B15,피토!$A$2:$A$100,0)))</f>
        <v/>
      </c>
    </row>
    <row r="16" spans="2:24">
      <c r="B16" s="362" t="s">
        <v>327</v>
      </c>
      <c r="C16" s="373" t="str">
        <f>IF($E$2="","",$E$2)</f>
        <v>YNJ0412</v>
      </c>
      <c r="X16" s="214"/>
    </row>
    <row r="17" spans="2:5">
      <c r="B17" s="362" t="s">
        <v>331</v>
      </c>
      <c r="C17" s="373" t="s">
        <v>328</v>
      </c>
    </row>
    <row r="18" spans="2:5">
      <c r="B18" s="222">
        <f>IF($E$2="","",INDEX(피토!$E$2:$E$100,MATCH($E$2,피토!$A$2:$A$100,0)))</f>
        <v>4.95</v>
      </c>
      <c r="C18" s="373">
        <f>IF($E$2="","",INDEX(피토!$F$2:$F$100,MATCH($E$2,피토!$A$2:$A$100,0)))</f>
        <v>0.81599999999999995</v>
      </c>
    </row>
    <row r="19" spans="2:5">
      <c r="B19" s="362">
        <f>IF($E$2="","",INDEX(피토!$G$2:$G$100,MATCH($E$2,피토!$A$2:$A$100,0)))</f>
        <v>6.92</v>
      </c>
      <c r="C19" s="373">
        <f>IF($E$2="","",INDEX(피토!$H$2:$H$100,MATCH($E$2,피토!$A$2:$A$100,0)))</f>
        <v>0.82099999999999995</v>
      </c>
    </row>
    <row r="20" spans="2:5">
      <c r="B20" s="222">
        <f>IF($E$2="","",INDEX(피토!$I$2:$I$100,MATCH($E$2,피토!$A$2:$A$100,0)))</f>
        <v>8.91</v>
      </c>
      <c r="C20" s="373">
        <f>IF($E$2="","",INDEX(피토!$J$2:$J$100,MATCH($E$2,피토!$A$2:$A$100,0)))</f>
        <v>0.82199999999999995</v>
      </c>
    </row>
    <row r="21" spans="2:5">
      <c r="B21" s="362">
        <f>IF($E$2="","",INDEX(피토!$K$2:$K$100,MATCH($E$2,피토!$A$2:$A$100,0)))</f>
        <v>11.92</v>
      </c>
      <c r="C21" s="373">
        <f>IF($E$2="","",INDEX(피토!$L$2:$L$100,MATCH($E$2,피토!$A$2:$A$100,0)))</f>
        <v>0.82199999999999995</v>
      </c>
    </row>
    <row r="22" spans="2:5">
      <c r="B22" s="362">
        <f>IF($E$2="","",INDEX(피토!$M$2:$M$100,MATCH($E$2,피토!$A$2:$A$100,0)))</f>
        <v>14.93</v>
      </c>
      <c r="C22" s="373">
        <f>IF($E$2="","",INDEX(피토!$N$2:$N$100,MATCH($E$2,피토!$A$2:$A$100,0)))</f>
        <v>0.82299999999999995</v>
      </c>
    </row>
    <row r="23" spans="2:5">
      <c r="B23" s="362">
        <f>IF($E$2="","",INDEX(피토!$O$2:$O$100,MATCH($E$2,피토!$A$2:$A$100,0)))</f>
        <v>19.95</v>
      </c>
      <c r="C23" s="373">
        <f>IF($E$2="","",INDEX(피토!$P$2:$P$100,MATCH($E$2,피토!$A$2:$A$100,0)))</f>
        <v>0.82399999999999995</v>
      </c>
    </row>
    <row r="24" spans="2:5">
      <c r="B24" s="362">
        <f>IF($E$2="","",INDEX(피토!$Q$2:$Q$100,MATCH($E$2,피토!$A$2:$A$100,0)))</f>
        <v>29.94</v>
      </c>
      <c r="C24" s="373">
        <f>IF($E$2="","",INDEX(피토!$R$2:$R$100,MATCH($E$2,피토!$A$2:$A$100,0)))</f>
        <v>0.82299999999999995</v>
      </c>
    </row>
    <row r="25" spans="2:5" ht="17.25" thickBot="1">
      <c r="B25" s="223">
        <f>IF($E$2="","",INDEX(피토!$S$2:$S$100,MATCH($E$2,피토!$A$2:$A$100,0)))</f>
        <v>37.39</v>
      </c>
      <c r="C25" s="374">
        <f>IF($E$2="","",INDEX(피토!$T$2:$T$100,MATCH($E$2,피토!$A$2:$A$100,0)))</f>
        <v>0.82399999999999995</v>
      </c>
    </row>
    <row r="26" spans="2:5">
      <c r="B26"/>
      <c r="C26"/>
      <c r="D26"/>
      <c r="E26"/>
    </row>
    <row r="27" spans="2:5">
      <c r="B27"/>
      <c r="C27"/>
      <c r="D27"/>
      <c r="E27"/>
    </row>
    <row r="28" spans="2:5">
      <c r="B28"/>
      <c r="C28"/>
      <c r="D28"/>
      <c r="E28"/>
    </row>
    <row r="29" spans="2:5">
      <c r="B29"/>
      <c r="C29"/>
      <c r="D29"/>
      <c r="E29"/>
    </row>
    <row r="30" spans="2:5">
      <c r="B30"/>
      <c r="C30"/>
      <c r="D30"/>
      <c r="E30"/>
    </row>
    <row r="31" spans="2:5">
      <c r="B31"/>
      <c r="C31"/>
      <c r="D31"/>
      <c r="E31"/>
    </row>
    <row r="32" spans="2:5">
      <c r="B32"/>
      <c r="C32"/>
      <c r="D32"/>
      <c r="E32"/>
    </row>
    <row r="33" spans="2:5">
      <c r="B33"/>
      <c r="C33"/>
      <c r="D33"/>
      <c r="E33"/>
    </row>
    <row r="34" spans="2:5">
      <c r="B34"/>
      <c r="C34"/>
      <c r="D34"/>
      <c r="E34"/>
    </row>
    <row r="35" spans="2:5">
      <c r="B35"/>
      <c r="C35"/>
      <c r="D35"/>
      <c r="E35"/>
    </row>
    <row r="36" spans="2:5">
      <c r="B36"/>
      <c r="C36"/>
      <c r="D36"/>
      <c r="E36"/>
    </row>
    <row r="37" spans="2:5">
      <c r="B37"/>
      <c r="C37"/>
      <c r="D37"/>
      <c r="E37"/>
    </row>
    <row r="38" spans="2:5">
      <c r="B38"/>
      <c r="C38"/>
      <c r="D38"/>
      <c r="E38"/>
    </row>
    <row r="39" spans="2:5">
      <c r="B39"/>
      <c r="C39"/>
      <c r="D39"/>
      <c r="E39"/>
    </row>
    <row r="40" spans="2:5">
      <c r="B40"/>
      <c r="C40"/>
      <c r="D40"/>
      <c r="E40"/>
    </row>
  </sheetData>
  <mergeCells count="1">
    <mergeCell ref="B1:E1"/>
  </mergeCells>
  <phoneticPr fontId="3" type="noConversion"/>
  <dataValidations count="1">
    <dataValidation type="list" allowBlank="1" showInputMessage="1" showErrorMessage="1" sqref="B16" xr:uid="{E19EDF45-3094-44DD-995C-10D7DAA95FCD}">
      <formula1>$C$8:$C$14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254E-7731-4CE8-90AC-840C9A4AE837}">
  <sheetPr codeName="Sheet12"/>
  <dimension ref="A1"/>
  <sheetViews>
    <sheetView workbookViewId="0">
      <selection sqref="A1:H1"/>
    </sheetView>
  </sheetViews>
  <sheetFormatPr defaultRowHeight="13.5"/>
  <cols>
    <col min="1" max="6" width="29.5546875" customWidth="1"/>
  </cols>
  <sheetData>
    <row r="1" ht="199.5" customHeight="1"/>
  </sheetData>
  <phoneticPr fontId="3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38</vt:i4>
      </vt:variant>
    </vt:vector>
  </HeadingPairs>
  <TitlesOfParts>
    <vt:vector size="50" baseType="lpstr">
      <vt:lpstr>표지</vt:lpstr>
      <vt:lpstr>누출시험</vt:lpstr>
      <vt:lpstr>시료측정위치</vt:lpstr>
      <vt:lpstr>수분량</vt:lpstr>
      <vt:lpstr>연소가스자료</vt:lpstr>
      <vt:lpstr>노즐산정</vt:lpstr>
      <vt:lpstr>기록지(수분량자동측정기)</vt:lpstr>
      <vt:lpstr>계산식</vt:lpstr>
      <vt:lpstr>먼지측정결과보고서</vt:lpstr>
      <vt:lpstr>피토</vt:lpstr>
      <vt:lpstr>피토계산</vt:lpstr>
      <vt:lpstr>지점 사진</vt:lpstr>
      <vt:lpstr>△Hm</vt:lpstr>
      <vt:lpstr>A</vt:lpstr>
      <vt:lpstr>Ca</vt:lpstr>
      <vt:lpstr>COO</vt:lpstr>
      <vt:lpstr>Cp</vt:lpstr>
      <vt:lpstr>D</vt:lpstr>
      <vt:lpstr>DC</vt:lpstr>
      <vt:lpstr>Dn</vt:lpstr>
      <vt:lpstr>I</vt:lpstr>
      <vt:lpstr>m</vt:lpstr>
      <vt:lpstr>Oa</vt:lpstr>
      <vt:lpstr>Os</vt:lpstr>
      <vt:lpstr>Pa</vt:lpstr>
      <vt:lpstr>Pas</vt:lpstr>
      <vt:lpstr>계산식!Print_Area</vt:lpstr>
      <vt:lpstr>'기록지(수분량자동측정기)'!Print_Area</vt:lpstr>
      <vt:lpstr>노즐산정!Print_Area</vt:lpstr>
      <vt:lpstr>누출시험!Print_Area</vt:lpstr>
      <vt:lpstr>시료측정위치!Print_Area</vt:lpstr>
      <vt:lpstr>연소가스자료!Print_Area</vt:lpstr>
      <vt:lpstr>표지!Print_Area</vt:lpstr>
      <vt:lpstr>피토!Print_Area</vt:lpstr>
      <vt:lpstr>연소가스자료!Print_Titles</vt:lpstr>
      <vt:lpstr>Ps</vt:lpstr>
      <vt:lpstr>Q</vt:lpstr>
      <vt:lpstr>Qa</vt:lpstr>
      <vt:lpstr>rr</vt:lpstr>
      <vt:lpstr>Ve</vt:lpstr>
      <vt:lpstr>Vic</vt:lpstr>
      <vt:lpstr>We</vt:lpstr>
      <vt:lpstr>Ws</vt:lpstr>
      <vt:lpstr>Xw</vt:lpstr>
      <vt:lpstr>지점0</vt:lpstr>
      <vt:lpstr>지점1</vt:lpstr>
      <vt:lpstr>지점2</vt:lpstr>
      <vt:lpstr>지점3</vt:lpstr>
      <vt:lpstr>지점4</vt:lpstr>
      <vt:lpstr>지점5</vt:lpstr>
    </vt:vector>
  </TitlesOfParts>
  <Company>경기도보건환경연구원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업무망</dc:creator>
  <cp:lastModifiedBy>업무망</cp:lastModifiedBy>
  <cp:lastPrinted>2026-06-22T09:37:28Z</cp:lastPrinted>
  <dcterms:created xsi:type="dcterms:W3CDTF">2006-06-21T07:36:58Z</dcterms:created>
  <dcterms:modified xsi:type="dcterms:W3CDTF">2026-08-10T07:10:38Z</dcterms:modified>
</cp:coreProperties>
</file>