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0515" windowHeight="4680"/>
  </bookViews>
  <sheets>
    <sheet name="budget" sheetId="2" r:id="rId1"/>
    <sheet name="cash" sheetId="3" r:id="rId2"/>
    <sheet name="Sheet1" sheetId="4" r:id="rId3"/>
  </sheets>
  <calcPr calcId="125725"/>
</workbook>
</file>

<file path=xl/calcChain.xml><?xml version="1.0" encoding="utf-8"?>
<calcChain xmlns="http://schemas.openxmlformats.org/spreadsheetml/2006/main">
  <c r="E73" i="2"/>
  <c r="K13"/>
  <c r="J13"/>
  <c r="I13"/>
  <c r="G13"/>
  <c r="J10"/>
  <c r="G8"/>
  <c r="J34"/>
  <c r="K76"/>
  <c r="I76"/>
  <c r="J76"/>
  <c r="J40" l="1"/>
  <c r="J39"/>
  <c r="J38"/>
  <c r="K28" i="4"/>
  <c r="M26"/>
  <c r="L26"/>
  <c r="K26"/>
  <c r="J26"/>
  <c r="J37" i="2" l="1"/>
  <c r="G27"/>
  <c r="G84" l="1"/>
  <c r="G96"/>
  <c r="S15" i="4"/>
  <c r="M28"/>
  <c r="M30" s="1"/>
  <c r="L28"/>
  <c r="L30" s="1"/>
  <c r="K30"/>
  <c r="J28"/>
  <c r="J30" s="1"/>
  <c r="N30" l="1"/>
  <c r="I71" i="2" l="1"/>
  <c r="J71" s="1"/>
  <c r="G71"/>
  <c r="I102"/>
  <c r="J102" s="1"/>
  <c r="K102" s="1"/>
  <c r="G102"/>
  <c r="K71" l="1"/>
  <c r="J36"/>
  <c r="J35"/>
  <c r="I105" l="1"/>
  <c r="J105" s="1"/>
  <c r="K105" s="1"/>
  <c r="G105"/>
  <c r="G89"/>
  <c r="I89"/>
  <c r="J89" s="1"/>
  <c r="I47"/>
  <c r="J47" s="1"/>
  <c r="G47"/>
  <c r="K89" l="1"/>
  <c r="K47"/>
  <c r="K9" l="1"/>
  <c r="J9"/>
  <c r="G9"/>
  <c r="E82"/>
  <c r="M11" i="4"/>
  <c r="L7"/>
  <c r="M7" s="1"/>
  <c r="M5"/>
  <c r="L4"/>
  <c r="M4" s="1"/>
  <c r="L3"/>
  <c r="M3" s="1"/>
  <c r="E11"/>
  <c r="D11"/>
  <c r="C11"/>
  <c r="B11"/>
  <c r="B10"/>
  <c r="C10"/>
  <c r="D10"/>
  <c r="D9"/>
  <c r="D8"/>
  <c r="D7"/>
  <c r="D4"/>
  <c r="D3"/>
  <c r="C9"/>
  <c r="C3"/>
  <c r="E6" i="2"/>
  <c r="K57" l="1"/>
  <c r="J57"/>
  <c r="I57"/>
  <c r="G57"/>
  <c r="I84" l="1"/>
  <c r="J84" s="1"/>
  <c r="K84" s="1"/>
  <c r="A36" l="1"/>
  <c r="G70"/>
  <c r="I70" s="1"/>
  <c r="J70" l="1"/>
  <c r="K70" s="1"/>
  <c r="J19" l="1"/>
  <c r="K63"/>
  <c r="J63"/>
  <c r="I63"/>
  <c r="G63"/>
  <c r="C86" l="1"/>
  <c r="E84"/>
  <c r="B33" i="4"/>
  <c r="B32"/>
  <c r="H30"/>
  <c r="E27"/>
  <c r="C25"/>
  <c r="C26" s="1"/>
  <c r="E23"/>
  <c r="C20"/>
  <c r="C22" s="1"/>
  <c r="E39" i="2" l="1"/>
  <c r="E40"/>
  <c r="G40" s="1"/>
  <c r="I40" s="1"/>
  <c r="K40" s="1"/>
  <c r="L40" s="1"/>
  <c r="M40" s="1"/>
  <c r="E102"/>
  <c r="K106"/>
  <c r="J106"/>
  <c r="I106"/>
  <c r="G106"/>
  <c r="E36"/>
  <c r="G36" s="1"/>
  <c r="I36" s="1"/>
  <c r="K36" s="1"/>
  <c r="L36" s="1"/>
  <c r="M36" s="1"/>
  <c r="G39" l="1"/>
  <c r="I39" s="1"/>
  <c r="K39" s="1"/>
  <c r="J7"/>
  <c r="G7"/>
  <c r="L39" l="1"/>
  <c r="M39" s="1"/>
  <c r="J111"/>
  <c r="G21"/>
  <c r="G78" l="1"/>
  <c r="G13" i="4" l="1"/>
  <c r="I51" i="2"/>
  <c r="K51" l="1"/>
  <c r="J51"/>
  <c r="I99"/>
  <c r="G99"/>
  <c r="I108"/>
  <c r="J108" s="1"/>
  <c r="K108" s="1"/>
  <c r="J99" l="1"/>
  <c r="K99" s="1"/>
  <c r="E38"/>
  <c r="G38" s="1"/>
  <c r="I38" s="1"/>
  <c r="K38" s="1"/>
  <c r="L38" s="1"/>
  <c r="M38" s="1"/>
  <c r="I27"/>
  <c r="J27" s="1"/>
  <c r="K27" s="1"/>
  <c r="G5"/>
  <c r="G92" l="1"/>
  <c r="I92" s="1"/>
  <c r="I21"/>
  <c r="J92" l="1"/>
  <c r="K92" s="1"/>
  <c r="K21"/>
  <c r="J21"/>
  <c r="G98"/>
  <c r="I98" s="1"/>
  <c r="J98" s="1"/>
  <c r="E12" i="3"/>
  <c r="G100" i="2"/>
  <c r="I100" s="1"/>
  <c r="J100" s="1"/>
  <c r="K100" s="1"/>
  <c r="K98" l="1"/>
  <c r="D12" i="3"/>
  <c r="A69" i="2"/>
  <c r="G72"/>
  <c r="I72" s="1"/>
  <c r="G31"/>
  <c r="I31" s="1"/>
  <c r="J31" s="1"/>
  <c r="G113"/>
  <c r="I113" s="1"/>
  <c r="J113" s="1"/>
  <c r="K113" s="1"/>
  <c r="I96"/>
  <c r="I5"/>
  <c r="J5" s="1"/>
  <c r="D54"/>
  <c r="C54"/>
  <c r="C85"/>
  <c r="E85" s="1"/>
  <c r="I114"/>
  <c r="K114" s="1"/>
  <c r="I111"/>
  <c r="K111" s="1"/>
  <c r="J96" l="1"/>
  <c r="K96" s="1"/>
  <c r="J72"/>
  <c r="K72" s="1"/>
  <c r="K5"/>
  <c r="K31"/>
  <c r="G10"/>
  <c r="I10" s="1"/>
  <c r="I8"/>
  <c r="D19" i="3"/>
  <c r="D18"/>
  <c r="E16"/>
  <c r="E14"/>
  <c r="D16"/>
  <c r="K10" i="2" l="1"/>
  <c r="J8"/>
  <c r="K8" s="1"/>
  <c r="I19"/>
  <c r="K19" s="1"/>
  <c r="E53"/>
  <c r="E37"/>
  <c r="E34"/>
  <c r="G34" s="1"/>
  <c r="I34" s="1"/>
  <c r="K34" s="1"/>
  <c r="L34" s="1"/>
  <c r="M34" s="1"/>
  <c r="E35"/>
  <c r="G35" s="1"/>
  <c r="I35" s="1"/>
  <c r="K35" s="1"/>
  <c r="L35" s="1"/>
  <c r="M35" s="1"/>
  <c r="I7"/>
  <c r="K7" s="1"/>
  <c r="G37" l="1"/>
  <c r="I37" s="1"/>
  <c r="K37" s="1"/>
  <c r="A34"/>
  <c r="J119"/>
  <c r="J2" s="1"/>
  <c r="E1" s="1"/>
  <c r="H119"/>
  <c r="G119"/>
  <c r="E104"/>
  <c r="D79"/>
  <c r="E79" s="1"/>
  <c r="D80"/>
  <c r="E80" s="1"/>
  <c r="D78"/>
  <c r="E78" s="1"/>
  <c r="E59"/>
  <c r="D57"/>
  <c r="E57" s="1"/>
  <c r="D56"/>
  <c r="E56" s="1"/>
  <c r="A111"/>
  <c r="E107"/>
  <c r="E105"/>
  <c r="E103"/>
  <c r="E99"/>
  <c r="E98"/>
  <c r="C75"/>
  <c r="E75" s="1"/>
  <c r="C70"/>
  <c r="C71"/>
  <c r="E66"/>
  <c r="E64"/>
  <c r="E62"/>
  <c r="E52"/>
  <c r="E22"/>
  <c r="E18"/>
  <c r="E17"/>
  <c r="E16"/>
  <c r="E15"/>
  <c r="E14"/>
  <c r="E13"/>
  <c r="E9"/>
  <c r="I119" l="1"/>
  <c r="I2" s="1"/>
  <c r="L37"/>
  <c r="M37" s="1"/>
  <c r="B42"/>
  <c r="K119"/>
  <c r="K2" s="1"/>
  <c r="A14"/>
  <c r="A55"/>
  <c r="A6"/>
  <c r="G2"/>
  <c r="C1"/>
  <c r="A96"/>
  <c r="A104"/>
  <c r="A51"/>
  <c r="E76"/>
  <c r="E117" s="1"/>
  <c r="B1" l="1"/>
  <c r="G2" i="3" s="1"/>
  <c r="F12" l="1"/>
  <c r="I2" s="1"/>
</calcChain>
</file>

<file path=xl/comments1.xml><?xml version="1.0" encoding="utf-8"?>
<comments xmlns="http://schemas.openxmlformats.org/spreadsheetml/2006/main">
  <authors>
    <author>Raj</author>
  </authors>
  <commentList>
    <comment ref="J19" authorId="0">
      <text>
        <r>
          <rPr>
            <b/>
            <sz val="9"/>
            <color indexed="81"/>
            <rFont val="Tahoma"/>
            <charset val="1"/>
          </rPr>
          <t>Raj:</t>
        </r>
        <r>
          <rPr>
            <sz val="9"/>
            <color indexed="81"/>
            <rFont val="Tahoma"/>
            <charset val="1"/>
          </rPr>
          <t xml:space="preserve">
500 deposit, 10/29 1k cash, 11/24 500 cash, 11/25 500 cash, 1550 ck 21/3, $500 cash on 12/13 - final</t>
        </r>
      </text>
    </comment>
    <comment ref="G70" authorId="0">
      <text>
        <r>
          <rPr>
            <b/>
            <sz val="9"/>
            <color indexed="81"/>
            <rFont val="Tahoma"/>
            <charset val="1"/>
          </rPr>
          <t>Raj:</t>
        </r>
        <r>
          <rPr>
            <sz val="9"/>
            <color indexed="81"/>
            <rFont val="Tahoma"/>
            <charset val="1"/>
          </rPr>
          <t xml:space="preserve">
roc windows 12/12,</t>
        </r>
      </text>
    </comment>
  </commentList>
</comments>
</file>

<file path=xl/sharedStrings.xml><?xml version="1.0" encoding="utf-8"?>
<sst xmlns="http://schemas.openxmlformats.org/spreadsheetml/2006/main" count="230" uniqueCount="210">
  <si>
    <t>cash on hand</t>
  </si>
  <si>
    <t>prosper</t>
  </si>
  <si>
    <t>etrade</t>
  </si>
  <si>
    <t>morgan stanley</t>
  </si>
  <si>
    <t>HD debt</t>
  </si>
  <si>
    <t>equity line</t>
  </si>
  <si>
    <t>Division</t>
  </si>
  <si>
    <t>Description</t>
  </si>
  <si>
    <t>Bids</t>
  </si>
  <si>
    <t>Actual</t>
  </si>
  <si>
    <t>CO</t>
  </si>
  <si>
    <t>Total</t>
  </si>
  <si>
    <t xml:space="preserve">Paid </t>
  </si>
  <si>
    <t>Balance</t>
  </si>
  <si>
    <t>permits</t>
  </si>
  <si>
    <t>Total budget</t>
  </si>
  <si>
    <t>trash - 10 pulls</t>
  </si>
  <si>
    <t>misc. tools</t>
  </si>
  <si>
    <t>qty</t>
  </si>
  <si>
    <t>unit cost</t>
  </si>
  <si>
    <t>inspections</t>
  </si>
  <si>
    <t>move fence</t>
  </si>
  <si>
    <t>demo walk in front</t>
  </si>
  <si>
    <t>dig new posts for front deck</t>
  </si>
  <si>
    <t>misc. clearing and grubbing</t>
  </si>
  <si>
    <t>upper</t>
  </si>
  <si>
    <t>CMU lf - rear</t>
  </si>
  <si>
    <t>CMU lf - side</t>
  </si>
  <si>
    <t>side concrete - foundation</t>
  </si>
  <si>
    <t>rear concrete foundation</t>
  </si>
  <si>
    <t>windows</t>
  </si>
  <si>
    <t>81x61 - french door</t>
  </si>
  <si>
    <t>front door(84x26), clg hgt 96"</t>
  </si>
  <si>
    <t>interior doors</t>
  </si>
  <si>
    <t>master bath new - 25"</t>
  </si>
  <si>
    <t>exterior doors</t>
  </si>
  <si>
    <t>30"</t>
  </si>
  <si>
    <t>Closet Doors</t>
  </si>
  <si>
    <t>hardware</t>
  </si>
  <si>
    <t>84x62.75 - french door - kit ex.</t>
  </si>
  <si>
    <t>ext. door hardware</t>
  </si>
  <si>
    <t>paint</t>
  </si>
  <si>
    <t>deck stairs</t>
  </si>
  <si>
    <t>lower</t>
  </si>
  <si>
    <t>ductwork</t>
  </si>
  <si>
    <t>radiant floor upstairs</t>
  </si>
  <si>
    <t>radiant floor downstairs</t>
  </si>
  <si>
    <t>toilets</t>
  </si>
  <si>
    <t>shower</t>
  </si>
  <si>
    <t>sink</t>
  </si>
  <si>
    <t>new tub</t>
  </si>
  <si>
    <t>roofing/gutters</t>
  </si>
  <si>
    <t>metal roofing</t>
  </si>
  <si>
    <t>misc. plumb</t>
  </si>
  <si>
    <t>framing walls</t>
  </si>
  <si>
    <t>framing roof</t>
  </si>
  <si>
    <t>interconnect</t>
  </si>
  <si>
    <t>mis. Concrete no in found</t>
  </si>
  <si>
    <t xml:space="preserve">closest </t>
  </si>
  <si>
    <t>container store</t>
  </si>
  <si>
    <t>window treatments</t>
  </si>
  <si>
    <t>misc. steel</t>
  </si>
  <si>
    <t>Lights</t>
  </si>
  <si>
    <t>rough-in</t>
  </si>
  <si>
    <t>misc. elec</t>
  </si>
  <si>
    <t>W/D with vent</t>
  </si>
  <si>
    <t>move main power</t>
  </si>
  <si>
    <t>trim</t>
  </si>
  <si>
    <t>shoe molding</t>
  </si>
  <si>
    <t>tile - bathrooms lower</t>
  </si>
  <si>
    <t>tile - bathrooms master</t>
  </si>
  <si>
    <t>entry hall</t>
  </si>
  <si>
    <t>HVAC</t>
  </si>
  <si>
    <t>plumb</t>
  </si>
  <si>
    <t>tyvek</t>
  </si>
  <si>
    <t>total Budget</t>
  </si>
  <si>
    <t>contingency/escalation</t>
  </si>
  <si>
    <t>pebble mosiac = $5/sf, mixed glass/stone$7/sf,solid granite$4.25/sf, gray marble$4.5/sf,largewhglass$7/sf, travertine$1000/181sf, rough wood looking floor tile $3/sf</t>
  </si>
  <si>
    <t>infinity drain</t>
  </si>
  <si>
    <t>go to tristate</t>
  </si>
  <si>
    <t>http://www.vcs-va.com/</t>
  </si>
  <si>
    <t>http://dcra.dc.gov/node/514182</t>
  </si>
  <si>
    <t>Doug</t>
  </si>
  <si>
    <t>Roy</t>
  </si>
  <si>
    <t>Spent</t>
  </si>
  <si>
    <t>carpet</t>
  </si>
  <si>
    <t>existing</t>
  </si>
  <si>
    <t>upper new</t>
  </si>
  <si>
    <t>lower new</t>
  </si>
  <si>
    <t>handrails/cedar millwork</t>
  </si>
  <si>
    <t>elec. Materials</t>
  </si>
  <si>
    <t>insulation</t>
  </si>
  <si>
    <t>decking - Trex - upper part</t>
  </si>
  <si>
    <t>architect/structural</t>
  </si>
  <si>
    <t>Budget</t>
  </si>
  <si>
    <t>Allocated/Contract</t>
  </si>
  <si>
    <t>202-331-6237</t>
  </si>
  <si>
    <t>202-388-2642</t>
  </si>
  <si>
    <t>ken murray</t>
  </si>
  <si>
    <t>sf</t>
  </si>
  <si>
    <t>total existing</t>
  </si>
  <si>
    <t>new</t>
  </si>
  <si>
    <t>first</t>
  </si>
  <si>
    <t xml:space="preserve"> second</t>
  </si>
  <si>
    <t>TOTAL BUILDING</t>
  </si>
  <si>
    <t>$500/sf</t>
  </si>
  <si>
    <t>Required</t>
  </si>
  <si>
    <t>jiffy john</t>
  </si>
  <si>
    <t>Cash left</t>
  </si>
  <si>
    <t>Sheathing</t>
  </si>
  <si>
    <t>http://www.windowestore.com/</t>
  </si>
  <si>
    <t>materials</t>
  </si>
  <si>
    <t>doors</t>
  </si>
  <si>
    <t>move/new radiators</t>
  </si>
  <si>
    <t>http://www.runtalnorthamerica.com/residential_radiators/baseboard_uf.html</t>
  </si>
  <si>
    <t>3 base (UF-6 18"x36"), 1 shower</t>
  </si>
  <si>
    <t>sisler/materials</t>
  </si>
  <si>
    <t>plywood upper = 20</t>
  </si>
  <si>
    <t>cut bushes/trees</t>
  </si>
  <si>
    <t>allied - bob</t>
  </si>
  <si>
    <t>home depot - anderson</t>
  </si>
  <si>
    <t>sheathing</t>
  </si>
  <si>
    <t>r-green</t>
  </si>
  <si>
    <t>lvl</t>
  </si>
  <si>
    <t>1-3/4"x18"</t>
  </si>
  <si>
    <t>24' long</t>
  </si>
  <si>
    <t>weight</t>
  </si>
  <si>
    <t>roy helper</t>
  </si>
  <si>
    <t>edwin labor</t>
  </si>
  <si>
    <t>edwin labor 2</t>
  </si>
  <si>
    <t>edwin</t>
  </si>
  <si>
    <t>Doug labor - Ramon beltran</t>
  </si>
  <si>
    <t>area</t>
  </si>
  <si>
    <t>total</t>
  </si>
  <si>
    <t>lower side</t>
  </si>
  <si>
    <t>top side</t>
  </si>
  <si>
    <t>front</t>
  </si>
  <si>
    <t>back</t>
  </si>
  <si>
    <t>order</t>
  </si>
  <si>
    <t>sheets</t>
  </si>
  <si>
    <t>cost</t>
  </si>
  <si>
    <t>4x8</t>
  </si>
  <si>
    <t>roof</t>
  </si>
  <si>
    <t>1/2"</t>
  </si>
  <si>
    <t>5/8</t>
  </si>
  <si>
    <t>13 rolls</t>
  </si>
  <si>
    <t>roll gun</t>
  </si>
  <si>
    <t>7/16"</t>
  </si>
  <si>
    <t>6x6x10'</t>
  </si>
  <si>
    <t>hardie plank</t>
  </si>
  <si>
    <t>mygirlsflooring.com</t>
  </si>
  <si>
    <t>301-861-0220</t>
  </si>
  <si>
    <t>Hardwood flooring</t>
  </si>
  <si>
    <t>floor - OSB</t>
  </si>
  <si>
    <t>labor</t>
  </si>
  <si>
    <t>avg. rate</t>
  </si>
  <si>
    <t>feb 15th - money over</t>
  </si>
  <si>
    <t>weeks left of labor money</t>
  </si>
  <si>
    <t>hours left</t>
  </si>
  <si>
    <t>weeks</t>
  </si>
  <si>
    <t>Shortfall/Contingency</t>
  </si>
  <si>
    <t>drywall (250 sheets-TBV)</t>
  </si>
  <si>
    <t>Insulation</t>
  </si>
  <si>
    <t>first floor</t>
  </si>
  <si>
    <t>second</t>
  </si>
  <si>
    <t>floor</t>
  </si>
  <si>
    <t>walls</t>
  </si>
  <si>
    <t>R-30</t>
  </si>
  <si>
    <t>foam</t>
  </si>
  <si>
    <t>rolls/kits</t>
  </si>
  <si>
    <t>http://www.sprayfoamkit.com/land/kit_602_video.html</t>
  </si>
  <si>
    <t>foam it green</t>
  </si>
  <si>
    <t>R-15</t>
  </si>
  <si>
    <t>Cedar</t>
  </si>
  <si>
    <t>width</t>
  </si>
  <si>
    <t>thickness</t>
  </si>
  <si>
    <t>length</t>
  </si>
  <si>
    <t>price</t>
  </si>
  <si>
    <t>8"</t>
  </si>
  <si>
    <t>corners</t>
  </si>
  <si>
    <t>4"</t>
  </si>
  <si>
    <t>6'</t>
  </si>
  <si>
    <t>deck posts</t>
  </si>
  <si>
    <t>12"</t>
  </si>
  <si>
    <t>millwork</t>
  </si>
  <si>
    <t>deck ceiling</t>
  </si>
  <si>
    <t>hardie - rear and front</t>
  </si>
  <si>
    <t>hardie - sides</t>
  </si>
  <si>
    <t>company</t>
  </si>
  <si>
    <t>HVAC ducts</t>
  </si>
  <si>
    <t>25'</t>
  </si>
  <si>
    <t>6x6x8 tee</t>
  </si>
  <si>
    <t>6x6x6 tee</t>
  </si>
  <si>
    <t>rings</t>
  </si>
  <si>
    <t>6 to 8 reducer</t>
  </si>
  <si>
    <t>tape</t>
  </si>
  <si>
    <t>10'</t>
  </si>
  <si>
    <t>6" - qty2</t>
  </si>
  <si>
    <t>2- 6" sidewall</t>
  </si>
  <si>
    <t>registers</t>
  </si>
  <si>
    <t>dampers</t>
  </si>
  <si>
    <t>6" - qty4</t>
  </si>
  <si>
    <t>8" - qty1</t>
  </si>
  <si>
    <t>hours</t>
  </si>
  <si>
    <t>rate</t>
  </si>
  <si>
    <t>circum</t>
  </si>
  <si>
    <t>5 taps</t>
  </si>
  <si>
    <t>dryer</t>
  </si>
  <si>
    <t>pale's roofing</t>
  </si>
  <si>
    <t>240-882-2078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</si>
</sst>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.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0" applyNumberFormat="1"/>
    <xf numFmtId="44" fontId="0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4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0" borderId="0" xfId="1" applyFont="1" applyAlignment="1">
      <alignment horizontal="left"/>
    </xf>
    <xf numFmtId="44" fontId="0" fillId="0" borderId="0" xfId="0" applyNumberFormat="1" applyAlignment="1">
      <alignment horizontal="center"/>
    </xf>
    <xf numFmtId="44" fontId="3" fillId="0" borderId="0" xfId="2" applyNumberFormat="1" applyAlignment="1" applyProtection="1">
      <alignment horizontal="left"/>
    </xf>
    <xf numFmtId="44" fontId="0" fillId="0" borderId="0" xfId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44" fontId="0" fillId="4" borderId="0" xfId="1" applyFont="1" applyFill="1" applyAlignment="1">
      <alignment horizontal="center"/>
    </xf>
    <xf numFmtId="44" fontId="0" fillId="4" borderId="0" xfId="1" applyFont="1" applyFill="1"/>
    <xf numFmtId="1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4" fontId="0" fillId="0" borderId="0" xfId="1" applyFont="1" applyBorder="1"/>
    <xf numFmtId="16" fontId="0" fillId="0" borderId="4" xfId="0" quotePrefix="1" applyNumberFormat="1" applyBorder="1"/>
    <xf numFmtId="0" fontId="0" fillId="0" borderId="6" xfId="0" applyBorder="1"/>
    <xf numFmtId="0" fontId="0" fillId="0" borderId="7" xfId="0" applyBorder="1"/>
    <xf numFmtId="44" fontId="0" fillId="0" borderId="7" xfId="0" applyNumberFormat="1" applyBorder="1"/>
    <xf numFmtId="44" fontId="0" fillId="0" borderId="7" xfId="1" applyFont="1" applyBorder="1"/>
    <xf numFmtId="44" fontId="0" fillId="0" borderId="8" xfId="0" applyNumberFormat="1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0" xfId="0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indowestore.com/" TargetMode="External"/><Relationship Id="rId1" Type="http://schemas.openxmlformats.org/officeDocument/2006/relationships/hyperlink" Target="http://dcra.dc.gov/node/51418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zoomScale="110" zoomScaleNormal="110" workbookViewId="0">
      <pane ySplit="4" topLeftCell="A101" activePane="bottomLeft" state="frozen"/>
      <selection pane="bottomLeft" activeCell="A111" sqref="A111"/>
    </sheetView>
  </sheetViews>
  <sheetFormatPr defaultRowHeight="15"/>
  <cols>
    <col min="1" max="1" width="12" style="2" customWidth="1"/>
    <col min="2" max="2" width="26.85546875" style="2" customWidth="1"/>
    <col min="3" max="3" width="16.5703125" style="2" customWidth="1"/>
    <col min="4" max="4" width="13" style="4" customWidth="1"/>
    <col min="5" max="5" width="18.28515625" style="4" customWidth="1"/>
    <col min="6" max="6" width="17" style="10" customWidth="1"/>
    <col min="7" max="7" width="22.7109375" style="4" customWidth="1"/>
    <col min="8" max="8" width="7.7109375" style="4" customWidth="1"/>
    <col min="9" max="11" width="22.7109375" style="4" customWidth="1"/>
    <col min="12" max="16384" width="9.140625" style="2"/>
  </cols>
  <sheetData>
    <row r="1" spans="1:11" ht="23.25">
      <c r="B1" s="14">
        <f>E117</f>
        <v>256706</v>
      </c>
      <c r="C1" s="14">
        <f>G119</f>
        <v>183795.70999999996</v>
      </c>
      <c r="E1" s="14">
        <f>J2</f>
        <v>126087.17</v>
      </c>
    </row>
    <row r="2" spans="1:11">
      <c r="B2" s="2" t="s">
        <v>94</v>
      </c>
      <c r="C2" s="2" t="s">
        <v>95</v>
      </c>
      <c r="E2" s="4" t="s">
        <v>84</v>
      </c>
      <c r="G2" s="4">
        <f>G119</f>
        <v>183795.70999999996</v>
      </c>
      <c r="I2" s="4">
        <f>I119</f>
        <v>186512.03999999995</v>
      </c>
      <c r="J2" s="4">
        <f>J119</f>
        <v>126087.17</v>
      </c>
      <c r="K2" s="4">
        <f>K119</f>
        <v>61421.289999999994</v>
      </c>
    </row>
    <row r="4" spans="1:11">
      <c r="A4" s="2" t="s">
        <v>6</v>
      </c>
      <c r="B4" s="2" t="s">
        <v>7</v>
      </c>
      <c r="C4" s="2" t="s">
        <v>18</v>
      </c>
      <c r="D4" s="4" t="s">
        <v>19</v>
      </c>
      <c r="E4" s="4" t="s">
        <v>75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spans="1:11">
      <c r="A5" s="2">
        <v>1</v>
      </c>
      <c r="B5" s="2" t="s">
        <v>14</v>
      </c>
      <c r="E5" s="4">
        <v>3500</v>
      </c>
      <c r="G5" s="4">
        <f>60.5+2000+267.3+267.3</f>
        <v>2595.1000000000004</v>
      </c>
      <c r="I5" s="4">
        <f>G5</f>
        <v>2595.1000000000004</v>
      </c>
      <c r="J5" s="4">
        <f>I5</f>
        <v>2595.1000000000004</v>
      </c>
      <c r="K5" s="4">
        <f>I5-J5</f>
        <v>0</v>
      </c>
    </row>
    <row r="6" spans="1:11">
      <c r="A6" s="11">
        <f>SUM(E5:E10)</f>
        <v>21412</v>
      </c>
      <c r="B6" s="2" t="s">
        <v>16</v>
      </c>
      <c r="C6" s="2">
        <v>4</v>
      </c>
      <c r="D6" s="4">
        <v>350</v>
      </c>
      <c r="E6" s="4">
        <f>D6*C6</f>
        <v>1400</v>
      </c>
    </row>
    <row r="7" spans="1:11">
      <c r="B7" s="2" t="s">
        <v>93</v>
      </c>
      <c r="E7" s="4">
        <v>5000</v>
      </c>
      <c r="G7" s="4">
        <f>1275+3500</f>
        <v>4775</v>
      </c>
      <c r="I7" s="4">
        <f>H7+G7</f>
        <v>4775</v>
      </c>
      <c r="J7" s="4">
        <f>1275+3500</f>
        <v>4775</v>
      </c>
      <c r="K7" s="4">
        <f>I7-J7</f>
        <v>0</v>
      </c>
    </row>
    <row r="8" spans="1:11">
      <c r="B8" s="2" t="s">
        <v>17</v>
      </c>
      <c r="E8" s="4">
        <v>8000</v>
      </c>
      <c r="G8" s="4">
        <f>300+500+9.51+55.35+261.22+67.64+183.88+300+52.98+34.1+34.3+84.68+6.68+15.46+73.78+84.68+6.68+39.18+295.74+132.46+48.75+759.7+282.82+100+63.59+200+180+532.85+992.02+26.49+551.29+300+178.93</f>
        <v>6754.7600000000011</v>
      </c>
      <c r="I8" s="4">
        <f>G8</f>
        <v>6754.7600000000011</v>
      </c>
      <c r="J8" s="4">
        <f>I8</f>
        <v>6754.7600000000011</v>
      </c>
      <c r="K8" s="4">
        <f>I8-J8</f>
        <v>0</v>
      </c>
    </row>
    <row r="9" spans="1:11" ht="15.75">
      <c r="B9" s="2" t="s">
        <v>20</v>
      </c>
      <c r="C9" s="2">
        <v>10</v>
      </c>
      <c r="D9" s="4">
        <v>300</v>
      </c>
      <c r="E9" s="4">
        <f>D9*C9</f>
        <v>3000</v>
      </c>
      <c r="F9" s="12" t="s">
        <v>81</v>
      </c>
      <c r="G9" s="4">
        <f>225</f>
        <v>225</v>
      </c>
      <c r="I9" s="4">
        <v>3000</v>
      </c>
      <c r="J9" s="4">
        <f>G9</f>
        <v>225</v>
      </c>
      <c r="K9" s="4">
        <f>I9-J9</f>
        <v>2775</v>
      </c>
    </row>
    <row r="10" spans="1:11" ht="15.75">
      <c r="B10" s="2" t="s">
        <v>107</v>
      </c>
      <c r="E10" s="4">
        <v>512</v>
      </c>
      <c r="F10" s="12"/>
      <c r="G10" s="4">
        <f>128*4</f>
        <v>512</v>
      </c>
      <c r="I10" s="4">
        <f>G10</f>
        <v>512</v>
      </c>
      <c r="J10" s="4">
        <f>129+129+129</f>
        <v>387</v>
      </c>
      <c r="K10" s="4">
        <f>I10-J10</f>
        <v>125</v>
      </c>
    </row>
    <row r="13" spans="1:11">
      <c r="A13" s="2">
        <v>2</v>
      </c>
      <c r="B13" s="2" t="s">
        <v>118</v>
      </c>
      <c r="C13" s="2">
        <v>42</v>
      </c>
      <c r="D13" s="4">
        <v>20</v>
      </c>
      <c r="E13" s="4">
        <f t="shared" ref="E13:E18" si="0">D13*C13</f>
        <v>840</v>
      </c>
      <c r="F13" s="10">
        <v>250</v>
      </c>
      <c r="G13" s="4">
        <f>250+571.46</f>
        <v>821.46</v>
      </c>
      <c r="I13" s="4">
        <f>G13</f>
        <v>821.46</v>
      </c>
      <c r="J13" s="4">
        <f>I13</f>
        <v>821.46</v>
      </c>
      <c r="K13" s="4">
        <f>J13-I13</f>
        <v>0</v>
      </c>
    </row>
    <row r="14" spans="1:11">
      <c r="A14" s="11">
        <f>SUM(E13:E25)</f>
        <v>11440</v>
      </c>
      <c r="C14" s="2">
        <v>0</v>
      </c>
      <c r="D14" s="4">
        <v>20</v>
      </c>
      <c r="E14" s="4">
        <f t="shared" si="0"/>
        <v>0</v>
      </c>
    </row>
    <row r="15" spans="1:11">
      <c r="B15" s="2" t="s">
        <v>21</v>
      </c>
      <c r="C15" s="2">
        <v>0</v>
      </c>
      <c r="D15" s="4">
        <v>20</v>
      </c>
      <c r="E15" s="4">
        <f t="shared" si="0"/>
        <v>0</v>
      </c>
    </row>
    <row r="16" spans="1:11">
      <c r="B16" s="2" t="s">
        <v>24</v>
      </c>
      <c r="C16" s="2">
        <v>0</v>
      </c>
      <c r="D16" s="4">
        <v>20</v>
      </c>
      <c r="E16" s="4">
        <f t="shared" si="0"/>
        <v>0</v>
      </c>
    </row>
    <row r="17" spans="1:11">
      <c r="B17" s="2" t="s">
        <v>22</v>
      </c>
      <c r="C17" s="2">
        <v>0</v>
      </c>
      <c r="D17" s="4">
        <v>20</v>
      </c>
      <c r="E17" s="4">
        <f t="shared" si="0"/>
        <v>0</v>
      </c>
    </row>
    <row r="18" spans="1:11">
      <c r="B18" s="2" t="s">
        <v>23</v>
      </c>
      <c r="C18" s="2">
        <v>0</v>
      </c>
      <c r="D18" s="4">
        <v>20</v>
      </c>
      <c r="E18" s="4">
        <f t="shared" si="0"/>
        <v>0</v>
      </c>
    </row>
    <row r="19" spans="1:11">
      <c r="B19" s="2" t="s">
        <v>28</v>
      </c>
      <c r="E19" s="4">
        <v>3000</v>
      </c>
      <c r="F19" s="10">
        <v>6500</v>
      </c>
      <c r="G19" s="4">
        <v>6500</v>
      </c>
      <c r="I19" s="4">
        <f>H19+G19</f>
        <v>6500</v>
      </c>
      <c r="J19" s="4">
        <f>500+1000+1000+500+500+500+500+1500+500</f>
        <v>6500</v>
      </c>
      <c r="K19" s="4">
        <f>I19-J19</f>
        <v>0</v>
      </c>
    </row>
    <row r="20" spans="1:11">
      <c r="B20" s="2" t="s">
        <v>29</v>
      </c>
      <c r="E20" s="4">
        <v>3500</v>
      </c>
      <c r="F20" s="10" t="s">
        <v>80</v>
      </c>
    </row>
    <row r="21" spans="1:11">
      <c r="B21" s="2" t="s">
        <v>26</v>
      </c>
      <c r="C21" s="2">
        <v>110</v>
      </c>
      <c r="D21" s="4">
        <v>40</v>
      </c>
      <c r="E21" s="4">
        <v>4100</v>
      </c>
      <c r="F21" s="10" t="s">
        <v>116</v>
      </c>
      <c r="G21" s="4">
        <f>3072+209.46+641.02+24.74+82.68+41.8</f>
        <v>4071.7</v>
      </c>
      <c r="I21" s="4">
        <f>H21+G21</f>
        <v>4071.7</v>
      </c>
      <c r="J21" s="4">
        <f>I21</f>
        <v>4071.7</v>
      </c>
      <c r="K21" s="4">
        <f>I21-J21</f>
        <v>0</v>
      </c>
    </row>
    <row r="22" spans="1:11">
      <c r="B22" s="2" t="s">
        <v>27</v>
      </c>
      <c r="C22" s="2">
        <v>0</v>
      </c>
      <c r="D22" s="4">
        <v>50</v>
      </c>
      <c r="E22" s="4">
        <f>D22*C22</f>
        <v>0</v>
      </c>
    </row>
    <row r="24" spans="1:11">
      <c r="A24" s="2">
        <v>3</v>
      </c>
    </row>
    <row r="25" spans="1:11">
      <c r="B25" s="2" t="s">
        <v>57</v>
      </c>
      <c r="E25" s="4">
        <v>0</v>
      </c>
    </row>
    <row r="27" spans="1:11">
      <c r="A27" s="2">
        <v>4</v>
      </c>
      <c r="B27" s="2" t="s">
        <v>54</v>
      </c>
      <c r="E27" s="4">
        <v>14000</v>
      </c>
      <c r="G27" s="4">
        <f>5770.64+1015.86+3756+964.7+879.84+616.54</f>
        <v>13003.580000000002</v>
      </c>
      <c r="I27" s="4">
        <f>G27</f>
        <v>13003.580000000002</v>
      </c>
      <c r="J27" s="4">
        <f>I27</f>
        <v>13003.580000000002</v>
      </c>
      <c r="K27" s="4">
        <f>E27-J27</f>
        <v>996.41999999999825</v>
      </c>
    </row>
    <row r="28" spans="1:11">
      <c r="B28" s="2" t="s">
        <v>117</v>
      </c>
    </row>
    <row r="29" spans="1:11">
      <c r="B29" s="2" t="s">
        <v>55</v>
      </c>
      <c r="E29" s="4">
        <v>0</v>
      </c>
    </row>
    <row r="30" spans="1:11">
      <c r="B30" s="2" t="s">
        <v>56</v>
      </c>
      <c r="E30" s="4">
        <v>0</v>
      </c>
    </row>
    <row r="31" spans="1:11">
      <c r="B31" s="2" t="s">
        <v>67</v>
      </c>
      <c r="E31" s="4">
        <v>4500</v>
      </c>
      <c r="G31" s="4">
        <f>14.8</f>
        <v>14.8</v>
      </c>
      <c r="I31" s="4">
        <f>G31</f>
        <v>14.8</v>
      </c>
      <c r="J31" s="4">
        <f>I31</f>
        <v>14.8</v>
      </c>
      <c r="K31" s="4">
        <f>I31-J31</f>
        <v>0</v>
      </c>
    </row>
    <row r="32" spans="1:11">
      <c r="B32" s="2" t="s">
        <v>68</v>
      </c>
      <c r="E32" s="4">
        <v>500</v>
      </c>
    </row>
    <row r="33" spans="1:13">
      <c r="A33" s="2" t="s">
        <v>154</v>
      </c>
      <c r="L33" s="2" t="s">
        <v>158</v>
      </c>
      <c r="M33" s="2" t="s">
        <v>159</v>
      </c>
    </row>
    <row r="34" spans="1:13">
      <c r="A34" s="11">
        <f>SUM(E34:E40)</f>
        <v>59720</v>
      </c>
      <c r="B34" s="2" t="s">
        <v>82</v>
      </c>
      <c r="C34" s="2">
        <v>400</v>
      </c>
      <c r="D34" s="13">
        <v>35</v>
      </c>
      <c r="E34" s="4">
        <f>D34*C34</f>
        <v>14000</v>
      </c>
      <c r="G34" s="4">
        <f t="shared" ref="G34:G40" si="1">E34</f>
        <v>14000</v>
      </c>
      <c r="I34" s="4">
        <f t="shared" ref="I34:I40" si="2">G34</f>
        <v>14000</v>
      </c>
      <c r="J34" s="4">
        <f>267.13+712.75+662.5+562.5+456.25+1295+1478.75+(D34*59)+936.25+866.25</f>
        <v>9302.380000000001</v>
      </c>
      <c r="K34" s="4">
        <f t="shared" ref="K34:K40" si="3">I34-J34</f>
        <v>4697.619999999999</v>
      </c>
      <c r="L34" s="20">
        <f>K34/D34</f>
        <v>134.21771428571427</v>
      </c>
      <c r="M34" s="20">
        <f>L34/40</f>
        <v>3.3554428571428567</v>
      </c>
    </row>
    <row r="35" spans="1:13">
      <c r="A35" s="2" t="s">
        <v>155</v>
      </c>
      <c r="B35" s="2" t="s">
        <v>83</v>
      </c>
      <c r="C35" s="2">
        <v>400</v>
      </c>
      <c r="D35" s="13">
        <v>27</v>
      </c>
      <c r="E35" s="4">
        <f t="shared" ref="E35:E40" si="4">D35*C35</f>
        <v>10800</v>
      </c>
      <c r="G35" s="4">
        <f t="shared" si="1"/>
        <v>10800</v>
      </c>
      <c r="I35" s="4">
        <f t="shared" si="2"/>
        <v>10800</v>
      </c>
      <c r="J35" s="4">
        <f>500+850+900+2538</f>
        <v>4788</v>
      </c>
      <c r="K35" s="4">
        <f t="shared" si="3"/>
        <v>6012</v>
      </c>
      <c r="L35" s="20">
        <f t="shared" ref="L35:L40" si="5">K35/D35</f>
        <v>222.66666666666666</v>
      </c>
      <c r="M35" s="20">
        <f t="shared" ref="M35:M40" si="6">L35/40</f>
        <v>5.5666666666666664</v>
      </c>
    </row>
    <row r="36" spans="1:13">
      <c r="A36" s="11">
        <f>AVERAGE(D34:D40)</f>
        <v>22.571428571428573</v>
      </c>
      <c r="B36" s="2" t="s">
        <v>127</v>
      </c>
      <c r="C36" s="2">
        <v>40</v>
      </c>
      <c r="D36" s="13">
        <v>19</v>
      </c>
      <c r="E36" s="4">
        <f t="shared" si="4"/>
        <v>760</v>
      </c>
      <c r="G36" s="4">
        <f t="shared" si="1"/>
        <v>760</v>
      </c>
      <c r="I36" s="4">
        <f t="shared" si="2"/>
        <v>760</v>
      </c>
      <c r="J36" s="4">
        <f>342</f>
        <v>342</v>
      </c>
      <c r="K36" s="4">
        <f t="shared" si="3"/>
        <v>418</v>
      </c>
      <c r="L36" s="20">
        <f t="shared" si="5"/>
        <v>22</v>
      </c>
      <c r="M36" s="20">
        <f t="shared" si="6"/>
        <v>0.55000000000000004</v>
      </c>
    </row>
    <row r="37" spans="1:13">
      <c r="B37" s="2" t="s">
        <v>131</v>
      </c>
      <c r="C37" s="2">
        <v>180</v>
      </c>
      <c r="D37" s="13">
        <v>17</v>
      </c>
      <c r="E37" s="4">
        <f t="shared" si="4"/>
        <v>3060</v>
      </c>
      <c r="G37" s="4">
        <f t="shared" si="1"/>
        <v>3060</v>
      </c>
      <c r="I37" s="4">
        <f t="shared" si="2"/>
        <v>3060</v>
      </c>
      <c r="J37" s="4">
        <f>263.5+361.25+752.25+607.75+(D37*33)+399.5</f>
        <v>2945.25</v>
      </c>
      <c r="K37" s="4">
        <f t="shared" si="3"/>
        <v>114.75</v>
      </c>
      <c r="L37" s="20">
        <f t="shared" si="5"/>
        <v>6.75</v>
      </c>
      <c r="M37" s="20">
        <f t="shared" si="6"/>
        <v>0.16875000000000001</v>
      </c>
    </row>
    <row r="38" spans="1:13">
      <c r="A38" s="17"/>
      <c r="B38" s="2" t="s">
        <v>130</v>
      </c>
      <c r="C38" s="2">
        <v>500</v>
      </c>
      <c r="D38" s="4">
        <v>25</v>
      </c>
      <c r="E38" s="4">
        <f t="shared" si="4"/>
        <v>12500</v>
      </c>
      <c r="G38" s="4">
        <f t="shared" si="1"/>
        <v>12500</v>
      </c>
      <c r="I38" s="4">
        <f t="shared" si="2"/>
        <v>12500</v>
      </c>
      <c r="J38" s="4">
        <f>637.5+762.5+425+(25.5*25)+(11.5*25)+1050+1050</f>
        <v>4850</v>
      </c>
      <c r="K38" s="4">
        <f t="shared" si="3"/>
        <v>7650</v>
      </c>
      <c r="L38" s="20">
        <f t="shared" si="5"/>
        <v>306</v>
      </c>
      <c r="M38" s="20">
        <f t="shared" si="6"/>
        <v>7.65</v>
      </c>
    </row>
    <row r="39" spans="1:13">
      <c r="B39" s="2" t="s">
        <v>128</v>
      </c>
      <c r="C39" s="2">
        <v>600</v>
      </c>
      <c r="D39" s="4">
        <v>20</v>
      </c>
      <c r="E39" s="4">
        <f t="shared" si="4"/>
        <v>12000</v>
      </c>
      <c r="G39" s="4">
        <f t="shared" si="1"/>
        <v>12000</v>
      </c>
      <c r="I39" s="4">
        <f t="shared" si="2"/>
        <v>12000</v>
      </c>
      <c r="J39" s="4">
        <f>670+940+340+340+(45.5*20)+(21*20)+880+720</f>
        <v>5220</v>
      </c>
      <c r="K39" s="4">
        <f t="shared" si="3"/>
        <v>6780</v>
      </c>
      <c r="L39" s="20">
        <f t="shared" si="5"/>
        <v>339</v>
      </c>
      <c r="M39" s="20">
        <f t="shared" si="6"/>
        <v>8.4749999999999996</v>
      </c>
    </row>
    <row r="40" spans="1:13">
      <c r="A40" s="17"/>
      <c r="B40" s="2" t="s">
        <v>129</v>
      </c>
      <c r="C40" s="2">
        <v>440</v>
      </c>
      <c r="D40" s="4">
        <v>15</v>
      </c>
      <c r="E40" s="4">
        <f t="shared" si="4"/>
        <v>6600</v>
      </c>
      <c r="G40" s="4">
        <f t="shared" si="1"/>
        <v>6600</v>
      </c>
      <c r="I40" s="4">
        <f t="shared" si="2"/>
        <v>6600</v>
      </c>
      <c r="J40" s="4">
        <f>382.5+442.5+255+(25*15)+(9.5*15)+420</f>
        <v>2017.5</v>
      </c>
      <c r="K40" s="4">
        <f t="shared" si="3"/>
        <v>4582.5</v>
      </c>
      <c r="L40" s="20">
        <f t="shared" si="5"/>
        <v>305.5</v>
      </c>
      <c r="M40" s="20">
        <f t="shared" si="6"/>
        <v>7.6375000000000002</v>
      </c>
    </row>
    <row r="41" spans="1:13">
      <c r="A41" s="17"/>
      <c r="B41" s="2" t="s">
        <v>156</v>
      </c>
    </row>
    <row r="42" spans="1:13">
      <c r="A42" s="17"/>
      <c r="B42" s="18">
        <f>SUM(K34:K40)/(A36*40*6)</f>
        <v>5.5850234704641348</v>
      </c>
      <c r="C42" s="19" t="s">
        <v>157</v>
      </c>
      <c r="D42" s="15"/>
    </row>
    <row r="44" spans="1:13">
      <c r="A44" s="2">
        <v>5</v>
      </c>
      <c r="B44" s="2" t="s">
        <v>61</v>
      </c>
      <c r="E44" s="4">
        <v>100</v>
      </c>
    </row>
    <row r="46" spans="1:13">
      <c r="A46" s="2">
        <v>6</v>
      </c>
      <c r="B46" s="2" t="s">
        <v>58</v>
      </c>
      <c r="E46" s="4">
        <v>2000</v>
      </c>
      <c r="F46" s="10" t="s">
        <v>59</v>
      </c>
    </row>
    <row r="47" spans="1:13">
      <c r="B47" s="2" t="s">
        <v>60</v>
      </c>
      <c r="E47" s="4">
        <v>1500</v>
      </c>
      <c r="G47" s="4">
        <f>68.26</f>
        <v>68.260000000000005</v>
      </c>
      <c r="I47" s="4">
        <f>G47</f>
        <v>68.260000000000005</v>
      </c>
      <c r="J47" s="4">
        <f>I47</f>
        <v>68.260000000000005</v>
      </c>
      <c r="K47" s="4">
        <f>I47-J47</f>
        <v>0</v>
      </c>
    </row>
    <row r="49" spans="1:11">
      <c r="A49" s="2">
        <v>7</v>
      </c>
      <c r="B49" s="6" t="s">
        <v>30</v>
      </c>
    </row>
    <row r="50" spans="1:11">
      <c r="A50" s="2" t="s">
        <v>30</v>
      </c>
      <c r="B50" s="5"/>
    </row>
    <row r="51" spans="1:11" ht="15.75">
      <c r="A51" s="9">
        <f>SUM(E51:E53)</f>
        <v>20350</v>
      </c>
      <c r="B51" s="2" t="s">
        <v>86</v>
      </c>
      <c r="C51" s="2">
        <v>22</v>
      </c>
      <c r="D51" s="4">
        <v>400</v>
      </c>
      <c r="E51" s="4">
        <v>10800</v>
      </c>
      <c r="F51" s="12" t="s">
        <v>110</v>
      </c>
      <c r="G51" s="4">
        <v>20258.46</v>
      </c>
      <c r="I51" s="4">
        <f>G51</f>
        <v>20258.46</v>
      </c>
      <c r="J51" s="4">
        <f>I51</f>
        <v>20258.46</v>
      </c>
      <c r="K51" s="4">
        <f>I51-J51</f>
        <v>0</v>
      </c>
    </row>
    <row r="52" spans="1:11">
      <c r="B52" s="2" t="s">
        <v>87</v>
      </c>
      <c r="C52" s="2">
        <v>11</v>
      </c>
      <c r="D52" s="4">
        <v>500</v>
      </c>
      <c r="E52" s="4">
        <f>D52*C52</f>
        <v>5500</v>
      </c>
      <c r="F52" s="10" t="s">
        <v>120</v>
      </c>
    </row>
    <row r="53" spans="1:11">
      <c r="B53" s="2" t="s">
        <v>88</v>
      </c>
      <c r="C53" s="2">
        <v>9</v>
      </c>
      <c r="D53" s="4">
        <v>450</v>
      </c>
      <c r="E53" s="4">
        <f>D53*C53</f>
        <v>4050</v>
      </c>
    </row>
    <row r="54" spans="1:11">
      <c r="A54" s="2" t="s">
        <v>112</v>
      </c>
      <c r="C54" s="2">
        <f>8*30</f>
        <v>240</v>
      </c>
      <c r="D54" s="4">
        <f>C54*22</f>
        <v>5280</v>
      </c>
    </row>
    <row r="55" spans="1:11">
      <c r="A55" s="11">
        <f>SUM(E56:E66)</f>
        <v>7335</v>
      </c>
      <c r="B55" s="6" t="s">
        <v>33</v>
      </c>
    </row>
    <row r="56" spans="1:11">
      <c r="B56" s="2" t="s">
        <v>34</v>
      </c>
      <c r="C56" s="2">
        <v>1</v>
      </c>
      <c r="D56" s="4">
        <f>65+100</f>
        <v>165</v>
      </c>
      <c r="E56" s="4">
        <f>D56*C56</f>
        <v>165</v>
      </c>
    </row>
    <row r="57" spans="1:11">
      <c r="B57" s="2" t="s">
        <v>36</v>
      </c>
      <c r="C57" s="2">
        <v>8</v>
      </c>
      <c r="D57" s="4">
        <f>65+100</f>
        <v>165</v>
      </c>
      <c r="E57" s="4">
        <f>D57*C57</f>
        <v>1320</v>
      </c>
      <c r="G57" s="4">
        <f>1192.37</f>
        <v>1192.3699999999999</v>
      </c>
      <c r="I57" s="4">
        <f>G57</f>
        <v>1192.3699999999999</v>
      </c>
      <c r="J57" s="4">
        <f>I57</f>
        <v>1192.3699999999999</v>
      </c>
      <c r="K57" s="4">
        <f>I57-J57</f>
        <v>0</v>
      </c>
    </row>
    <row r="58" spans="1:11">
      <c r="B58" s="2" t="s">
        <v>38</v>
      </c>
      <c r="C58" s="2">
        <v>20</v>
      </c>
      <c r="D58" s="4">
        <v>85</v>
      </c>
      <c r="E58" s="4">
        <v>1200</v>
      </c>
    </row>
    <row r="59" spans="1:11">
      <c r="B59" s="2" t="s">
        <v>37</v>
      </c>
      <c r="C59" s="2">
        <v>6</v>
      </c>
      <c r="D59" s="4">
        <v>150</v>
      </c>
      <c r="E59" s="4">
        <f>D59*C59</f>
        <v>900</v>
      </c>
    </row>
    <row r="61" spans="1:11">
      <c r="B61" s="6" t="s">
        <v>35</v>
      </c>
    </row>
    <row r="62" spans="1:11">
      <c r="B62" s="2" t="s">
        <v>31</v>
      </c>
      <c r="C62" s="2">
        <v>0</v>
      </c>
      <c r="D62" s="4">
        <v>1000</v>
      </c>
      <c r="E62" s="4">
        <f>D62*C62</f>
        <v>0</v>
      </c>
    </row>
    <row r="63" spans="1:11">
      <c r="B63" s="2" t="s">
        <v>32</v>
      </c>
      <c r="C63" s="2">
        <v>1</v>
      </c>
      <c r="E63" s="4">
        <v>2000</v>
      </c>
      <c r="G63" s="4">
        <f>464.47</f>
        <v>464.47</v>
      </c>
      <c r="I63" s="4">
        <f>G63</f>
        <v>464.47</v>
      </c>
      <c r="J63" s="4">
        <f>I63</f>
        <v>464.47</v>
      </c>
      <c r="K63" s="4">
        <f>I63-J63</f>
        <v>0</v>
      </c>
    </row>
    <row r="64" spans="1:11">
      <c r="B64" s="2" t="s">
        <v>39</v>
      </c>
      <c r="C64" s="2">
        <v>1</v>
      </c>
      <c r="D64" s="4">
        <v>1000</v>
      </c>
      <c r="E64" s="4">
        <f>D64*C64</f>
        <v>1000</v>
      </c>
    </row>
    <row r="66" spans="1:11">
      <c r="B66" s="2" t="s">
        <v>40</v>
      </c>
      <c r="C66" s="2">
        <v>5</v>
      </c>
      <c r="D66" s="4">
        <v>150</v>
      </c>
      <c r="E66" s="4">
        <f>D66*C66</f>
        <v>750</v>
      </c>
    </row>
    <row r="68" spans="1:11">
      <c r="A68" s="2">
        <v>9</v>
      </c>
    </row>
    <row r="69" spans="1:11">
      <c r="A69" s="11">
        <f>SUM(E70:E72)</f>
        <v>3000</v>
      </c>
      <c r="B69" s="5" t="s">
        <v>41</v>
      </c>
    </row>
    <row r="70" spans="1:11">
      <c r="B70" s="2" t="s">
        <v>25</v>
      </c>
      <c r="C70" s="2">
        <f>180*12*1.5</f>
        <v>3240</v>
      </c>
      <c r="E70" s="4">
        <v>1000</v>
      </c>
      <c r="G70" s="4">
        <f>1000</f>
        <v>1000</v>
      </c>
      <c r="I70" s="4">
        <f>G70</f>
        <v>1000</v>
      </c>
      <c r="J70" s="4">
        <f>I70</f>
        <v>1000</v>
      </c>
      <c r="K70" s="4">
        <f>I70-J70</f>
        <v>0</v>
      </c>
    </row>
    <row r="71" spans="1:11">
      <c r="B71" s="2" t="s">
        <v>43</v>
      </c>
      <c r="C71" s="2">
        <f>110*10*1.5</f>
        <v>1650</v>
      </c>
      <c r="E71" s="4">
        <v>1500</v>
      </c>
      <c r="G71" s="4">
        <f>39.2</f>
        <v>39.200000000000003</v>
      </c>
      <c r="I71" s="4">
        <f>G71</f>
        <v>39.200000000000003</v>
      </c>
      <c r="J71" s="4">
        <f>I71</f>
        <v>39.200000000000003</v>
      </c>
      <c r="K71" s="4">
        <f>I71-J71</f>
        <v>0</v>
      </c>
    </row>
    <row r="72" spans="1:11">
      <c r="B72" s="2" t="s">
        <v>111</v>
      </c>
      <c r="E72" s="4">
        <v>500</v>
      </c>
      <c r="G72" s="4">
        <f>163.38</f>
        <v>163.38</v>
      </c>
      <c r="I72" s="4">
        <f>G72</f>
        <v>163.38</v>
      </c>
      <c r="J72" s="4">
        <f>I72</f>
        <v>163.38</v>
      </c>
      <c r="K72" s="4">
        <f>I72-J72</f>
        <v>0</v>
      </c>
    </row>
    <row r="73" spans="1:11">
      <c r="B73" s="2" t="s">
        <v>152</v>
      </c>
      <c r="C73" s="2">
        <v>1500</v>
      </c>
      <c r="D73" s="4">
        <v>9</v>
      </c>
      <c r="E73" s="4">
        <f>D73*C73</f>
        <v>13500</v>
      </c>
      <c r="F73" s="10" t="s">
        <v>150</v>
      </c>
    </row>
    <row r="74" spans="1:11">
      <c r="B74" s="2" t="s">
        <v>85</v>
      </c>
      <c r="E74" s="4">
        <v>2500</v>
      </c>
      <c r="F74" s="10" t="s">
        <v>151</v>
      </c>
    </row>
    <row r="75" spans="1:11">
      <c r="B75" s="2" t="s">
        <v>161</v>
      </c>
      <c r="C75" s="2">
        <f>3240+1650</f>
        <v>4890</v>
      </c>
      <c r="D75" s="4">
        <v>1</v>
      </c>
      <c r="E75" s="4">
        <f t="shared" ref="E75:E80" si="7">D75*C75</f>
        <v>4890</v>
      </c>
    </row>
    <row r="76" spans="1:11">
      <c r="A76" s="11"/>
      <c r="B76" s="2" t="s">
        <v>51</v>
      </c>
      <c r="C76" s="2">
        <v>1500</v>
      </c>
      <c r="D76" s="4">
        <v>14</v>
      </c>
      <c r="E76" s="4">
        <f t="shared" si="7"/>
        <v>21000</v>
      </c>
      <c r="F76" s="10" t="s">
        <v>208</v>
      </c>
      <c r="G76" s="4">
        <v>22500</v>
      </c>
      <c r="I76" s="4">
        <f>G76</f>
        <v>22500</v>
      </c>
      <c r="J76" s="4">
        <f>5000</f>
        <v>5000</v>
      </c>
      <c r="K76" s="4">
        <f>I76-J76</f>
        <v>17500</v>
      </c>
    </row>
    <row r="77" spans="1:11">
      <c r="B77" s="2" t="s">
        <v>52</v>
      </c>
      <c r="C77" s="2">
        <v>500</v>
      </c>
      <c r="D77" s="4">
        <v>5.5</v>
      </c>
      <c r="E77" s="4">
        <v>1500</v>
      </c>
      <c r="F77" s="10" t="s">
        <v>209</v>
      </c>
    </row>
    <row r="78" spans="1:11">
      <c r="B78" s="2" t="s">
        <v>69</v>
      </c>
      <c r="C78" s="2">
        <v>200</v>
      </c>
      <c r="D78" s="4">
        <f>5+3</f>
        <v>8</v>
      </c>
      <c r="E78" s="4">
        <f t="shared" si="7"/>
        <v>1600</v>
      </c>
      <c r="G78" s="4">
        <f>58.67</f>
        <v>58.67</v>
      </c>
    </row>
    <row r="79" spans="1:11">
      <c r="B79" s="2" t="s">
        <v>70</v>
      </c>
      <c r="C79" s="2">
        <v>400</v>
      </c>
      <c r="D79" s="4">
        <f>5+3</f>
        <v>8</v>
      </c>
      <c r="E79" s="4">
        <f t="shared" si="7"/>
        <v>3200</v>
      </c>
    </row>
    <row r="80" spans="1:11">
      <c r="B80" s="2" t="s">
        <v>71</v>
      </c>
      <c r="C80" s="2">
        <v>50</v>
      </c>
      <c r="D80" s="4">
        <f>5+3</f>
        <v>8</v>
      </c>
      <c r="E80" s="4">
        <f t="shared" si="7"/>
        <v>400</v>
      </c>
    </row>
    <row r="81" spans="1:11">
      <c r="B81" s="5" t="s">
        <v>77</v>
      </c>
    </row>
    <row r="82" spans="1:11">
      <c r="B82" s="2" t="s">
        <v>185</v>
      </c>
      <c r="C82" s="2">
        <v>500</v>
      </c>
      <c r="D82" s="4">
        <v>6</v>
      </c>
      <c r="E82" s="4">
        <f>D82*C82</f>
        <v>3000</v>
      </c>
    </row>
    <row r="83" spans="1:11">
      <c r="B83" s="2" t="s">
        <v>109</v>
      </c>
      <c r="C83" s="2">
        <v>1500</v>
      </c>
      <c r="D83" s="4">
        <v>3</v>
      </c>
      <c r="E83" s="4">
        <v>500</v>
      </c>
    </row>
    <row r="84" spans="1:11">
      <c r="B84" s="2" t="s">
        <v>186</v>
      </c>
      <c r="C84" s="2">
        <v>720</v>
      </c>
      <c r="D84" s="4">
        <v>3</v>
      </c>
      <c r="E84" s="4">
        <f>D84*C84</f>
        <v>2160</v>
      </c>
      <c r="G84" s="13">
        <f>3686.89+818.1</f>
        <v>4504.99</v>
      </c>
      <c r="I84" s="4">
        <f>G84</f>
        <v>4504.99</v>
      </c>
      <c r="J84" s="4">
        <f>I84</f>
        <v>4504.99</v>
      </c>
      <c r="K84" s="4">
        <f>I84-J84</f>
        <v>0</v>
      </c>
    </row>
    <row r="85" spans="1:11">
      <c r="A85" s="11"/>
      <c r="B85" s="2" t="s">
        <v>187</v>
      </c>
      <c r="C85" s="2">
        <f>440+193+150</f>
        <v>783</v>
      </c>
      <c r="D85" s="4">
        <v>3</v>
      </c>
      <c r="E85" s="4">
        <f>D85*C85</f>
        <v>2349</v>
      </c>
    </row>
    <row r="86" spans="1:11">
      <c r="B86" s="2" t="s">
        <v>149</v>
      </c>
      <c r="C86" s="2">
        <f>150+750+600+400+100+250</f>
        <v>2250</v>
      </c>
    </row>
    <row r="87" spans="1:11">
      <c r="B87" s="2" t="s">
        <v>74</v>
      </c>
      <c r="E87" s="4">
        <v>0</v>
      </c>
      <c r="F87" s="10" t="s">
        <v>79</v>
      </c>
    </row>
    <row r="88" spans="1:11">
      <c r="B88" s="2" t="s">
        <v>92</v>
      </c>
      <c r="E88" s="4">
        <v>500</v>
      </c>
    </row>
    <row r="89" spans="1:11">
      <c r="B89" s="2" t="s">
        <v>89</v>
      </c>
      <c r="E89" s="4">
        <v>5000</v>
      </c>
      <c r="G89" s="4">
        <f>4914.87</f>
        <v>4914.87</v>
      </c>
      <c r="I89" s="4">
        <f>G89</f>
        <v>4914.87</v>
      </c>
      <c r="J89" s="4">
        <f>I89</f>
        <v>4914.87</v>
      </c>
      <c r="K89" s="4">
        <f>I89-J89</f>
        <v>0</v>
      </c>
    </row>
    <row r="90" spans="1:11">
      <c r="B90" s="2" t="s">
        <v>184</v>
      </c>
      <c r="E90" s="4">
        <v>2000</v>
      </c>
    </row>
    <row r="91" spans="1:11">
      <c r="B91" s="2" t="s">
        <v>42</v>
      </c>
      <c r="E91" s="4">
        <v>500</v>
      </c>
    </row>
    <row r="92" spans="1:11">
      <c r="B92" s="2" t="s">
        <v>91</v>
      </c>
      <c r="E92" s="4">
        <v>6500</v>
      </c>
      <c r="F92" s="10" t="s">
        <v>170</v>
      </c>
      <c r="G92" s="4">
        <f>200</f>
        <v>200</v>
      </c>
      <c r="I92" s="4">
        <f>G92</f>
        <v>200</v>
      </c>
      <c r="J92" s="4">
        <f>I92</f>
        <v>200</v>
      </c>
      <c r="K92" s="4">
        <f>I92-J92</f>
        <v>0</v>
      </c>
    </row>
    <row r="93" spans="1:11">
      <c r="F93" s="10" t="s">
        <v>171</v>
      </c>
    </row>
    <row r="95" spans="1:11">
      <c r="A95" s="2">
        <v>15</v>
      </c>
    </row>
    <row r="96" spans="1:11">
      <c r="A96" s="7">
        <f>SUM(E96:E100)</f>
        <v>10350</v>
      </c>
      <c r="B96" s="2" t="s">
        <v>44</v>
      </c>
      <c r="E96" s="4">
        <v>2000</v>
      </c>
      <c r="G96" s="4">
        <f>332.23+591.12</f>
        <v>923.35</v>
      </c>
      <c r="I96" s="4">
        <f>G96</f>
        <v>923.35</v>
      </c>
      <c r="J96" s="4">
        <f>I96</f>
        <v>923.35</v>
      </c>
      <c r="K96" s="4">
        <f>I96-J96</f>
        <v>0</v>
      </c>
    </row>
    <row r="97" spans="1:11">
      <c r="A97" s="8" t="s">
        <v>72</v>
      </c>
    </row>
    <row r="98" spans="1:11">
      <c r="B98" s="2" t="s">
        <v>45</v>
      </c>
      <c r="C98" s="2">
        <v>500</v>
      </c>
      <c r="D98" s="4">
        <v>7</v>
      </c>
      <c r="E98" s="4">
        <f>D98*C98</f>
        <v>3500</v>
      </c>
      <c r="G98" s="4">
        <f>539</f>
        <v>539</v>
      </c>
      <c r="I98" s="4">
        <f>G98</f>
        <v>539</v>
      </c>
      <c r="J98" s="4">
        <f>I98</f>
        <v>539</v>
      </c>
      <c r="K98" s="4">
        <f>I98-J98</f>
        <v>0</v>
      </c>
    </row>
    <row r="99" spans="1:11">
      <c r="B99" s="2" t="s">
        <v>46</v>
      </c>
      <c r="C99" s="2">
        <v>350</v>
      </c>
      <c r="D99" s="4">
        <v>5</v>
      </c>
      <c r="E99" s="4">
        <f>D99*C99</f>
        <v>1750</v>
      </c>
      <c r="G99" s="4">
        <f>466.36</f>
        <v>466.36</v>
      </c>
      <c r="I99" s="4">
        <f>G99</f>
        <v>466.36</v>
      </c>
      <c r="J99" s="4">
        <f>I99</f>
        <v>466.36</v>
      </c>
      <c r="K99" s="4">
        <f>I99-J99</f>
        <v>0</v>
      </c>
    </row>
    <row r="100" spans="1:11">
      <c r="B100" s="2" t="s">
        <v>113</v>
      </c>
      <c r="C100" s="2" t="s">
        <v>115</v>
      </c>
      <c r="E100" s="4">
        <v>3100</v>
      </c>
      <c r="F100" s="10" t="s">
        <v>114</v>
      </c>
      <c r="G100" s="4">
        <f>3095</f>
        <v>3095</v>
      </c>
      <c r="I100" s="4">
        <f>G100</f>
        <v>3095</v>
      </c>
      <c r="J100" s="4">
        <f>I100</f>
        <v>3095</v>
      </c>
      <c r="K100" s="4">
        <f>I100-J100</f>
        <v>0</v>
      </c>
    </row>
    <row r="102" spans="1:11">
      <c r="B102" s="2" t="s">
        <v>47</v>
      </c>
      <c r="C102" s="2">
        <v>3</v>
      </c>
      <c r="D102" s="4">
        <v>400</v>
      </c>
      <c r="E102" s="4">
        <f>D102*C102</f>
        <v>1200</v>
      </c>
      <c r="G102" s="4">
        <f>1197.66</f>
        <v>1197.6600000000001</v>
      </c>
      <c r="I102" s="4">
        <f>G102</f>
        <v>1197.6600000000001</v>
      </c>
      <c r="J102" s="4">
        <f>I102</f>
        <v>1197.6600000000001</v>
      </c>
      <c r="K102" s="4">
        <f>J102-G102</f>
        <v>0</v>
      </c>
    </row>
    <row r="103" spans="1:11">
      <c r="B103" s="2" t="s">
        <v>48</v>
      </c>
      <c r="C103" s="2">
        <v>2</v>
      </c>
      <c r="D103" s="4">
        <v>500</v>
      </c>
      <c r="E103" s="4">
        <f>D103*C103</f>
        <v>1000</v>
      </c>
    </row>
    <row r="104" spans="1:11">
      <c r="A104" s="7">
        <f>SUM(E102:E108)</f>
        <v>12600</v>
      </c>
      <c r="B104" s="2" t="s">
        <v>78</v>
      </c>
      <c r="C104" s="2">
        <v>1</v>
      </c>
      <c r="D104" s="4">
        <v>500</v>
      </c>
      <c r="E104" s="4">
        <f>D104*C104</f>
        <v>500</v>
      </c>
    </row>
    <row r="105" spans="1:11">
      <c r="A105" s="8" t="s">
        <v>73</v>
      </c>
      <c r="B105" s="2" t="s">
        <v>49</v>
      </c>
      <c r="C105" s="2">
        <v>3</v>
      </c>
      <c r="D105" s="4">
        <v>1000</v>
      </c>
      <c r="E105" s="4">
        <f>D105*C105</f>
        <v>3000</v>
      </c>
      <c r="G105" s="4">
        <f>1750.9</f>
        <v>1750.9</v>
      </c>
      <c r="I105" s="4">
        <f>G105</f>
        <v>1750.9</v>
      </c>
      <c r="J105" s="4">
        <f>I105</f>
        <v>1750.9</v>
      </c>
      <c r="K105" s="4">
        <f>J105-G105</f>
        <v>0</v>
      </c>
    </row>
    <row r="106" spans="1:11">
      <c r="B106" s="2" t="s">
        <v>65</v>
      </c>
      <c r="C106" s="2">
        <v>1</v>
      </c>
      <c r="D106" s="4">
        <v>1900</v>
      </c>
      <c r="E106" s="4">
        <v>1900</v>
      </c>
      <c r="G106" s="4">
        <f>1892.33</f>
        <v>1892.33</v>
      </c>
      <c r="I106" s="4">
        <f>G106</f>
        <v>1892.33</v>
      </c>
      <c r="J106" s="4">
        <f>I106</f>
        <v>1892.33</v>
      </c>
      <c r="K106" s="4">
        <f>J106-G106</f>
        <v>0</v>
      </c>
    </row>
    <row r="107" spans="1:11">
      <c r="B107" s="2" t="s">
        <v>50</v>
      </c>
      <c r="C107" s="2">
        <v>1</v>
      </c>
      <c r="D107" s="4">
        <v>1000</v>
      </c>
      <c r="E107" s="4">
        <f>D107*C107</f>
        <v>1000</v>
      </c>
    </row>
    <row r="108" spans="1:11">
      <c r="B108" s="2" t="s">
        <v>53</v>
      </c>
      <c r="E108" s="4">
        <v>4000</v>
      </c>
      <c r="F108" s="10" t="s">
        <v>119</v>
      </c>
      <c r="G108" s="4">
        <v>3000</v>
      </c>
      <c r="I108" s="4">
        <f>G108</f>
        <v>3000</v>
      </c>
      <c r="J108" s="4">
        <f>I108</f>
        <v>3000</v>
      </c>
      <c r="K108" s="4">
        <f>I108-J108</f>
        <v>0</v>
      </c>
    </row>
    <row r="110" spans="1:11">
      <c r="A110" s="2">
        <v>16</v>
      </c>
      <c r="B110" s="2" t="s">
        <v>62</v>
      </c>
      <c r="C110" s="2">
        <v>25</v>
      </c>
      <c r="D110" s="4">
        <v>250</v>
      </c>
      <c r="E110" s="4">
        <v>5000</v>
      </c>
    </row>
    <row r="111" spans="1:11">
      <c r="A111" s="7">
        <f>SUM(E110:E114)</f>
        <v>16800</v>
      </c>
      <c r="B111" s="2" t="s">
        <v>63</v>
      </c>
      <c r="E111" s="4">
        <v>5000</v>
      </c>
      <c r="G111" s="4">
        <v>13800</v>
      </c>
      <c r="I111" s="4">
        <f>G111</f>
        <v>13800</v>
      </c>
      <c r="J111" s="13">
        <f>3000+3800</f>
        <v>6800</v>
      </c>
      <c r="K111" s="4">
        <f>I111-J111</f>
        <v>7000</v>
      </c>
    </row>
    <row r="112" spans="1:11">
      <c r="B112" s="2" t="s">
        <v>90</v>
      </c>
      <c r="E112" s="4">
        <v>2000</v>
      </c>
      <c r="G112" s="4">
        <v>0</v>
      </c>
    </row>
    <row r="113" spans="2:11">
      <c r="B113" s="2" t="s">
        <v>64</v>
      </c>
      <c r="E113" s="4">
        <v>2000</v>
      </c>
      <c r="G113" s="4">
        <f>3.04</f>
        <v>3.04</v>
      </c>
      <c r="I113" s="4">
        <f>G113</f>
        <v>3.04</v>
      </c>
      <c r="J113" s="4">
        <f>I113</f>
        <v>3.04</v>
      </c>
      <c r="K113" s="4">
        <f>I113-J113</f>
        <v>0</v>
      </c>
    </row>
    <row r="114" spans="2:11">
      <c r="B114" s="2" t="s">
        <v>66</v>
      </c>
      <c r="E114" s="4">
        <v>2800</v>
      </c>
      <c r="F114" s="10" t="s">
        <v>96</v>
      </c>
      <c r="G114" s="4">
        <v>2770</v>
      </c>
      <c r="I114" s="4">
        <f>G114</f>
        <v>2770</v>
      </c>
      <c r="J114" s="4">
        <v>0</v>
      </c>
      <c r="K114" s="4">
        <f>I114-J114</f>
        <v>2770</v>
      </c>
    </row>
    <row r="115" spans="2:11">
      <c r="F115" s="10" t="s">
        <v>97</v>
      </c>
    </row>
    <row r="116" spans="2:11">
      <c r="B116" s="2" t="s">
        <v>76</v>
      </c>
      <c r="E116" s="4">
        <v>0</v>
      </c>
      <c r="F116" s="4" t="s">
        <v>98</v>
      </c>
    </row>
    <row r="117" spans="2:11">
      <c r="B117" s="2" t="s">
        <v>15</v>
      </c>
      <c r="E117" s="4">
        <f>SUM(E5:E116)</f>
        <v>256706</v>
      </c>
    </row>
    <row r="119" spans="2:11">
      <c r="G119" s="4">
        <f>SUM(G5:G118)</f>
        <v>183795.70999999996</v>
      </c>
      <c r="H119" s="4">
        <f>SUM(H5:H118)</f>
        <v>0</v>
      </c>
      <c r="I119" s="4">
        <f>SUM(I5:I118)</f>
        <v>186512.03999999995</v>
      </c>
      <c r="J119" s="4">
        <f>SUM(J5:J118)</f>
        <v>126087.17</v>
      </c>
      <c r="K119" s="4">
        <f>SUM(K5:K118)</f>
        <v>61421.289999999994</v>
      </c>
    </row>
  </sheetData>
  <hyperlinks>
    <hyperlink ref="F9" r:id="rId1"/>
    <hyperlink ref="F51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C1:I19"/>
  <sheetViews>
    <sheetView workbookViewId="0">
      <selection activeCell="F8" sqref="F8"/>
    </sheetView>
  </sheetViews>
  <sheetFormatPr defaultRowHeight="15"/>
  <cols>
    <col min="3" max="3" width="17.7109375" customWidth="1"/>
    <col min="4" max="4" width="19.42578125" customWidth="1"/>
    <col min="5" max="5" width="15.7109375" customWidth="1"/>
    <col min="6" max="6" width="17.28515625" customWidth="1"/>
    <col min="7" max="7" width="12.5703125" bestFit="1" customWidth="1"/>
    <col min="9" max="9" width="12.5703125" bestFit="1" customWidth="1"/>
  </cols>
  <sheetData>
    <row r="1" spans="3:9">
      <c r="G1" t="s">
        <v>106</v>
      </c>
      <c r="I1" t="s">
        <v>160</v>
      </c>
    </row>
    <row r="2" spans="3:9">
      <c r="G2" s="3">
        <f>budget!B1-budget!E1</f>
        <v>130618.83</v>
      </c>
      <c r="I2" s="3">
        <f>F12-G2</f>
        <v>-3618.8300000000017</v>
      </c>
    </row>
    <row r="3" spans="3:9">
      <c r="F3" t="s">
        <v>108</v>
      </c>
    </row>
    <row r="4" spans="3:9">
      <c r="C4" t="s">
        <v>0</v>
      </c>
      <c r="D4" s="1">
        <v>40000</v>
      </c>
      <c r="F4" s="1">
        <v>75000</v>
      </c>
      <c r="I4" s="3"/>
    </row>
    <row r="5" spans="3:9">
      <c r="C5" t="s">
        <v>1</v>
      </c>
      <c r="D5" s="1">
        <v>4000</v>
      </c>
      <c r="F5" s="1">
        <v>1000</v>
      </c>
    </row>
    <row r="6" spans="3:9">
      <c r="C6" t="s">
        <v>2</v>
      </c>
      <c r="D6" s="1">
        <v>15000</v>
      </c>
      <c r="F6" s="1">
        <v>11000</v>
      </c>
    </row>
    <row r="7" spans="3:9">
      <c r="C7" t="s">
        <v>3</v>
      </c>
      <c r="D7" s="1">
        <v>0</v>
      </c>
      <c r="F7" s="1">
        <v>40000</v>
      </c>
    </row>
    <row r="8" spans="3:9">
      <c r="C8" t="s">
        <v>4</v>
      </c>
      <c r="D8" s="1">
        <v>10000</v>
      </c>
      <c r="F8" s="1">
        <v>0</v>
      </c>
    </row>
    <row r="9" spans="3:9">
      <c r="C9" t="s">
        <v>5</v>
      </c>
      <c r="D9" s="1">
        <v>100000</v>
      </c>
      <c r="F9" s="1">
        <v>0</v>
      </c>
    </row>
    <row r="10" spans="3:9">
      <c r="C10" t="s">
        <v>188</v>
      </c>
      <c r="D10" s="1">
        <v>33000</v>
      </c>
      <c r="F10" s="1">
        <v>0</v>
      </c>
    </row>
    <row r="11" spans="3:9">
      <c r="D11" s="1"/>
      <c r="F11" s="1"/>
    </row>
    <row r="12" spans="3:9">
      <c r="D12" s="1">
        <f>SUM(D4:D10)</f>
        <v>202000</v>
      </c>
      <c r="E12" s="1">
        <f>SUM(E4:E10)</f>
        <v>0</v>
      </c>
      <c r="F12" s="16">
        <f>SUM(F4:F10)</f>
        <v>127000</v>
      </c>
      <c r="G12" s="3"/>
    </row>
    <row r="13" spans="3:9">
      <c r="D13" t="s">
        <v>86</v>
      </c>
      <c r="E13" t="s">
        <v>101</v>
      </c>
      <c r="F13" s="2"/>
    </row>
    <row r="14" spans="3:9">
      <c r="C14" t="s">
        <v>102</v>
      </c>
      <c r="D14">
        <v>1038</v>
      </c>
      <c r="E14">
        <f>129+265</f>
        <v>394</v>
      </c>
      <c r="F14" t="s">
        <v>99</v>
      </c>
    </row>
    <row r="15" spans="3:9">
      <c r="C15" t="s">
        <v>103</v>
      </c>
      <c r="D15">
        <v>825</v>
      </c>
      <c r="E15">
        <v>490</v>
      </c>
      <c r="F15" t="s">
        <v>99</v>
      </c>
    </row>
    <row r="16" spans="3:9">
      <c r="C16" t="s">
        <v>100</v>
      </c>
      <c r="D16">
        <f>SUM(D14:D15)</f>
        <v>1863</v>
      </c>
      <c r="E16">
        <f>SUM(E14:E15)</f>
        <v>884</v>
      </c>
      <c r="F16" t="s">
        <v>99</v>
      </c>
    </row>
    <row r="18" spans="3:4">
      <c r="C18" t="s">
        <v>104</v>
      </c>
      <c r="D18">
        <f>D16+E16</f>
        <v>2747</v>
      </c>
    </row>
    <row r="19" spans="3:4">
      <c r="C19" t="s">
        <v>105</v>
      </c>
      <c r="D19" s="1">
        <f>D18*500</f>
        <v>1373500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4"/>
  <sheetViews>
    <sheetView workbookViewId="0">
      <selection activeCell="K31" sqref="K31"/>
    </sheetView>
  </sheetViews>
  <sheetFormatPr defaultRowHeight="15"/>
  <cols>
    <col min="2" max="2" width="10.5703125" bestFit="1" customWidth="1"/>
    <col min="3" max="3" width="9.28515625" bestFit="1" customWidth="1"/>
    <col min="4" max="4" width="10.7109375" customWidth="1"/>
    <col min="5" max="6" width="10.5703125" bestFit="1" customWidth="1"/>
    <col min="8" max="8" width="10.5703125" bestFit="1" customWidth="1"/>
    <col min="10" max="10" width="11.28515625" customWidth="1"/>
    <col min="13" max="14" width="10.5703125" bestFit="1" customWidth="1"/>
    <col min="19" max="19" width="15.28515625" customWidth="1"/>
  </cols>
  <sheetData>
    <row r="1" spans="1:22">
      <c r="A1" s="21" t="s">
        <v>162</v>
      </c>
      <c r="B1" s="22" t="s">
        <v>167</v>
      </c>
      <c r="C1" s="22" t="s">
        <v>172</v>
      </c>
      <c r="D1" s="22" t="s">
        <v>168</v>
      </c>
      <c r="E1" s="22"/>
      <c r="F1" s="22"/>
      <c r="G1" s="22"/>
      <c r="H1" s="23"/>
      <c r="I1" s="21" t="s">
        <v>173</v>
      </c>
      <c r="J1" s="22"/>
      <c r="K1" s="22"/>
      <c r="L1" s="22"/>
      <c r="M1" s="22"/>
      <c r="N1" s="22"/>
      <c r="O1" s="22"/>
      <c r="P1" s="22"/>
      <c r="Q1" s="23"/>
      <c r="R1" s="21" t="s">
        <v>189</v>
      </c>
      <c r="S1" s="22"/>
      <c r="T1" s="22"/>
      <c r="U1" s="22"/>
      <c r="V1" s="23"/>
    </row>
    <row r="2" spans="1:22">
      <c r="A2" s="24" t="s">
        <v>163</v>
      </c>
      <c r="B2" s="25"/>
      <c r="C2" s="25"/>
      <c r="D2" s="25"/>
      <c r="E2" s="25"/>
      <c r="F2" s="25"/>
      <c r="G2" s="25"/>
      <c r="H2" s="26"/>
      <c r="I2" s="24"/>
      <c r="J2" s="25" t="s">
        <v>175</v>
      </c>
      <c r="K2" s="25" t="s">
        <v>174</v>
      </c>
      <c r="L2" s="25" t="s">
        <v>176</v>
      </c>
      <c r="M2" s="36" t="s">
        <v>177</v>
      </c>
      <c r="N2" s="25"/>
      <c r="O2" s="25"/>
      <c r="P2" s="25"/>
      <c r="Q2" s="26"/>
      <c r="R2" s="24"/>
      <c r="S2" s="25"/>
      <c r="T2" s="25" t="s">
        <v>207</v>
      </c>
      <c r="U2" s="25"/>
      <c r="V2" s="26"/>
    </row>
    <row r="3" spans="1:22">
      <c r="A3" s="24" t="s">
        <v>166</v>
      </c>
      <c r="B3" s="25"/>
      <c r="C3" s="25">
        <f>50*10</f>
        <v>500</v>
      </c>
      <c r="D3" s="25">
        <f>C3+B3</f>
        <v>500</v>
      </c>
      <c r="E3" s="25"/>
      <c r="F3" s="25"/>
      <c r="G3" s="25"/>
      <c r="H3" s="26"/>
      <c r="I3" s="24" t="s">
        <v>30</v>
      </c>
      <c r="J3" s="25">
        <v>1</v>
      </c>
      <c r="K3" s="25" t="s">
        <v>178</v>
      </c>
      <c r="L3" s="25">
        <f>44*12</f>
        <v>528</v>
      </c>
      <c r="M3" s="27">
        <f>L3*1.37</f>
        <v>723.36</v>
      </c>
      <c r="N3" s="25"/>
      <c r="O3" s="25"/>
      <c r="P3" s="25"/>
      <c r="Q3" s="26"/>
      <c r="R3" s="24"/>
      <c r="S3" s="34" t="s">
        <v>178</v>
      </c>
      <c r="T3" s="25" t="s">
        <v>190</v>
      </c>
      <c r="U3" s="25"/>
      <c r="V3" s="26"/>
    </row>
    <row r="4" spans="1:22">
      <c r="A4" s="24" t="s">
        <v>165</v>
      </c>
      <c r="B4" s="25">
        <v>290</v>
      </c>
      <c r="C4" s="25"/>
      <c r="D4" s="25">
        <f>C4+B4</f>
        <v>290</v>
      </c>
      <c r="E4" s="25"/>
      <c r="F4" s="25"/>
      <c r="G4" s="25"/>
      <c r="H4" s="26"/>
      <c r="I4" s="24" t="s">
        <v>112</v>
      </c>
      <c r="J4" s="25">
        <v>1</v>
      </c>
      <c r="K4" s="25" t="s">
        <v>178</v>
      </c>
      <c r="L4" s="25">
        <f>4*16</f>
        <v>64</v>
      </c>
      <c r="M4" s="27">
        <f>L4*1.37</f>
        <v>87.68</v>
      </c>
      <c r="N4" s="25"/>
      <c r="O4" s="25"/>
      <c r="P4" s="25"/>
      <c r="Q4" s="26"/>
      <c r="R4" s="24"/>
      <c r="S4" s="34">
        <v>1</v>
      </c>
      <c r="T4" s="25" t="s">
        <v>194</v>
      </c>
      <c r="U4" s="25"/>
      <c r="V4" s="26"/>
    </row>
    <row r="5" spans="1:22">
      <c r="A5" s="24"/>
      <c r="B5" s="25"/>
      <c r="C5" s="25"/>
      <c r="D5" s="25"/>
      <c r="E5" s="25"/>
      <c r="F5" s="25"/>
      <c r="G5" s="25"/>
      <c r="H5" s="26"/>
      <c r="I5" s="24" t="s">
        <v>179</v>
      </c>
      <c r="J5" s="25">
        <v>1</v>
      </c>
      <c r="K5" s="36" t="s">
        <v>178</v>
      </c>
      <c r="L5" s="25">
        <v>300</v>
      </c>
      <c r="M5" s="27">
        <f>L5*1.37</f>
        <v>411.00000000000006</v>
      </c>
      <c r="N5" s="25"/>
      <c r="O5" s="25"/>
      <c r="P5" s="25"/>
      <c r="Q5" s="26"/>
      <c r="R5" s="24"/>
      <c r="S5" s="34">
        <v>1</v>
      </c>
      <c r="T5" s="25" t="s">
        <v>192</v>
      </c>
      <c r="U5" s="25"/>
      <c r="V5" s="26"/>
    </row>
    <row r="6" spans="1:22">
      <c r="A6" s="24" t="s">
        <v>164</v>
      </c>
      <c r="B6" s="25"/>
      <c r="C6" s="25"/>
      <c r="D6" s="25"/>
      <c r="E6" s="25"/>
      <c r="F6" s="25"/>
      <c r="G6" s="25"/>
      <c r="H6" s="26"/>
      <c r="I6" s="24"/>
      <c r="J6" s="36">
        <v>2</v>
      </c>
      <c r="K6" s="36" t="s">
        <v>180</v>
      </c>
      <c r="L6" s="25" t="s">
        <v>181</v>
      </c>
      <c r="M6" s="27">
        <v>3.18</v>
      </c>
      <c r="N6" s="25"/>
      <c r="O6" s="25"/>
      <c r="P6" s="25"/>
      <c r="Q6" s="26"/>
      <c r="R6" s="24"/>
      <c r="S6" s="34">
        <v>8</v>
      </c>
      <c r="T6" s="25" t="s">
        <v>193</v>
      </c>
      <c r="U6" s="25"/>
      <c r="V6" s="26"/>
    </row>
    <row r="7" spans="1:22">
      <c r="A7" s="24" t="s">
        <v>165</v>
      </c>
      <c r="B7" s="25">
        <v>320</v>
      </c>
      <c r="C7" s="25">
        <v>300</v>
      </c>
      <c r="D7" s="25">
        <f>C7+B7</f>
        <v>620</v>
      </c>
      <c r="E7" s="25"/>
      <c r="F7" s="25"/>
      <c r="G7" s="25"/>
      <c r="H7" s="26"/>
      <c r="I7" s="24" t="s">
        <v>182</v>
      </c>
      <c r="J7" s="36">
        <v>1</v>
      </c>
      <c r="K7" s="36" t="s">
        <v>183</v>
      </c>
      <c r="L7" s="25">
        <f>20*4*10</f>
        <v>800</v>
      </c>
      <c r="M7" s="27">
        <f>L7*2.87</f>
        <v>2296</v>
      </c>
      <c r="N7" s="25"/>
      <c r="O7" s="25"/>
      <c r="P7" s="25"/>
      <c r="Q7" s="26"/>
      <c r="R7" s="24"/>
      <c r="S7" s="34"/>
      <c r="T7" s="25" t="s">
        <v>195</v>
      </c>
      <c r="U7" s="25"/>
      <c r="V7" s="26"/>
    </row>
    <row r="8" spans="1:22">
      <c r="A8" s="24" t="s">
        <v>142</v>
      </c>
      <c r="B8" s="25">
        <v>600</v>
      </c>
      <c r="C8" s="25"/>
      <c r="D8" s="25">
        <f>C8+B8</f>
        <v>600</v>
      </c>
      <c r="E8" s="25"/>
      <c r="F8" s="25"/>
      <c r="G8" s="25"/>
      <c r="H8" s="26"/>
      <c r="I8" s="24"/>
      <c r="J8" s="25"/>
      <c r="K8" s="25"/>
      <c r="L8" s="25"/>
      <c r="M8" s="27"/>
      <c r="N8" s="25"/>
      <c r="O8" s="25"/>
      <c r="P8" s="25"/>
      <c r="Q8" s="26"/>
      <c r="R8" s="24"/>
      <c r="S8" s="34">
        <v>1</v>
      </c>
      <c r="T8" s="25" t="s">
        <v>191</v>
      </c>
      <c r="U8" s="25"/>
      <c r="V8" s="26"/>
    </row>
    <row r="9" spans="1:22">
      <c r="A9" s="24" t="s">
        <v>166</v>
      </c>
      <c r="B9" s="25"/>
      <c r="C9" s="25">
        <f>90*10</f>
        <v>900</v>
      </c>
      <c r="D9" s="25">
        <f>C9+B9</f>
        <v>900</v>
      </c>
      <c r="E9" s="25"/>
      <c r="F9" s="25"/>
      <c r="G9" s="25"/>
      <c r="H9" s="26"/>
      <c r="I9" s="24"/>
      <c r="J9" s="25"/>
      <c r="K9" s="25"/>
      <c r="L9" s="25"/>
      <c r="M9" s="27"/>
      <c r="N9" s="25"/>
      <c r="O9" s="25"/>
      <c r="P9" s="25"/>
      <c r="Q9" s="26"/>
      <c r="R9" s="24"/>
      <c r="S9" s="34" t="s">
        <v>197</v>
      </c>
      <c r="T9" s="25" t="s">
        <v>196</v>
      </c>
      <c r="U9" s="25"/>
      <c r="V9" s="26"/>
    </row>
    <row r="10" spans="1:22">
      <c r="A10" s="24" t="s">
        <v>133</v>
      </c>
      <c r="B10" s="25">
        <f>SUM(B3:B9)</f>
        <v>1210</v>
      </c>
      <c r="C10" s="25">
        <f>SUM(C3:C9)</f>
        <v>1700</v>
      </c>
      <c r="D10" s="25">
        <f>SUM(D3:D9)</f>
        <v>2910</v>
      </c>
      <c r="E10" s="25"/>
      <c r="F10" s="25"/>
      <c r="G10" s="25"/>
      <c r="H10" s="26"/>
      <c r="I10" s="24"/>
      <c r="J10" s="25"/>
      <c r="K10" s="25"/>
      <c r="L10" s="25"/>
      <c r="M10" s="27"/>
      <c r="N10" s="25"/>
      <c r="O10" s="25"/>
      <c r="P10" s="25"/>
      <c r="Q10" s="26"/>
      <c r="R10" s="24"/>
      <c r="S10" s="34" t="s">
        <v>198</v>
      </c>
      <c r="T10" s="25" t="s">
        <v>199</v>
      </c>
      <c r="U10" s="25"/>
      <c r="V10" s="26"/>
    </row>
    <row r="11" spans="1:22" ht="15.75" thickBot="1">
      <c r="A11" s="29" t="s">
        <v>169</v>
      </c>
      <c r="B11" s="32">
        <f>70*(B10/64)</f>
        <v>1323.4375</v>
      </c>
      <c r="C11" s="32">
        <f>37.25*(C10/64)</f>
        <v>989.453125</v>
      </c>
      <c r="D11" s="32">
        <f>5*630</f>
        <v>3150</v>
      </c>
      <c r="E11" s="32">
        <f>SUM(B11:D11)</f>
        <v>5462.890625</v>
      </c>
      <c r="F11" s="30"/>
      <c r="G11" s="30"/>
      <c r="H11" s="35"/>
      <c r="I11" s="24" t="s">
        <v>11</v>
      </c>
      <c r="J11" s="25"/>
      <c r="K11" s="25"/>
      <c r="L11" s="25"/>
      <c r="M11" s="27">
        <f>SUM(M3:M10)</f>
        <v>3521.2200000000003</v>
      </c>
      <c r="N11" s="25"/>
      <c r="O11" s="25"/>
      <c r="P11" s="25"/>
      <c r="Q11" s="26"/>
      <c r="R11" s="24"/>
      <c r="S11" s="34" t="s">
        <v>201</v>
      </c>
      <c r="T11" s="25" t="s">
        <v>200</v>
      </c>
      <c r="U11" s="25"/>
      <c r="V11" s="26"/>
    </row>
    <row r="12" spans="1:22">
      <c r="A12" s="21"/>
      <c r="B12" s="22"/>
      <c r="C12" s="22" t="s">
        <v>121</v>
      </c>
      <c r="D12" s="22" t="s">
        <v>122</v>
      </c>
      <c r="E12" s="22"/>
      <c r="F12" s="22"/>
      <c r="G12" s="22" t="s">
        <v>126</v>
      </c>
      <c r="H12" s="23"/>
      <c r="I12" s="24"/>
      <c r="J12" s="25"/>
      <c r="K12" s="25"/>
      <c r="L12" s="25"/>
      <c r="M12" s="27"/>
      <c r="N12" s="25"/>
      <c r="O12" s="25"/>
      <c r="P12" s="25"/>
      <c r="Q12" s="26"/>
      <c r="R12" s="24"/>
      <c r="S12" s="34" t="s">
        <v>202</v>
      </c>
      <c r="T12" s="25" t="s">
        <v>200</v>
      </c>
      <c r="U12" s="25"/>
      <c r="V12" s="26"/>
    </row>
    <row r="13" spans="1:22">
      <c r="A13" s="24"/>
      <c r="B13" s="34">
        <v>4</v>
      </c>
      <c r="C13" s="34" t="s">
        <v>123</v>
      </c>
      <c r="D13" s="25" t="s">
        <v>124</v>
      </c>
      <c r="E13" s="25" t="s">
        <v>125</v>
      </c>
      <c r="F13" s="25"/>
      <c r="G13" s="25">
        <f>8.5*24</f>
        <v>204</v>
      </c>
      <c r="H13" s="26"/>
      <c r="I13" s="24"/>
      <c r="J13" s="25"/>
      <c r="K13" s="25"/>
      <c r="L13" s="25"/>
      <c r="M13" s="27"/>
      <c r="N13" s="25"/>
      <c r="O13" s="25"/>
      <c r="P13" s="25"/>
      <c r="Q13" s="26"/>
      <c r="R13" s="24"/>
      <c r="S13" s="25"/>
      <c r="T13" s="25"/>
      <c r="U13" s="25"/>
      <c r="V13" s="26"/>
    </row>
    <row r="14" spans="1:22" ht="15.75" thickBot="1">
      <c r="A14" s="29"/>
      <c r="B14" s="30">
        <v>10</v>
      </c>
      <c r="C14" s="30" t="s">
        <v>148</v>
      </c>
      <c r="D14" s="30"/>
      <c r="E14" s="30"/>
      <c r="F14" s="30"/>
      <c r="G14" s="30"/>
      <c r="H14" s="35"/>
      <c r="I14" s="24"/>
      <c r="J14" s="25"/>
      <c r="K14" s="25"/>
      <c r="L14" s="25"/>
      <c r="M14" s="27"/>
      <c r="N14" s="25"/>
      <c r="O14" s="25"/>
      <c r="P14" s="25"/>
      <c r="Q14" s="26"/>
      <c r="R14" s="24"/>
      <c r="S14" s="25"/>
      <c r="T14" s="25"/>
      <c r="U14" s="25"/>
      <c r="V14" s="26"/>
    </row>
    <row r="15" spans="1:22">
      <c r="A15" s="21"/>
      <c r="B15" s="22" t="s">
        <v>109</v>
      </c>
      <c r="C15" s="22" t="s">
        <v>132</v>
      </c>
      <c r="D15" s="22"/>
      <c r="E15" s="22"/>
      <c r="F15" s="22"/>
      <c r="G15" s="22"/>
      <c r="H15" s="23"/>
      <c r="I15" s="24"/>
      <c r="J15" s="25"/>
      <c r="K15" s="25"/>
      <c r="L15" s="25"/>
      <c r="M15" s="27"/>
      <c r="N15" s="25"/>
      <c r="O15" s="25"/>
      <c r="P15" s="25"/>
      <c r="Q15" s="26"/>
      <c r="R15" s="24"/>
      <c r="S15" s="25">
        <f>T15/3.14159</f>
        <v>6.3662031009775308</v>
      </c>
      <c r="T15" s="25">
        <v>20</v>
      </c>
      <c r="U15" s="25" t="s">
        <v>205</v>
      </c>
      <c r="V15" s="26"/>
    </row>
    <row r="16" spans="1:22">
      <c r="A16" s="24"/>
      <c r="B16" s="25" t="s">
        <v>134</v>
      </c>
      <c r="C16" s="25">
        <v>260</v>
      </c>
      <c r="D16" s="25"/>
      <c r="E16" s="25"/>
      <c r="F16" s="25"/>
      <c r="G16" s="25"/>
      <c r="H16" s="26"/>
      <c r="I16" s="24"/>
      <c r="J16" s="25"/>
      <c r="K16" s="25"/>
      <c r="L16" s="25"/>
      <c r="M16" s="27"/>
      <c r="N16" s="25"/>
      <c r="O16" s="25"/>
      <c r="P16" s="25"/>
      <c r="Q16" s="26"/>
      <c r="R16" s="24"/>
      <c r="S16" s="25" t="s">
        <v>206</v>
      </c>
      <c r="T16" s="25"/>
      <c r="U16" s="25"/>
      <c r="V16" s="26"/>
    </row>
    <row r="17" spans="1:22" ht="15.75" thickBot="1">
      <c r="A17" s="24"/>
      <c r="B17" s="25" t="s">
        <v>135</v>
      </c>
      <c r="C17" s="25">
        <v>570</v>
      </c>
      <c r="D17" s="25"/>
      <c r="E17" s="25"/>
      <c r="F17" s="25"/>
      <c r="G17" s="25"/>
      <c r="H17" s="26"/>
      <c r="I17" s="29"/>
      <c r="J17" s="30"/>
      <c r="K17" s="30"/>
      <c r="L17" s="30"/>
      <c r="M17" s="32"/>
      <c r="N17" s="30"/>
      <c r="O17" s="30"/>
      <c r="P17" s="30"/>
      <c r="Q17" s="35"/>
      <c r="R17" s="29"/>
      <c r="S17" s="30"/>
      <c r="T17" s="30"/>
      <c r="U17" s="30"/>
      <c r="V17" s="35"/>
    </row>
    <row r="18" spans="1:22">
      <c r="A18" s="24"/>
      <c r="B18" s="25" t="s">
        <v>136</v>
      </c>
      <c r="C18" s="25">
        <v>270</v>
      </c>
      <c r="D18" s="25"/>
      <c r="E18" s="25"/>
      <c r="F18" s="25"/>
      <c r="G18" s="25"/>
      <c r="H18" s="26"/>
      <c r="I18" s="21"/>
      <c r="J18" s="22"/>
      <c r="K18" s="22"/>
      <c r="L18" s="22"/>
      <c r="M18" s="22"/>
      <c r="N18" s="22"/>
      <c r="O18" s="22"/>
      <c r="P18" s="22"/>
      <c r="Q18" s="23"/>
    </row>
    <row r="19" spans="1:22">
      <c r="A19" s="24"/>
      <c r="B19" s="25" t="s">
        <v>137</v>
      </c>
      <c r="C19" s="25">
        <v>270</v>
      </c>
      <c r="D19" s="25"/>
      <c r="E19" s="25"/>
      <c r="F19" s="25"/>
      <c r="G19" s="25"/>
      <c r="H19" s="26"/>
      <c r="I19" s="24"/>
      <c r="J19" s="25"/>
      <c r="K19" s="25"/>
      <c r="L19" s="25"/>
      <c r="M19" s="25"/>
      <c r="N19" s="25"/>
      <c r="O19" s="25"/>
      <c r="P19" s="25"/>
      <c r="Q19" s="26"/>
    </row>
    <row r="20" spans="1:22">
      <c r="A20" s="24"/>
      <c r="B20" s="25" t="s">
        <v>133</v>
      </c>
      <c r="C20" s="25">
        <f>SUM(C16:C19)</f>
        <v>1370</v>
      </c>
      <c r="D20" s="25" t="s">
        <v>99</v>
      </c>
      <c r="E20" s="25"/>
      <c r="F20" s="25"/>
      <c r="G20" s="25"/>
      <c r="H20" s="26"/>
      <c r="I20" s="24"/>
      <c r="J20" s="25"/>
      <c r="K20" s="25"/>
      <c r="L20" s="25"/>
      <c r="M20" s="25"/>
      <c r="N20" s="25"/>
      <c r="O20" s="25"/>
      <c r="P20" s="25"/>
      <c r="Q20" s="26"/>
    </row>
    <row r="21" spans="1:22">
      <c r="A21" s="24"/>
      <c r="B21" s="25"/>
      <c r="C21" s="25"/>
      <c r="D21" s="25" t="s">
        <v>140</v>
      </c>
      <c r="E21" s="25"/>
      <c r="F21" s="25"/>
      <c r="G21" s="25"/>
      <c r="H21" s="26"/>
      <c r="I21" s="24"/>
      <c r="J21" s="25"/>
      <c r="K21" s="25"/>
      <c r="L21" s="25"/>
      <c r="M21" s="25"/>
      <c r="N21" s="25"/>
      <c r="O21" s="25"/>
      <c r="P21" s="25"/>
      <c r="Q21" s="26"/>
    </row>
    <row r="22" spans="1:22">
      <c r="A22" s="24" t="s">
        <v>141</v>
      </c>
      <c r="B22" s="25" t="s">
        <v>139</v>
      </c>
      <c r="C22" s="25">
        <f>C20/32</f>
        <v>42.8125</v>
      </c>
      <c r="D22" s="25"/>
      <c r="E22" s="25"/>
      <c r="F22" s="25"/>
      <c r="G22" s="25"/>
      <c r="H22" s="26"/>
      <c r="I22" s="24"/>
      <c r="J22" s="25"/>
      <c r="K22" s="25"/>
      <c r="L22" s="25"/>
      <c r="M22" s="25"/>
      <c r="N22" s="25"/>
      <c r="O22" s="25"/>
      <c r="P22" s="25"/>
      <c r="Q22" s="26"/>
    </row>
    <row r="23" spans="1:22">
      <c r="A23" s="24" t="s">
        <v>147</v>
      </c>
      <c r="B23" s="25" t="s">
        <v>138</v>
      </c>
      <c r="C23" s="25">
        <v>50</v>
      </c>
      <c r="D23" s="27">
        <v>20.68</v>
      </c>
      <c r="E23" s="27">
        <f>D23*C23</f>
        <v>1034</v>
      </c>
      <c r="F23" s="25"/>
      <c r="G23" s="25"/>
      <c r="H23" s="26"/>
      <c r="I23" s="24"/>
      <c r="J23" s="25"/>
      <c r="K23" s="25"/>
      <c r="L23" s="25"/>
      <c r="M23" s="25"/>
      <c r="N23" s="25"/>
      <c r="O23" s="25"/>
      <c r="P23" s="25"/>
      <c r="Q23" s="26"/>
    </row>
    <row r="24" spans="1:22">
      <c r="A24" s="24"/>
      <c r="B24" s="25"/>
      <c r="C24" s="25"/>
      <c r="D24" s="25"/>
      <c r="E24" s="25"/>
      <c r="F24" s="25"/>
      <c r="G24" s="25"/>
      <c r="H24" s="26"/>
      <c r="I24" s="24" t="s">
        <v>130</v>
      </c>
      <c r="J24" s="25"/>
      <c r="K24" s="25"/>
      <c r="L24" s="25"/>
      <c r="M24" s="25"/>
      <c r="N24" s="25"/>
      <c r="O24" s="25"/>
      <c r="P24" s="25"/>
      <c r="Q24" s="26"/>
    </row>
    <row r="25" spans="1:22">
      <c r="A25" s="24"/>
      <c r="B25" s="25" t="s">
        <v>142</v>
      </c>
      <c r="C25" s="25">
        <f>750+300</f>
        <v>1050</v>
      </c>
      <c r="D25" s="25" t="s">
        <v>99</v>
      </c>
      <c r="E25" s="25"/>
      <c r="F25" s="25"/>
      <c r="G25" s="25"/>
      <c r="H25" s="26"/>
      <c r="I25" s="24" t="s">
        <v>204</v>
      </c>
      <c r="J25" s="25">
        <v>25</v>
      </c>
      <c r="K25" s="25">
        <v>20</v>
      </c>
      <c r="L25" s="25">
        <v>20</v>
      </c>
      <c r="M25" s="25">
        <v>15</v>
      </c>
      <c r="N25" s="25"/>
      <c r="O25" s="25"/>
      <c r="P25" s="25"/>
      <c r="Q25" s="26"/>
    </row>
    <row r="26" spans="1:22">
      <c r="A26" s="28" t="s">
        <v>144</v>
      </c>
      <c r="B26" s="25"/>
      <c r="C26" s="25">
        <f>C25/32</f>
        <v>32.8125</v>
      </c>
      <c r="D26" s="25"/>
      <c r="E26" s="25"/>
      <c r="F26" s="25"/>
      <c r="G26" s="25"/>
      <c r="H26" s="26"/>
      <c r="I26" s="24" t="s">
        <v>203</v>
      </c>
      <c r="J26" s="25">
        <f>8+9+6+10+9</f>
        <v>42</v>
      </c>
      <c r="K26" s="25">
        <f>8+9+8+10+9</f>
        <v>44</v>
      </c>
      <c r="L26" s="25">
        <f>8+9+10+9</f>
        <v>36</v>
      </c>
      <c r="M26" s="25">
        <f>9+9+10</f>
        <v>28</v>
      </c>
      <c r="N26" s="25"/>
      <c r="O26" s="25"/>
      <c r="P26" s="25"/>
      <c r="Q26" s="26"/>
    </row>
    <row r="27" spans="1:22">
      <c r="A27" s="24"/>
      <c r="B27" s="25" t="s">
        <v>138</v>
      </c>
      <c r="C27" s="25">
        <v>35</v>
      </c>
      <c r="D27" s="27">
        <v>20.68</v>
      </c>
      <c r="E27" s="27">
        <f>D27*C27</f>
        <v>723.8</v>
      </c>
      <c r="F27" s="25"/>
      <c r="G27" s="25"/>
      <c r="H27" s="26"/>
      <c r="I27" s="24"/>
      <c r="J27" s="25"/>
      <c r="K27" s="25"/>
      <c r="L27" s="25"/>
      <c r="M27" s="25"/>
      <c r="N27" s="25"/>
      <c r="O27" s="25"/>
      <c r="P27" s="25"/>
      <c r="Q27" s="26"/>
    </row>
    <row r="28" spans="1:22">
      <c r="A28" s="24"/>
      <c r="B28" s="25" t="s">
        <v>145</v>
      </c>
      <c r="C28" s="25"/>
      <c r="D28" s="25"/>
      <c r="E28" s="27">
        <v>250</v>
      </c>
      <c r="F28" s="25"/>
      <c r="G28" s="25"/>
      <c r="H28" s="26"/>
      <c r="I28" s="24"/>
      <c r="J28" s="25">
        <f>SUM(J26:J27)</f>
        <v>42</v>
      </c>
      <c r="K28" s="25">
        <f>SUM(K26:K27)</f>
        <v>44</v>
      </c>
      <c r="L28" s="25">
        <f>SUM(L26:L27)</f>
        <v>36</v>
      </c>
      <c r="M28" s="25">
        <f>SUM(M26:M27)</f>
        <v>28</v>
      </c>
      <c r="N28" s="25"/>
      <c r="O28" s="25"/>
      <c r="P28" s="25"/>
      <c r="Q28" s="26"/>
    </row>
    <row r="29" spans="1:22">
      <c r="A29" s="24"/>
      <c r="B29" s="25" t="s">
        <v>146</v>
      </c>
      <c r="C29" s="25"/>
      <c r="D29" s="25"/>
      <c r="E29" s="27">
        <v>100</v>
      </c>
      <c r="F29" s="25"/>
      <c r="G29" s="25"/>
      <c r="H29" s="26"/>
      <c r="I29" s="24"/>
      <c r="J29" s="25"/>
      <c r="K29" s="25"/>
      <c r="L29" s="25"/>
      <c r="M29" s="25"/>
      <c r="N29" s="25"/>
      <c r="O29" s="25"/>
      <c r="P29" s="25"/>
      <c r="Q29" s="26"/>
    </row>
    <row r="30" spans="1:22" ht="15.75" thickBot="1">
      <c r="A30" s="29"/>
      <c r="B30" s="30"/>
      <c r="C30" s="30"/>
      <c r="D30" s="30"/>
      <c r="E30" s="31">
        <v>2316.48</v>
      </c>
      <c r="F30" s="32">
        <v>1439.96</v>
      </c>
      <c r="G30" s="30"/>
      <c r="H30" s="33">
        <f>SUM(E30:F30)</f>
        <v>3756.44</v>
      </c>
      <c r="I30" s="24"/>
      <c r="J30" s="27">
        <f>J28*J25</f>
        <v>1050</v>
      </c>
      <c r="K30" s="27">
        <f>K28*K25</f>
        <v>880</v>
      </c>
      <c r="L30" s="27">
        <f>L28*L25</f>
        <v>720</v>
      </c>
      <c r="M30" s="27">
        <f>M28*M25</f>
        <v>420</v>
      </c>
      <c r="N30" s="27">
        <f>SUM(J30:M30)</f>
        <v>3070</v>
      </c>
      <c r="O30" s="25"/>
      <c r="P30" s="25"/>
      <c r="Q30" s="26"/>
    </row>
    <row r="31" spans="1:22">
      <c r="A31" s="21"/>
      <c r="B31" s="22"/>
      <c r="C31" s="22"/>
      <c r="D31" s="22"/>
      <c r="E31" s="22"/>
      <c r="F31" s="22"/>
      <c r="G31" s="22"/>
      <c r="H31" s="23"/>
      <c r="I31" s="24"/>
      <c r="J31" s="25"/>
      <c r="K31" s="25"/>
      <c r="L31" s="25"/>
      <c r="M31" s="25"/>
      <c r="N31" s="25"/>
      <c r="O31" s="25"/>
      <c r="P31" s="25"/>
      <c r="Q31" s="26"/>
    </row>
    <row r="32" spans="1:22">
      <c r="A32" s="24"/>
      <c r="B32" s="25">
        <f>600</f>
        <v>600</v>
      </c>
      <c r="C32" s="25"/>
      <c r="D32" s="25"/>
      <c r="E32" s="25"/>
      <c r="F32" s="25"/>
      <c r="G32" s="25"/>
      <c r="H32" s="26"/>
      <c r="I32" s="24"/>
      <c r="J32" s="25"/>
      <c r="K32" s="25"/>
      <c r="L32" s="25"/>
      <c r="M32" s="25"/>
      <c r="N32" s="25"/>
      <c r="O32" s="25"/>
      <c r="P32" s="25"/>
      <c r="Q32" s="26"/>
    </row>
    <row r="33" spans="1:17">
      <c r="A33" s="24" t="s">
        <v>153</v>
      </c>
      <c r="B33" s="25">
        <f>B32/32</f>
        <v>18.75</v>
      </c>
      <c r="C33" s="25"/>
      <c r="D33" s="25"/>
      <c r="E33" s="25"/>
      <c r="F33" s="25"/>
      <c r="G33" s="25"/>
      <c r="H33" s="26"/>
      <c r="I33" s="24"/>
      <c r="J33" s="25"/>
      <c r="K33" s="25"/>
      <c r="L33" s="25"/>
      <c r="M33" s="25"/>
      <c r="N33" s="25"/>
      <c r="O33" s="25"/>
      <c r="P33" s="25"/>
      <c r="Q33" s="26"/>
    </row>
    <row r="34" spans="1:17" ht="15.75" thickBot="1">
      <c r="A34" s="29" t="s">
        <v>143</v>
      </c>
      <c r="B34" s="30">
        <v>24</v>
      </c>
      <c r="C34" s="30"/>
      <c r="D34" s="30"/>
      <c r="E34" s="30"/>
      <c r="F34" s="30"/>
      <c r="G34" s="30"/>
      <c r="H34" s="35"/>
      <c r="I34" s="29"/>
      <c r="J34" s="30"/>
      <c r="K34" s="30"/>
      <c r="L34" s="30"/>
      <c r="M34" s="30"/>
      <c r="N34" s="30"/>
      <c r="O34" s="30"/>
      <c r="P34" s="30"/>
      <c r="Q3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cash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rajsetty</cp:lastModifiedBy>
  <dcterms:created xsi:type="dcterms:W3CDTF">2014-07-18T22:13:26Z</dcterms:created>
  <dcterms:modified xsi:type="dcterms:W3CDTF">2015-03-07T20:06:52Z</dcterms:modified>
</cp:coreProperties>
</file>