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tente\Documents\Dottorato\021_OP_tool_cooling\"/>
    </mc:Choice>
  </mc:AlternateContent>
  <xr:revisionPtr revIDLastSave="0" documentId="13_ncr:1_{D59CE018-FD41-4B79-96AB-A7A2F9D5DB04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F06(Floor)" sheetId="10" r:id="rId1"/>
    <sheet name="SHF06" sheetId="4" r:id="rId2"/>
    <sheet name="SHF91-05" sheetId="11" r:id="rId3"/>
    <sheet name="SHF90" sheetId="8" r:id="rId4"/>
    <sheet name="SHF6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0" l="1"/>
  <c r="J30" i="10"/>
  <c r="H30" i="10"/>
  <c r="I30" i="10" s="1"/>
  <c r="J29" i="10"/>
  <c r="I29" i="10"/>
  <c r="H29" i="10"/>
  <c r="J28" i="10"/>
  <c r="I28" i="10"/>
  <c r="H28" i="10"/>
  <c r="J27" i="10"/>
  <c r="I27" i="10"/>
  <c r="H27" i="10"/>
  <c r="J26" i="10"/>
  <c r="H26" i="10"/>
  <c r="I26" i="10" s="1"/>
  <c r="J25" i="10"/>
  <c r="I25" i="10"/>
  <c r="H25" i="10"/>
  <c r="I24" i="10"/>
  <c r="H24" i="10"/>
  <c r="I20" i="10"/>
  <c r="H20" i="10"/>
  <c r="J19" i="10"/>
  <c r="I19" i="10"/>
  <c r="H19" i="10"/>
  <c r="J18" i="10"/>
  <c r="I18" i="10"/>
  <c r="H18" i="10"/>
  <c r="J17" i="10"/>
  <c r="I17" i="10"/>
  <c r="E17" i="10"/>
  <c r="J16" i="10"/>
  <c r="I16" i="10"/>
  <c r="H16" i="10"/>
  <c r="I15" i="10"/>
  <c r="H15" i="10"/>
  <c r="I10" i="10"/>
  <c r="J9" i="10"/>
  <c r="H9" i="10"/>
  <c r="I9" i="10" s="1"/>
  <c r="J8" i="10"/>
  <c r="H8" i="10"/>
  <c r="I8" i="10" s="1"/>
  <c r="J7" i="10"/>
  <c r="H7" i="10"/>
  <c r="I7" i="10" s="1"/>
  <c r="J6" i="10"/>
  <c r="I6" i="10"/>
  <c r="H6" i="10"/>
  <c r="J5" i="10"/>
  <c r="I5" i="10"/>
  <c r="H5" i="10"/>
  <c r="H4" i="10"/>
  <c r="I4" i="10" s="1"/>
  <c r="P15" i="9"/>
  <c r="M15" i="9" l="1"/>
  <c r="H6" i="9"/>
  <c r="J7" i="9"/>
  <c r="J6" i="9"/>
  <c r="E17" i="4" l="1"/>
  <c r="P4" i="8"/>
  <c r="Q4" i="11"/>
  <c r="Q4" i="4"/>
  <c r="I6" i="4"/>
  <c r="I7" i="4"/>
  <c r="I8" i="4"/>
  <c r="H6" i="4"/>
  <c r="H7" i="4"/>
  <c r="H8" i="4"/>
  <c r="H5" i="4"/>
  <c r="E17" i="11"/>
  <c r="H6" i="11"/>
  <c r="I6" i="11" s="1"/>
  <c r="H7" i="11"/>
  <c r="H8" i="11"/>
  <c r="H8" i="8"/>
  <c r="H7" i="8"/>
  <c r="H6" i="8"/>
  <c r="H30" i="8"/>
  <c r="E19" i="8"/>
  <c r="E17" i="8"/>
  <c r="I7" i="8"/>
  <c r="I8" i="8"/>
  <c r="H5" i="8"/>
  <c r="H18" i="8"/>
  <c r="H20" i="8"/>
  <c r="N4" i="8"/>
  <c r="R15" i="8"/>
  <c r="S25" i="11"/>
  <c r="S15" i="11"/>
  <c r="U25" i="10"/>
  <c r="T25" i="10"/>
  <c r="S25" i="10"/>
  <c r="S15" i="10"/>
  <c r="R15" i="10"/>
  <c r="S4" i="10"/>
  <c r="R4" i="10"/>
  <c r="O36" i="11"/>
  <c r="O33" i="11" s="1"/>
  <c r="R33" i="11"/>
  <c r="J30" i="11"/>
  <c r="H30" i="11"/>
  <c r="O25" i="11" s="1"/>
  <c r="O28" i="11" s="1"/>
  <c r="J29" i="11"/>
  <c r="H29" i="11"/>
  <c r="I29" i="11" s="1"/>
  <c r="J28" i="11"/>
  <c r="H28" i="11"/>
  <c r="P25" i="11" s="1"/>
  <c r="P28" i="11" s="1"/>
  <c r="J27" i="11"/>
  <c r="H27" i="11"/>
  <c r="I27" i="11" s="1"/>
  <c r="J26" i="11"/>
  <c r="AQ6" i="11" s="1"/>
  <c r="I26" i="11"/>
  <c r="H26" i="11"/>
  <c r="J25" i="11"/>
  <c r="H25" i="11"/>
  <c r="I25" i="11" s="1"/>
  <c r="H24" i="11"/>
  <c r="I24" i="11" s="1"/>
  <c r="H20" i="11"/>
  <c r="I20" i="11" s="1"/>
  <c r="J19" i="11"/>
  <c r="H19" i="11"/>
  <c r="I19" i="11" s="1"/>
  <c r="J18" i="11"/>
  <c r="R15" i="11" s="1"/>
  <c r="H18" i="11"/>
  <c r="P15" i="11" s="1"/>
  <c r="P18" i="11" s="1"/>
  <c r="J17" i="11"/>
  <c r="I17" i="11"/>
  <c r="J16" i="11"/>
  <c r="H16" i="11"/>
  <c r="I16" i="11" s="1"/>
  <c r="O15" i="11"/>
  <c r="O18" i="11" s="1"/>
  <c r="H15" i="11"/>
  <c r="Q15" i="11" s="1"/>
  <c r="Q18" i="11" s="1"/>
  <c r="AQ10" i="11"/>
  <c r="I10" i="11"/>
  <c r="J9" i="11"/>
  <c r="R4" i="11" s="1"/>
  <c r="H9" i="11"/>
  <c r="I9" i="11" s="1"/>
  <c r="J8" i="11"/>
  <c r="J7" i="11"/>
  <c r="J6" i="11"/>
  <c r="S4" i="11" s="1"/>
  <c r="AQ5" i="11"/>
  <c r="J5" i="11"/>
  <c r="AQ4" i="11" s="1"/>
  <c r="H5" i="11"/>
  <c r="I5" i="11" s="1"/>
  <c r="O4" i="11"/>
  <c r="O7" i="11" s="1"/>
  <c r="O9" i="11" s="1"/>
  <c r="I4" i="11"/>
  <c r="H4" i="11"/>
  <c r="R25" i="10"/>
  <c r="R28" i="10" s="1"/>
  <c r="Q25" i="10"/>
  <c r="Q28" i="10" s="1"/>
  <c r="O36" i="10"/>
  <c r="O33" i="10" s="1"/>
  <c r="R33" i="10"/>
  <c r="AQ5" i="10"/>
  <c r="Q15" i="10"/>
  <c r="Q18" i="10" s="1"/>
  <c r="AQ10" i="10"/>
  <c r="AQ6" i="10"/>
  <c r="AQ4" i="10"/>
  <c r="Q7" i="10"/>
  <c r="Q9" i="10" s="1"/>
  <c r="P4" i="10"/>
  <c r="P7" i="10" s="1"/>
  <c r="P9" i="10" s="1"/>
  <c r="O4" i="10"/>
  <c r="O7" i="10" s="1"/>
  <c r="O9" i="10" s="1"/>
  <c r="N4" i="11" l="1"/>
  <c r="R25" i="11"/>
  <c r="I30" i="11"/>
  <c r="N25" i="11"/>
  <c r="Q7" i="11"/>
  <c r="Q9" i="11" s="1"/>
  <c r="I28" i="11"/>
  <c r="AQ9" i="11"/>
  <c r="AQ11" i="11" s="1"/>
  <c r="I18" i="11"/>
  <c r="P4" i="11"/>
  <c r="P7" i="11" s="1"/>
  <c r="P9" i="11" s="1"/>
  <c r="I15" i="11"/>
  <c r="Q25" i="11"/>
  <c r="Q28" i="11" s="1"/>
  <c r="N15" i="11"/>
  <c r="N16" i="11" s="1"/>
  <c r="N25" i="10"/>
  <c r="O15" i="10"/>
  <c r="O18" i="10" s="1"/>
  <c r="AQ9" i="10"/>
  <c r="AQ11" i="10" s="1"/>
  <c r="P15" i="10"/>
  <c r="P18" i="10" s="1"/>
  <c r="P25" i="10"/>
  <c r="P28" i="10" s="1"/>
  <c r="O25" i="10"/>
  <c r="O28" i="10" s="1"/>
  <c r="N4" i="10"/>
  <c r="N5" i="10" s="1"/>
  <c r="R9" i="10"/>
  <c r="R10" i="10" s="1"/>
  <c r="R11" i="10" s="1"/>
  <c r="N15" i="10"/>
  <c r="AP10" i="8"/>
  <c r="AP5" i="8"/>
  <c r="AP4" i="8"/>
  <c r="AQ10" i="4"/>
  <c r="Q33" i="9"/>
  <c r="Q33" i="8"/>
  <c r="R33" i="4"/>
  <c r="J17" i="9"/>
  <c r="H28" i="9"/>
  <c r="I28" i="9" s="1"/>
  <c r="H30" i="9"/>
  <c r="I30" i="9" s="1"/>
  <c r="H17" i="9"/>
  <c r="H24" i="4"/>
  <c r="H25" i="8"/>
  <c r="H25" i="9"/>
  <c r="H4" i="4"/>
  <c r="I4" i="4" s="1"/>
  <c r="H4" i="8"/>
  <c r="P7" i="8" s="1"/>
  <c r="H4" i="9"/>
  <c r="H15" i="9"/>
  <c r="O15" i="9" s="1"/>
  <c r="O18" i="9" s="1"/>
  <c r="H15" i="8"/>
  <c r="I15" i="8" s="1"/>
  <c r="H20" i="4"/>
  <c r="H15" i="4"/>
  <c r="I15" i="4" s="1"/>
  <c r="O25" i="9"/>
  <c r="J31" i="9"/>
  <c r="H31" i="9"/>
  <c r="I31" i="9" s="1"/>
  <c r="I19" i="9"/>
  <c r="J18" i="9"/>
  <c r="H18" i="9"/>
  <c r="I10" i="9"/>
  <c r="N36" i="9"/>
  <c r="N33" i="9" s="1"/>
  <c r="J30" i="9"/>
  <c r="J29" i="9"/>
  <c r="J28" i="9"/>
  <c r="J27" i="9"/>
  <c r="H27" i="9"/>
  <c r="J26" i="9"/>
  <c r="H26" i="9"/>
  <c r="I26" i="9" s="1"/>
  <c r="J16" i="9"/>
  <c r="H16" i="9"/>
  <c r="I16" i="9" s="1"/>
  <c r="J9" i="9"/>
  <c r="J8" i="9"/>
  <c r="J5" i="9"/>
  <c r="H5" i="9"/>
  <c r="I5" i="9" s="1"/>
  <c r="H28" i="8"/>
  <c r="I28" i="8" s="1"/>
  <c r="N36" i="8"/>
  <c r="N33" i="8" s="1"/>
  <c r="J32" i="8"/>
  <c r="H32" i="8"/>
  <c r="I32" i="8" s="1"/>
  <c r="J30" i="8"/>
  <c r="J29" i="8"/>
  <c r="H29" i="8"/>
  <c r="J28" i="8"/>
  <c r="J27" i="8"/>
  <c r="H27" i="8"/>
  <c r="I27" i="8" s="1"/>
  <c r="J26" i="8"/>
  <c r="H26" i="8"/>
  <c r="I26" i="8" s="1"/>
  <c r="I21" i="8"/>
  <c r="J20" i="8"/>
  <c r="I20" i="8"/>
  <c r="J19" i="8"/>
  <c r="I19" i="8"/>
  <c r="J18" i="8"/>
  <c r="Q15" i="8" s="1"/>
  <c r="I18" i="8"/>
  <c r="J17" i="8"/>
  <c r="I17" i="8"/>
  <c r="J16" i="8"/>
  <c r="H16" i="8"/>
  <c r="I16" i="8" s="1"/>
  <c r="I10" i="8"/>
  <c r="J9" i="8"/>
  <c r="Q4" i="8" s="1"/>
  <c r="H9" i="8"/>
  <c r="J8" i="8"/>
  <c r="J7" i="8"/>
  <c r="J6" i="8"/>
  <c r="R4" i="8" s="1"/>
  <c r="I6" i="8"/>
  <c r="J5" i="8"/>
  <c r="I5" i="8"/>
  <c r="N7" i="8"/>
  <c r="O36" i="4"/>
  <c r="O33" i="4" s="1"/>
  <c r="O4" i="4"/>
  <c r="O7" i="4" s="1"/>
  <c r="O9" i="4" s="1"/>
  <c r="I17" i="4"/>
  <c r="I10" i="4"/>
  <c r="J30" i="4"/>
  <c r="H30" i="4"/>
  <c r="I30" i="4" s="1"/>
  <c r="J29" i="4"/>
  <c r="H29" i="4"/>
  <c r="J28" i="4"/>
  <c r="H28" i="4"/>
  <c r="P25" i="4" s="1"/>
  <c r="P28" i="4" s="1"/>
  <c r="J27" i="4"/>
  <c r="H27" i="4"/>
  <c r="I27" i="4" s="1"/>
  <c r="J26" i="4"/>
  <c r="AQ6" i="4" s="1"/>
  <c r="H26" i="4"/>
  <c r="I26" i="4" s="1"/>
  <c r="J25" i="4"/>
  <c r="H25" i="4"/>
  <c r="J19" i="4"/>
  <c r="H19" i="4"/>
  <c r="I19" i="4" s="1"/>
  <c r="J18" i="4"/>
  <c r="H18" i="4"/>
  <c r="P15" i="4" s="1"/>
  <c r="J17" i="4"/>
  <c r="J16" i="4"/>
  <c r="H16" i="4"/>
  <c r="I16" i="4" s="1"/>
  <c r="J9" i="4"/>
  <c r="R4" i="4" s="1"/>
  <c r="H9" i="4"/>
  <c r="J8" i="4"/>
  <c r="J7" i="4"/>
  <c r="J6" i="4"/>
  <c r="J5" i="4"/>
  <c r="AQ4" i="4" s="1"/>
  <c r="I5" i="4"/>
  <c r="N15" i="9" l="1"/>
  <c r="N18" i="9" s="1"/>
  <c r="O4" i="9"/>
  <c r="M4" i="9"/>
  <c r="I6" i="9"/>
  <c r="P4" i="9"/>
  <c r="I29" i="8"/>
  <c r="M25" i="8"/>
  <c r="R25" i="8"/>
  <c r="Q25" i="8"/>
  <c r="AP6" i="8"/>
  <c r="AP9" i="8" s="1"/>
  <c r="AP11" i="8" s="1"/>
  <c r="I9" i="4"/>
  <c r="N4" i="4"/>
  <c r="S25" i="4"/>
  <c r="R25" i="4"/>
  <c r="AQ5" i="4"/>
  <c r="S15" i="4"/>
  <c r="O15" i="4"/>
  <c r="O18" i="4" s="1"/>
  <c r="S4" i="4"/>
  <c r="R15" i="4"/>
  <c r="R9" i="11"/>
  <c r="R10" i="11" s="1"/>
  <c r="R11" i="11" s="1"/>
  <c r="N25" i="8"/>
  <c r="N28" i="8" s="1"/>
  <c r="I9" i="8"/>
  <c r="M4" i="8"/>
  <c r="P25" i="9"/>
  <c r="N25" i="9"/>
  <c r="N28" i="9" s="1"/>
  <c r="I27" i="9"/>
  <c r="N26" i="11"/>
  <c r="N5" i="11"/>
  <c r="N16" i="10"/>
  <c r="N26" i="10"/>
  <c r="AQ9" i="4"/>
  <c r="AQ11" i="4" s="1"/>
  <c r="O25" i="4"/>
  <c r="O28" i="4" s="1"/>
  <c r="I20" i="4"/>
  <c r="P18" i="4"/>
  <c r="N4" i="9"/>
  <c r="N7" i="9" s="1"/>
  <c r="M25" i="9"/>
  <c r="I17" i="9"/>
  <c r="M16" i="9"/>
  <c r="O25" i="8"/>
  <c r="O28" i="8" s="1"/>
  <c r="N25" i="4"/>
  <c r="I18" i="9"/>
  <c r="O7" i="9"/>
  <c r="O28" i="9"/>
  <c r="I25" i="9"/>
  <c r="I4" i="9"/>
  <c r="I15" i="9"/>
  <c r="N15" i="8"/>
  <c r="N18" i="8" s="1"/>
  <c r="N15" i="4"/>
  <c r="Q25" i="4"/>
  <c r="Q28" i="4" s="1"/>
  <c r="I4" i="8"/>
  <c r="P25" i="8"/>
  <c r="P28" i="8" s="1"/>
  <c r="O4" i="8"/>
  <c r="O7" i="8" s="1"/>
  <c r="M15" i="8"/>
  <c r="I30" i="8"/>
  <c r="O15" i="8"/>
  <c r="O18" i="8" s="1"/>
  <c r="P15" i="8"/>
  <c r="P18" i="8" s="1"/>
  <c r="I25" i="8"/>
  <c r="I29" i="4"/>
  <c r="I18" i="4"/>
  <c r="I28" i="4"/>
  <c r="I24" i="4"/>
  <c r="Q15" i="4"/>
  <c r="Q18" i="4" s="1"/>
  <c r="I25" i="4"/>
  <c r="P4" i="4"/>
  <c r="P7" i="4" s="1"/>
  <c r="P9" i="4" s="1"/>
  <c r="Q7" i="4"/>
  <c r="Q9" i="4" s="1"/>
  <c r="R9" i="4" l="1"/>
  <c r="R10" i="4" s="1"/>
  <c r="R11" i="4" s="1"/>
  <c r="M5" i="9"/>
  <c r="M26" i="9"/>
  <c r="N26" i="4"/>
  <c r="M26" i="8"/>
  <c r="M5" i="8"/>
  <c r="M16" i="8"/>
  <c r="N16" i="4"/>
  <c r="N5" i="4"/>
</calcChain>
</file>

<file path=xl/sharedStrings.xml><?xml version="1.0" encoding="utf-8"?>
<sst xmlns="http://schemas.openxmlformats.org/spreadsheetml/2006/main" count="882" uniqueCount="93">
  <si>
    <t xml:space="preserve">Material </t>
  </si>
  <si>
    <t>λ</t>
  </si>
  <si>
    <t xml:space="preserve">ρ </t>
  </si>
  <si>
    <t xml:space="preserve">c </t>
  </si>
  <si>
    <t xml:space="preserve">R </t>
  </si>
  <si>
    <t xml:space="preserve">(front/inside) </t>
  </si>
  <si>
    <t>(cm)</t>
  </si>
  <si>
    <t>(J/(kg K))</t>
  </si>
  <si>
    <t>(kg/m3)</t>
  </si>
  <si>
    <t>UNI 11552: 2014</t>
  </si>
  <si>
    <t>Struttura</t>
  </si>
  <si>
    <t>Copertura (tetto)</t>
  </si>
  <si>
    <t xml:space="preserve">Soletta </t>
  </si>
  <si>
    <t>Intonaco interno</t>
  </si>
  <si>
    <t>Calcestruzzo armato</t>
  </si>
  <si>
    <t>Malta di cemento</t>
  </si>
  <si>
    <t>Pannello isolante in polistirolo</t>
  </si>
  <si>
    <t>(W/(mK))</t>
  </si>
  <si>
    <t>k</t>
  </si>
  <si>
    <t>s</t>
  </si>
  <si>
    <t>U</t>
  </si>
  <si>
    <r>
      <t>((K 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)/W)</t>
    </r>
  </si>
  <si>
    <r>
      <t>(J/(m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 xml:space="preserve"> K))</t>
    </r>
  </si>
  <si>
    <t>Mattoni forati</t>
  </si>
  <si>
    <t>Mattoni semipieni</t>
  </si>
  <si>
    <t>Intonaco esterno</t>
  </si>
  <si>
    <t>Muratura esterna</t>
  </si>
  <si>
    <t>Solaio (pavimento)</t>
  </si>
  <si>
    <t>Pavimentazione interna (gres)</t>
  </si>
  <si>
    <t>Massetto in calcestruzzo ordinario</t>
  </si>
  <si>
    <t xml:space="preserve">Calcestruzzo armato </t>
  </si>
  <si>
    <t>Isolante</t>
  </si>
  <si>
    <r>
      <t>(W/(m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K))</t>
    </r>
  </si>
  <si>
    <t xml:space="preserve">Conv. Interna </t>
  </si>
  <si>
    <t>Conv. Esterna</t>
  </si>
  <si>
    <t>-</t>
  </si>
  <si>
    <t>K</t>
  </si>
  <si>
    <t>A</t>
  </si>
  <si>
    <r>
      <t>(m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</si>
  <si>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R</t>
    </r>
    <r>
      <rPr>
        <b/>
        <vertAlign val="subscript"/>
        <sz val="11"/>
        <color theme="1"/>
        <rFont val="Times New Roman"/>
        <family val="1"/>
      </rPr>
      <t>wo</t>
    </r>
  </si>
  <si>
    <t>(K/W)</t>
  </si>
  <si>
    <r>
      <t>R</t>
    </r>
    <r>
      <rPr>
        <b/>
        <vertAlign val="subscript"/>
        <sz val="11"/>
        <color theme="1"/>
        <rFont val="Times New Roman"/>
        <family val="1"/>
      </rPr>
      <t>ro</t>
    </r>
  </si>
  <si>
    <r>
      <t>R</t>
    </r>
    <r>
      <rPr>
        <b/>
        <vertAlign val="subscript"/>
        <sz val="11"/>
        <color theme="1"/>
        <rFont val="Times New Roman"/>
        <family val="1"/>
      </rPr>
      <t>rins</t>
    </r>
  </si>
  <si>
    <r>
      <t>R</t>
    </r>
    <r>
      <rPr>
        <b/>
        <vertAlign val="subscript"/>
        <sz val="11"/>
        <color theme="1"/>
        <rFont val="Times New Roman"/>
        <family val="1"/>
      </rPr>
      <t>ri</t>
    </r>
  </si>
  <si>
    <r>
      <t>K</t>
    </r>
    <r>
      <rPr>
        <b/>
        <vertAlign val="subscript"/>
        <sz val="11"/>
        <color theme="1"/>
        <rFont val="Times New Roman"/>
        <family val="1"/>
      </rPr>
      <t>ro</t>
    </r>
  </si>
  <si>
    <r>
      <t>K</t>
    </r>
    <r>
      <rPr>
        <b/>
        <vertAlign val="subscript"/>
        <sz val="11"/>
        <color theme="1"/>
        <rFont val="Times New Roman"/>
        <family val="1"/>
      </rPr>
      <t>rins</t>
    </r>
  </si>
  <si>
    <r>
      <t>K</t>
    </r>
    <r>
      <rPr>
        <b/>
        <vertAlign val="subscript"/>
        <sz val="11"/>
        <color theme="1"/>
        <rFont val="Times New Roman"/>
        <family val="1"/>
      </rPr>
      <t>ri</t>
    </r>
  </si>
  <si>
    <t>(W/K)</t>
  </si>
  <si>
    <r>
      <t>C</t>
    </r>
    <r>
      <rPr>
        <b/>
        <vertAlign val="subscript"/>
        <sz val="11"/>
        <color theme="1"/>
        <rFont val="Times New Roman"/>
        <family val="1"/>
      </rPr>
      <t>ro</t>
    </r>
  </si>
  <si>
    <t>(J/K)</t>
  </si>
  <si>
    <r>
      <t>C</t>
    </r>
    <r>
      <rPr>
        <b/>
        <vertAlign val="subscript"/>
        <sz val="11"/>
        <color theme="1"/>
        <rFont val="Times New Roman"/>
        <family val="1"/>
      </rPr>
      <t>ri</t>
    </r>
  </si>
  <si>
    <t>(kJ/K)</t>
  </si>
  <si>
    <r>
      <t>R</t>
    </r>
    <r>
      <rPr>
        <b/>
        <vertAlign val="subscript"/>
        <sz val="11"/>
        <color theme="1"/>
        <rFont val="Times New Roman"/>
        <family val="1"/>
      </rPr>
      <t>winf</t>
    </r>
  </si>
  <si>
    <r>
      <t>R</t>
    </r>
    <r>
      <rPr>
        <b/>
        <vertAlign val="subscript"/>
        <sz val="11"/>
        <color theme="1"/>
        <rFont val="Times New Roman"/>
        <family val="1"/>
      </rPr>
      <t>wi</t>
    </r>
  </si>
  <si>
    <r>
      <t>C</t>
    </r>
    <r>
      <rPr>
        <b/>
        <vertAlign val="subscript"/>
        <sz val="11"/>
        <color theme="1"/>
        <rFont val="Times New Roman"/>
        <family val="1"/>
      </rPr>
      <t>wo</t>
    </r>
  </si>
  <si>
    <r>
      <t>C</t>
    </r>
    <r>
      <rPr>
        <b/>
        <vertAlign val="subscript"/>
        <sz val="11"/>
        <color theme="1"/>
        <rFont val="Times New Roman"/>
        <family val="1"/>
      </rPr>
      <t>wi</t>
    </r>
  </si>
  <si>
    <r>
      <t>K</t>
    </r>
    <r>
      <rPr>
        <b/>
        <vertAlign val="subscript"/>
        <sz val="11"/>
        <color theme="1"/>
        <rFont val="Times New Roman"/>
        <family val="1"/>
      </rPr>
      <t>wo</t>
    </r>
  </si>
  <si>
    <r>
      <t>K</t>
    </r>
    <r>
      <rPr>
        <b/>
        <vertAlign val="subscript"/>
        <sz val="11"/>
        <color theme="1"/>
        <rFont val="Times New Roman"/>
        <family val="1"/>
      </rPr>
      <t>wins</t>
    </r>
  </si>
  <si>
    <r>
      <t>K</t>
    </r>
    <r>
      <rPr>
        <b/>
        <vertAlign val="subscript"/>
        <sz val="11"/>
        <color theme="1"/>
        <rFont val="Times New Roman"/>
        <family val="1"/>
      </rPr>
      <t>wi</t>
    </r>
  </si>
  <si>
    <r>
      <t>R</t>
    </r>
    <r>
      <rPr>
        <b/>
        <vertAlign val="subscript"/>
        <sz val="11"/>
        <color theme="1"/>
        <rFont val="Times New Roman"/>
        <family val="1"/>
      </rPr>
      <t>fo</t>
    </r>
  </si>
  <si>
    <r>
      <t>R</t>
    </r>
    <r>
      <rPr>
        <b/>
        <vertAlign val="subscript"/>
        <sz val="11"/>
        <color theme="1"/>
        <rFont val="Times New Roman"/>
        <family val="1"/>
      </rPr>
      <t>fins</t>
    </r>
  </si>
  <si>
    <r>
      <t>R</t>
    </r>
    <r>
      <rPr>
        <b/>
        <vertAlign val="subscript"/>
        <sz val="11"/>
        <color theme="1"/>
        <rFont val="Times New Roman"/>
        <family val="1"/>
      </rPr>
      <t>fi</t>
    </r>
  </si>
  <si>
    <r>
      <t>C</t>
    </r>
    <r>
      <rPr>
        <b/>
        <vertAlign val="subscript"/>
        <sz val="11"/>
        <color theme="1"/>
        <rFont val="Times New Roman"/>
        <family val="1"/>
      </rPr>
      <t>fo</t>
    </r>
  </si>
  <si>
    <r>
      <t>C</t>
    </r>
    <r>
      <rPr>
        <b/>
        <vertAlign val="subscript"/>
        <sz val="11"/>
        <color theme="1"/>
        <rFont val="Times New Roman"/>
        <family val="1"/>
      </rPr>
      <t>fi</t>
    </r>
  </si>
  <si>
    <r>
      <t>K</t>
    </r>
    <r>
      <rPr>
        <b/>
        <vertAlign val="subscript"/>
        <sz val="11"/>
        <color theme="1"/>
        <rFont val="Times New Roman"/>
        <family val="1"/>
      </rPr>
      <t>fi</t>
    </r>
  </si>
  <si>
    <r>
      <t>K</t>
    </r>
    <r>
      <rPr>
        <b/>
        <vertAlign val="subscript"/>
        <sz val="11"/>
        <color theme="1"/>
        <rFont val="Times New Roman"/>
        <family val="1"/>
      </rPr>
      <t>fins</t>
    </r>
  </si>
  <si>
    <r>
      <t>K</t>
    </r>
    <r>
      <rPr>
        <b/>
        <vertAlign val="subscript"/>
        <sz val="11"/>
        <color theme="1"/>
        <rFont val="Times New Roman"/>
        <family val="1"/>
      </rPr>
      <t>fo</t>
    </r>
  </si>
  <si>
    <r>
      <t>R</t>
    </r>
    <r>
      <rPr>
        <b/>
        <vertAlign val="subscript"/>
        <sz val="11"/>
        <color theme="1"/>
        <rFont val="Times New Roman"/>
        <family val="1"/>
      </rPr>
      <t>wind</t>
    </r>
  </si>
  <si>
    <r>
      <t>K</t>
    </r>
    <r>
      <rPr>
        <b/>
        <vertAlign val="subscript"/>
        <sz val="11"/>
        <color theme="1"/>
        <rFont val="Times New Roman"/>
        <family val="1"/>
      </rPr>
      <t>wind</t>
    </r>
  </si>
  <si>
    <t>Blocchi in laterizio</t>
  </si>
  <si>
    <t>v</t>
  </si>
  <si>
    <t>Massetto in calcestruzzo alleggerito</t>
  </si>
  <si>
    <t>Calcestruzzo armato (getto)</t>
  </si>
  <si>
    <r>
      <t>C</t>
    </r>
    <r>
      <rPr>
        <b/>
        <vertAlign val="subscript"/>
        <sz val="11"/>
        <color theme="1"/>
        <rFont val="Times New Roman"/>
        <family val="1"/>
      </rPr>
      <t>r</t>
    </r>
  </si>
  <si>
    <r>
      <t>C</t>
    </r>
    <r>
      <rPr>
        <b/>
        <vertAlign val="subscript"/>
        <sz val="11"/>
        <color theme="1"/>
        <rFont val="Times New Roman"/>
        <family val="1"/>
      </rPr>
      <t>w</t>
    </r>
  </si>
  <si>
    <r>
      <t>C</t>
    </r>
    <r>
      <rPr>
        <b/>
        <vertAlign val="subscript"/>
        <sz val="11"/>
        <color theme="1"/>
        <rFont val="Times New Roman"/>
        <family val="1"/>
      </rPr>
      <t>f</t>
    </r>
  </si>
  <si>
    <t xml:space="preserve">Mattoni pieni </t>
  </si>
  <si>
    <t>V</t>
  </si>
  <si>
    <r>
      <t>(m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)</t>
    </r>
  </si>
  <si>
    <r>
      <t>C</t>
    </r>
    <r>
      <rPr>
        <b/>
        <vertAlign val="subscript"/>
        <sz val="11"/>
        <color theme="1"/>
        <rFont val="Times New Roman"/>
        <family val="1"/>
      </rPr>
      <t>air</t>
    </r>
  </si>
  <si>
    <t xml:space="preserve">Verifica capacità </t>
  </si>
  <si>
    <t>Roof</t>
  </si>
  <si>
    <t>Wall</t>
  </si>
  <si>
    <t>Floor</t>
  </si>
  <si>
    <t>Tot</t>
  </si>
  <si>
    <t>Af</t>
  </si>
  <si>
    <t>Div</t>
  </si>
  <si>
    <r>
      <t>R</t>
    </r>
    <r>
      <rPr>
        <b/>
        <vertAlign val="subscript"/>
        <sz val="11"/>
        <color theme="1"/>
        <rFont val="Times New Roman"/>
        <family val="1"/>
      </rPr>
      <t>fi,bp</t>
    </r>
  </si>
  <si>
    <r>
      <t>R</t>
    </r>
    <r>
      <rPr>
        <b/>
        <vertAlign val="subscript"/>
        <sz val="11"/>
        <color theme="1"/>
        <rFont val="Times New Roman"/>
        <family val="1"/>
      </rPr>
      <t>fi,ap</t>
    </r>
  </si>
  <si>
    <r>
      <t>C</t>
    </r>
    <r>
      <rPr>
        <b/>
        <vertAlign val="subscript"/>
        <sz val="11"/>
        <color theme="1"/>
        <rFont val="Times New Roman"/>
        <family val="1"/>
      </rPr>
      <t>fi,bp</t>
    </r>
  </si>
  <si>
    <r>
      <t>C</t>
    </r>
    <r>
      <rPr>
        <b/>
        <vertAlign val="subscript"/>
        <sz val="11"/>
        <color theme="1"/>
        <rFont val="Times New Roman"/>
        <family val="1"/>
      </rPr>
      <t>fi,ap</t>
    </r>
  </si>
  <si>
    <r>
      <t>K</t>
    </r>
    <r>
      <rPr>
        <b/>
        <vertAlign val="subscript"/>
        <sz val="11"/>
        <color theme="1"/>
        <rFont val="Times New Roman"/>
        <family val="1"/>
      </rPr>
      <t>fi,ap</t>
    </r>
  </si>
  <si>
    <t>ISOLANTE CON INTERCAPEDINE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</si>
</sst>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C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wrapText="1"/>
    </xf>
    <xf numFmtId="1" fontId="1" fillId="2" borderId="7" xfId="0" applyNumberFormat="1" applyFont="1" applyFill="1" applyBorder="1" applyAlignment="1">
      <alignment horizontal="center" wrapText="1"/>
    </xf>
    <xf numFmtId="1" fontId="1" fillId="2" borderId="8" xfId="0" applyNumberFormat="1" applyFont="1" applyFill="1" applyBorder="1" applyAlignment="1">
      <alignment horizontal="center" wrapText="1"/>
    </xf>
    <xf numFmtId="1" fontId="1" fillId="2" borderId="9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center" wrapText="1"/>
    </xf>
    <xf numFmtId="165" fontId="1" fillId="2" borderId="5" xfId="0" applyNumberFormat="1" applyFont="1" applyFill="1" applyBorder="1" applyAlignment="1">
      <alignment horizontal="center" wrapText="1"/>
    </xf>
    <xf numFmtId="2" fontId="1" fillId="2" borderId="6" xfId="0" applyNumberFormat="1" applyFont="1" applyFill="1" applyBorder="1" applyAlignment="1">
      <alignment horizontal="center" wrapText="1"/>
    </xf>
    <xf numFmtId="164" fontId="1" fillId="2" borderId="8" xfId="0" applyNumberFormat="1" applyFont="1" applyFill="1" applyBorder="1" applyAlignment="1">
      <alignment horizont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2" fontId="6" fillId="2" borderId="5" xfId="0" applyNumberFormat="1" applyFont="1" applyFill="1" applyBorder="1" applyAlignment="1">
      <alignment horizont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wrapText="1"/>
    </xf>
    <xf numFmtId="166" fontId="1" fillId="2" borderId="0" xfId="1" applyNumberFormat="1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 wrapText="1"/>
    </xf>
    <xf numFmtId="165" fontId="1" fillId="2" borderId="11" xfId="0" applyNumberFormat="1" applyFont="1" applyFill="1" applyBorder="1" applyAlignment="1">
      <alignment horizontal="center" wrapText="1"/>
    </xf>
    <xf numFmtId="1" fontId="1" fillId="2" borderId="12" xfId="0" applyNumberFormat="1" applyFont="1" applyFill="1" applyBorder="1" applyAlignment="1">
      <alignment horizontal="center" wrapText="1"/>
    </xf>
    <xf numFmtId="164" fontId="6" fillId="2" borderId="5" xfId="0" applyNumberFormat="1" applyFont="1" applyFill="1" applyBorder="1" applyAlignment="1">
      <alignment horizontal="center" wrapText="1"/>
    </xf>
    <xf numFmtId="164" fontId="1" fillId="2" borderId="7" xfId="0" applyNumberFormat="1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164" fontId="7" fillId="2" borderId="5" xfId="0" applyNumberFormat="1" applyFont="1" applyFill="1" applyBorder="1" applyAlignment="1">
      <alignment horizont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2" fontId="7" fillId="2" borderId="8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wrapText="1"/>
    </xf>
    <xf numFmtId="2" fontId="7" fillId="2" borderId="0" xfId="0" applyNumberFormat="1" applyFont="1" applyFill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 wrapText="1"/>
    </xf>
    <xf numFmtId="0" fontId="1" fillId="3" borderId="0" xfId="0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2" fontId="1" fillId="2" borderId="13" xfId="0" applyNumberFormat="1" applyFont="1" applyFill="1" applyBorder="1" applyAlignment="1">
      <alignment horizontal="center" wrapText="1"/>
    </xf>
    <xf numFmtId="2" fontId="1" fillId="2" borderId="14" xfId="0" applyNumberFormat="1" applyFont="1" applyFill="1" applyBorder="1" applyAlignment="1">
      <alignment horizontal="center" wrapText="1"/>
    </xf>
    <xf numFmtId="2" fontId="1" fillId="2" borderId="15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200661</xdr:colOff>
      <xdr:row>0</xdr:row>
      <xdr:rowOff>38100</xdr:rowOff>
    </xdr:from>
    <xdr:to>
      <xdr:col>35</xdr:col>
      <xdr:colOff>182881</xdr:colOff>
      <xdr:row>14</xdr:row>
      <xdr:rowOff>128149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9533399-5294-4193-BF93-CE32520F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17661" y="38100"/>
          <a:ext cx="4859020" cy="2764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203200</xdr:colOff>
      <xdr:row>0</xdr:row>
      <xdr:rowOff>0</xdr:rowOff>
    </xdr:from>
    <xdr:to>
      <xdr:col>55</xdr:col>
      <xdr:colOff>222250</xdr:colOff>
      <xdr:row>18</xdr:row>
      <xdr:rowOff>111972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11BF22C-E97C-402F-84E0-A827D4D3157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52080" y="0"/>
          <a:ext cx="6115050" cy="354097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513926</xdr:colOff>
      <xdr:row>1</xdr:row>
      <xdr:rowOff>101600</xdr:rowOff>
    </xdr:from>
    <xdr:to>
      <xdr:col>28</xdr:col>
      <xdr:colOff>442806</xdr:colOff>
      <xdr:row>32</xdr:row>
      <xdr:rowOff>149014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B7E6D35-325D-4D1F-BB8A-6693CE0CD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326" y="287867"/>
          <a:ext cx="4196080" cy="6058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249767</xdr:colOff>
      <xdr:row>14</xdr:row>
      <xdr:rowOff>160019</xdr:rowOff>
    </xdr:from>
    <xdr:to>
      <xdr:col>35</xdr:col>
      <xdr:colOff>242147</xdr:colOff>
      <xdr:row>30</xdr:row>
      <xdr:rowOff>76346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1462C18A-1F23-449F-85D1-32EC8B41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6767" y="2834639"/>
          <a:ext cx="4869180" cy="295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59267</xdr:rowOff>
    </xdr:from>
    <xdr:to>
      <xdr:col>35</xdr:col>
      <xdr:colOff>388128</xdr:colOff>
      <xdr:row>42</xdr:row>
      <xdr:rowOff>84667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C0946383-882A-4679-8DE8-67241C62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5766647"/>
          <a:ext cx="5264928" cy="225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1456267</xdr:colOff>
      <xdr:row>32</xdr:row>
      <xdr:rowOff>143933</xdr:rowOff>
    </xdr:from>
    <xdr:to>
      <xdr:col>9</xdr:col>
      <xdr:colOff>692425</xdr:colOff>
      <xdr:row>53</xdr:row>
      <xdr:rowOff>133084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22F1B133-89F9-4D81-B18F-F59758701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6000" y="6333066"/>
          <a:ext cx="6102625" cy="3773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200661</xdr:colOff>
      <xdr:row>0</xdr:row>
      <xdr:rowOff>38100</xdr:rowOff>
    </xdr:from>
    <xdr:to>
      <xdr:col>35</xdr:col>
      <xdr:colOff>182881</xdr:colOff>
      <xdr:row>14</xdr:row>
      <xdr:rowOff>128149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9DE9230-BA12-46BB-9DE5-5B0DB5240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9861" y="38100"/>
          <a:ext cx="4859020" cy="281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203200</xdr:colOff>
      <xdr:row>0</xdr:row>
      <xdr:rowOff>0</xdr:rowOff>
    </xdr:from>
    <xdr:to>
      <xdr:col>55</xdr:col>
      <xdr:colOff>222250</xdr:colOff>
      <xdr:row>18</xdr:row>
      <xdr:rowOff>111972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7A2A3C9-D56E-4808-8CC2-A4E0D8D7C87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64467" y="0"/>
          <a:ext cx="6115050" cy="35748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530860</xdr:colOff>
      <xdr:row>0</xdr:row>
      <xdr:rowOff>0</xdr:rowOff>
    </xdr:from>
    <xdr:to>
      <xdr:col>26</xdr:col>
      <xdr:colOff>459740</xdr:colOff>
      <xdr:row>31</xdr:row>
      <xdr:rowOff>89747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F7DD6287-E848-419E-A09A-A92D3735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5160" y="0"/>
          <a:ext cx="4196080" cy="601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90516</xdr:colOff>
      <xdr:row>32</xdr:row>
      <xdr:rowOff>142471</xdr:rowOff>
    </xdr:from>
    <xdr:to>
      <xdr:col>10</xdr:col>
      <xdr:colOff>371953</xdr:colOff>
      <xdr:row>49</xdr:row>
      <xdr:rowOff>4959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FC4148B3-1DB9-4012-A5D5-DA2957371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9216" y="5651731"/>
          <a:ext cx="5379217" cy="2895248"/>
        </a:xfrm>
        <a:prstGeom prst="rect">
          <a:avLst/>
        </a:prstGeom>
      </xdr:spPr>
    </xdr:pic>
    <xdr:clientData/>
  </xdr:twoCellAnchor>
  <xdr:twoCellAnchor editAs="oneCell">
    <xdr:from>
      <xdr:col>27</xdr:col>
      <xdr:colOff>249767</xdr:colOff>
      <xdr:row>14</xdr:row>
      <xdr:rowOff>160019</xdr:rowOff>
    </xdr:from>
    <xdr:to>
      <xdr:col>35</xdr:col>
      <xdr:colOff>242147</xdr:colOff>
      <xdr:row>30</xdr:row>
      <xdr:rowOff>84813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7A4326E-2E5A-47ED-A81D-F02758178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6634" y="2860886"/>
          <a:ext cx="4869180" cy="2989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59267</xdr:rowOff>
    </xdr:from>
    <xdr:to>
      <xdr:col>35</xdr:col>
      <xdr:colOff>388128</xdr:colOff>
      <xdr:row>42</xdr:row>
      <xdr:rowOff>84667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24111A4B-4DB4-4DAA-8817-B81AE95C4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26867" y="5825067"/>
          <a:ext cx="5264928" cy="2277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200661</xdr:colOff>
      <xdr:row>0</xdr:row>
      <xdr:rowOff>38100</xdr:rowOff>
    </xdr:from>
    <xdr:to>
      <xdr:col>35</xdr:col>
      <xdr:colOff>182881</xdr:colOff>
      <xdr:row>14</xdr:row>
      <xdr:rowOff>128149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3562290-0C94-4041-9FF9-96E9ADCE8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17661" y="38100"/>
          <a:ext cx="4859020" cy="2764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203200</xdr:colOff>
      <xdr:row>0</xdr:row>
      <xdr:rowOff>0</xdr:rowOff>
    </xdr:from>
    <xdr:to>
      <xdr:col>55</xdr:col>
      <xdr:colOff>222250</xdr:colOff>
      <xdr:row>18</xdr:row>
      <xdr:rowOff>111972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DB0214A-6907-4631-BCF8-9F0FADF034A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52080" y="0"/>
          <a:ext cx="6115050" cy="354097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90516</xdr:colOff>
      <xdr:row>32</xdr:row>
      <xdr:rowOff>142471</xdr:rowOff>
    </xdr:from>
    <xdr:to>
      <xdr:col>10</xdr:col>
      <xdr:colOff>371953</xdr:colOff>
      <xdr:row>49</xdr:row>
      <xdr:rowOff>4959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B12DD2F-7FC8-4997-B79D-785C2D138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9216" y="6276571"/>
          <a:ext cx="5379217" cy="2895248"/>
        </a:xfrm>
        <a:prstGeom prst="rect">
          <a:avLst/>
        </a:prstGeom>
      </xdr:spPr>
    </xdr:pic>
    <xdr:clientData/>
  </xdr:twoCellAnchor>
  <xdr:twoCellAnchor editAs="oneCell">
    <xdr:from>
      <xdr:col>27</xdr:col>
      <xdr:colOff>249767</xdr:colOff>
      <xdr:row>14</xdr:row>
      <xdr:rowOff>160019</xdr:rowOff>
    </xdr:from>
    <xdr:to>
      <xdr:col>35</xdr:col>
      <xdr:colOff>242147</xdr:colOff>
      <xdr:row>30</xdr:row>
      <xdr:rowOff>84813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D7B6686-89CA-457C-8B95-D1EB6C9C5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6767" y="2834639"/>
          <a:ext cx="4869180" cy="295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30</xdr:row>
      <xdr:rowOff>59267</xdr:rowOff>
    </xdr:from>
    <xdr:to>
      <xdr:col>35</xdr:col>
      <xdr:colOff>388128</xdr:colOff>
      <xdr:row>42</xdr:row>
      <xdr:rowOff>84667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AE84FE77-0464-4ED9-BB34-8FC043308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5766647"/>
          <a:ext cx="5264928" cy="225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84667</xdr:colOff>
      <xdr:row>0</xdr:row>
      <xdr:rowOff>0</xdr:rowOff>
    </xdr:from>
    <xdr:to>
      <xdr:col>27</xdr:col>
      <xdr:colOff>206967</xdr:colOff>
      <xdr:row>32</xdr:row>
      <xdr:rowOff>47616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0A1562F7-7FEC-2370-F30B-68212113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34467" y="0"/>
          <a:ext cx="4389500" cy="6236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90516</xdr:colOff>
      <xdr:row>34</xdr:row>
      <xdr:rowOff>142471</xdr:rowOff>
    </xdr:from>
    <xdr:to>
      <xdr:col>9</xdr:col>
      <xdr:colOff>737713</xdr:colOff>
      <xdr:row>51</xdr:row>
      <xdr:rowOff>37979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54FE06B-7D9C-44E3-B05F-ECD83DD4C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9216" y="6482311"/>
          <a:ext cx="5379217" cy="2895248"/>
        </a:xfrm>
        <a:prstGeom prst="rect">
          <a:avLst/>
        </a:prstGeom>
      </xdr:spPr>
    </xdr:pic>
    <xdr:clientData/>
  </xdr:twoCellAnchor>
  <xdr:twoCellAnchor editAs="oneCell">
    <xdr:from>
      <xdr:col>15</xdr:col>
      <xdr:colOff>50800</xdr:colOff>
      <xdr:row>66</xdr:row>
      <xdr:rowOff>71966</xdr:rowOff>
    </xdr:from>
    <xdr:to>
      <xdr:col>20</xdr:col>
      <xdr:colOff>485986</xdr:colOff>
      <xdr:row>101</xdr:row>
      <xdr:rowOff>22013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07CB3D9-2A5D-4860-BC62-C043AE0F6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0" y="12248726"/>
          <a:ext cx="4185920" cy="6084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53340</xdr:colOff>
      <xdr:row>0</xdr:row>
      <xdr:rowOff>0</xdr:rowOff>
    </xdr:from>
    <xdr:to>
      <xdr:col>26</xdr:col>
      <xdr:colOff>37253</xdr:colOff>
      <xdr:row>31</xdr:row>
      <xdr:rowOff>160867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12DE62D3-E89B-4A3E-A4D0-18806D39A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7240" y="0"/>
          <a:ext cx="4251113" cy="605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127000</xdr:colOff>
      <xdr:row>31</xdr:row>
      <xdr:rowOff>87206</xdr:rowOff>
    </xdr:from>
    <xdr:to>
      <xdr:col>26</xdr:col>
      <xdr:colOff>45720</xdr:colOff>
      <xdr:row>65</xdr:row>
      <xdr:rowOff>113453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A188FC49-9109-444F-B0CE-4735D343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6023186"/>
          <a:ext cx="4185920" cy="6084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38100</xdr:colOff>
      <xdr:row>0</xdr:row>
      <xdr:rowOff>8466</xdr:rowOff>
    </xdr:from>
    <xdr:to>
      <xdr:col>36</xdr:col>
      <xdr:colOff>594359</xdr:colOff>
      <xdr:row>18</xdr:row>
      <xdr:rowOff>22972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34C637C2-8F8F-4CD2-B909-4AB82625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6433" y="8466"/>
          <a:ext cx="6042659" cy="3477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123564</xdr:colOff>
      <xdr:row>18</xdr:row>
      <xdr:rowOff>15239</xdr:rowOff>
    </xdr:from>
    <xdr:to>
      <xdr:col>36</xdr:col>
      <xdr:colOff>533400</xdr:colOff>
      <xdr:row>38</xdr:row>
      <xdr:rowOff>421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F6BBCE11-E49A-4D6C-BCB3-6ED3D9000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1897" y="3478106"/>
          <a:ext cx="5896236" cy="3799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95250</xdr:colOff>
      <xdr:row>38</xdr:row>
      <xdr:rowOff>95250</xdr:rowOff>
    </xdr:from>
    <xdr:to>
      <xdr:col>36</xdr:col>
      <xdr:colOff>578486</xdr:colOff>
      <xdr:row>54</xdr:row>
      <xdr:rowOff>19050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2F80E7D5-664A-4324-8EB6-3090BE3B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00" y="7467600"/>
          <a:ext cx="5969636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279400</xdr:colOff>
      <xdr:row>0</xdr:row>
      <xdr:rowOff>0</xdr:rowOff>
    </xdr:from>
    <xdr:to>
      <xdr:col>52</xdr:col>
      <xdr:colOff>298450</xdr:colOff>
      <xdr:row>18</xdr:row>
      <xdr:rowOff>111972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42FC8F4B-AC74-4BB1-95F9-9E6DF92F7EB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71733" y="0"/>
          <a:ext cx="6115050" cy="357483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434000</xdr:colOff>
      <xdr:row>0</xdr:row>
      <xdr:rowOff>0</xdr:rowOff>
    </xdr:from>
    <xdr:to>
      <xdr:col>24</xdr:col>
      <xdr:colOff>212173</xdr:colOff>
      <xdr:row>30</xdr:row>
      <xdr:rowOff>99061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B71B463B-FCE4-4003-A451-2AE12AED3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657" y="0"/>
          <a:ext cx="4045373" cy="581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385618</xdr:colOff>
      <xdr:row>30</xdr:row>
      <xdr:rowOff>188576</xdr:rowOff>
    </xdr:from>
    <xdr:to>
      <xdr:col>24</xdr:col>
      <xdr:colOff>247611</xdr:colOff>
      <xdr:row>63</xdr:row>
      <xdr:rowOff>58233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B3600445-2157-47D3-9CEB-B2B759D61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5254" y="5827376"/>
          <a:ext cx="4129193" cy="5734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684258</xdr:colOff>
      <xdr:row>32</xdr:row>
      <xdr:rowOff>130848</xdr:rowOff>
    </xdr:from>
    <xdr:to>
      <xdr:col>8</xdr:col>
      <xdr:colOff>466435</xdr:colOff>
      <xdr:row>42</xdr:row>
      <xdr:rowOff>165594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9F2F2BE5-3F80-4F94-84E2-F29D2EF2877F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840" y="6379248"/>
          <a:ext cx="3418995" cy="1824951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10886</xdr:colOff>
      <xdr:row>0</xdr:row>
      <xdr:rowOff>21772</xdr:rowOff>
    </xdr:from>
    <xdr:to>
      <xdr:col>36</xdr:col>
      <xdr:colOff>541019</xdr:colOff>
      <xdr:row>17</xdr:row>
      <xdr:rowOff>128781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8387CF61-A218-427F-A2EC-4382D9DF6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4943" y="21772"/>
          <a:ext cx="6626133" cy="3372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105228</xdr:colOff>
      <xdr:row>38</xdr:row>
      <xdr:rowOff>148771</xdr:rowOff>
    </xdr:from>
    <xdr:to>
      <xdr:col>36</xdr:col>
      <xdr:colOff>543862</xdr:colOff>
      <xdr:row>54</xdr:row>
      <xdr:rowOff>25400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FCD1CFF7-14AB-4BDC-8877-5BDE407F9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2028" y="7286171"/>
          <a:ext cx="6534634" cy="2721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54428</xdr:colOff>
      <xdr:row>16</xdr:row>
      <xdr:rowOff>163285</xdr:rowOff>
    </xdr:from>
    <xdr:to>
      <xdr:col>36</xdr:col>
      <xdr:colOff>326571</xdr:colOff>
      <xdr:row>38</xdr:row>
      <xdr:rowOff>88306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9E8A1A63-B5A2-4008-A20C-10ACAF90B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8628" y="3243942"/>
          <a:ext cx="6368143" cy="4105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0DCE-C61C-4932-82E8-F40BA42E0BE1}">
  <dimension ref="A1:AQ36"/>
  <sheetViews>
    <sheetView topLeftCell="L1" zoomScale="90" zoomScaleNormal="90" workbookViewId="0">
      <selection activeCell="T25" sqref="T25"/>
    </sheetView>
  </sheetViews>
  <sheetFormatPr defaultRowHeight="13.8" x14ac:dyDescent="0.25"/>
  <cols>
    <col min="1" max="1" width="16" style="1" customWidth="1"/>
    <col min="2" max="2" width="14.5546875" style="1" customWidth="1"/>
    <col min="3" max="3" width="31.109375" style="2" customWidth="1"/>
    <col min="4" max="4" width="8.88671875" style="2"/>
    <col min="5" max="5" width="10.6640625" style="2" customWidth="1"/>
    <col min="6" max="6" width="10.44140625" style="2" customWidth="1"/>
    <col min="7" max="7" width="11" style="2" customWidth="1"/>
    <col min="8" max="8" width="11.88671875" style="2" customWidth="1"/>
    <col min="9" max="9" width="16.21875" style="2" customWidth="1"/>
    <col min="10" max="12" width="14.109375" style="2" customWidth="1"/>
    <col min="13" max="13" width="8.88671875" style="2"/>
    <col min="14" max="14" width="11.5546875" style="2" bestFit="1" customWidth="1"/>
    <col min="15" max="15" width="12.6640625" style="2" bestFit="1" customWidth="1"/>
    <col min="16" max="17" width="8.88671875" style="2"/>
    <col min="18" max="18" width="12.6640625" style="2" bestFit="1" customWidth="1"/>
    <col min="19" max="19" width="14" style="2" customWidth="1"/>
    <col min="20" max="20" width="13.6640625" style="2" customWidth="1"/>
    <col min="21" max="21" width="14" style="2" customWidth="1"/>
    <col min="22" max="42" width="8.88671875" style="2"/>
    <col min="43" max="43" width="12.6640625" style="2" bestFit="1" customWidth="1"/>
    <col min="44" max="16384" width="8.88671875" style="2"/>
  </cols>
  <sheetData>
    <row r="1" spans="1:43" ht="14.4" thickBot="1" x14ac:dyDescent="0.3">
      <c r="C1" s="2" t="s">
        <v>10</v>
      </c>
      <c r="D1" s="3" t="s">
        <v>11</v>
      </c>
    </row>
    <row r="2" spans="1:43" ht="18.600000000000001" customHeight="1" x14ac:dyDescent="0.25">
      <c r="A2" s="1" t="s">
        <v>9</v>
      </c>
      <c r="C2" s="8" t="s">
        <v>0</v>
      </c>
      <c r="D2" s="8" t="s">
        <v>19</v>
      </c>
      <c r="E2" s="9" t="s">
        <v>1</v>
      </c>
      <c r="F2" s="9" t="s">
        <v>2</v>
      </c>
      <c r="G2" s="21" t="s">
        <v>3</v>
      </c>
      <c r="H2" s="8" t="s">
        <v>4</v>
      </c>
      <c r="I2" s="9" t="s">
        <v>36</v>
      </c>
      <c r="J2" s="21" t="s">
        <v>18</v>
      </c>
      <c r="K2" s="11"/>
      <c r="L2" s="11"/>
      <c r="M2" s="47" t="s">
        <v>37</v>
      </c>
      <c r="N2" s="9" t="s">
        <v>20</v>
      </c>
      <c r="O2" s="8" t="s">
        <v>41</v>
      </c>
      <c r="P2" s="9" t="s">
        <v>42</v>
      </c>
      <c r="Q2" s="21" t="s">
        <v>43</v>
      </c>
      <c r="R2" s="8" t="s">
        <v>48</v>
      </c>
      <c r="S2" s="21" t="s">
        <v>50</v>
      </c>
      <c r="AP2" s="3" t="s">
        <v>80</v>
      </c>
    </row>
    <row r="3" spans="1:43" ht="14.4" customHeight="1" thickBot="1" x14ac:dyDescent="0.3">
      <c r="A3" s="4"/>
      <c r="B3" s="4"/>
      <c r="C3" s="36" t="s">
        <v>5</v>
      </c>
      <c r="D3" s="36" t="s">
        <v>6</v>
      </c>
      <c r="E3" s="7" t="s">
        <v>17</v>
      </c>
      <c r="F3" s="7" t="s">
        <v>8</v>
      </c>
      <c r="G3" s="37" t="s">
        <v>7</v>
      </c>
      <c r="H3" s="45" t="s">
        <v>21</v>
      </c>
      <c r="I3" s="46" t="s">
        <v>32</v>
      </c>
      <c r="J3" s="39" t="s">
        <v>22</v>
      </c>
      <c r="K3" s="7"/>
      <c r="L3" s="7"/>
      <c r="M3" s="48" t="s">
        <v>38</v>
      </c>
      <c r="N3" s="46" t="s">
        <v>32</v>
      </c>
      <c r="O3" s="45" t="s">
        <v>40</v>
      </c>
      <c r="P3" s="38" t="s">
        <v>40</v>
      </c>
      <c r="Q3" s="39" t="s">
        <v>40</v>
      </c>
      <c r="R3" s="45" t="s">
        <v>49</v>
      </c>
      <c r="S3" s="39" t="s">
        <v>49</v>
      </c>
    </row>
    <row r="4" spans="1:43" ht="14.4" thickBot="1" x14ac:dyDescent="0.3">
      <c r="B4" s="44"/>
      <c r="C4" s="28" t="s">
        <v>33</v>
      </c>
      <c r="D4" s="28" t="s">
        <v>35</v>
      </c>
      <c r="E4" s="31" t="s">
        <v>35</v>
      </c>
      <c r="F4" s="31" t="s">
        <v>35</v>
      </c>
      <c r="G4" s="32" t="s">
        <v>35</v>
      </c>
      <c r="H4" s="40">
        <f>1/5.9</f>
        <v>0.16949152542372881</v>
      </c>
      <c r="I4" s="33">
        <f>1/H4</f>
        <v>5.9</v>
      </c>
      <c r="J4" s="32" t="s">
        <v>35</v>
      </c>
      <c r="K4" s="1"/>
      <c r="L4" s="1"/>
      <c r="M4" s="49">
        <v>96.4</v>
      </c>
      <c r="N4" s="55">
        <f>1/(H4+H5+H6+H9+H10)</f>
        <v>0.29115097697448333</v>
      </c>
      <c r="O4" s="56">
        <f>H10/M4</f>
        <v>4.1493775933609957E-4</v>
      </c>
      <c r="P4" s="6">
        <f>H9/M4</f>
        <v>2.9967727063162749E-2</v>
      </c>
      <c r="Q4" s="57">
        <f>(SUM(H4:H8))/M4</f>
        <v>5.6118608335077045E-3</v>
      </c>
      <c r="R4" s="95">
        <f>J9*M4</f>
        <v>535116.4</v>
      </c>
      <c r="S4" s="96">
        <f>M4*(J5+J6+J7+J8)</f>
        <v>50513600</v>
      </c>
      <c r="AP4" s="2" t="s">
        <v>81</v>
      </c>
      <c r="AQ4" s="50">
        <f>(J5+F6*((10-D5)/100)*G6)*M4</f>
        <v>16580800.000000002</v>
      </c>
    </row>
    <row r="5" spans="1:43" ht="16.2" x14ac:dyDescent="0.25">
      <c r="B5" s="44"/>
      <c r="C5" s="12" t="s">
        <v>13</v>
      </c>
      <c r="D5" s="23">
        <v>2</v>
      </c>
      <c r="E5" s="4">
        <v>0.7</v>
      </c>
      <c r="F5" s="4">
        <v>1400</v>
      </c>
      <c r="G5" s="24">
        <v>1000</v>
      </c>
      <c r="H5" s="41">
        <f>(D5/100)/E5</f>
        <v>2.8571428571428574E-2</v>
      </c>
      <c r="I5" s="34">
        <f>1/H5</f>
        <v>35</v>
      </c>
      <c r="J5" s="24">
        <f>F5*(D5/100)*G5</f>
        <v>28000</v>
      </c>
      <c r="K5" s="4"/>
      <c r="L5" s="4"/>
      <c r="M5" s="4"/>
      <c r="N5" s="68">
        <f>N4-(1/(O4+P4+Q4)/M4)</f>
        <v>2.9559308016375851E-3</v>
      </c>
      <c r="O5" s="8" t="s">
        <v>44</v>
      </c>
      <c r="P5" s="9" t="s">
        <v>45</v>
      </c>
      <c r="Q5" s="21" t="s">
        <v>46</v>
      </c>
      <c r="AP5" s="2" t="s">
        <v>82</v>
      </c>
      <c r="AQ5" s="2">
        <f>(J16+(G16*F16*(10-D16)/100))*M15</f>
        <v>31262000</v>
      </c>
    </row>
    <row r="6" spans="1:43" ht="14.4" thickBot="1" x14ac:dyDescent="0.3">
      <c r="B6" s="44"/>
      <c r="C6" s="13" t="s">
        <v>12</v>
      </c>
      <c r="D6" s="23">
        <v>20</v>
      </c>
      <c r="E6" s="6">
        <v>0.65</v>
      </c>
      <c r="F6" s="4">
        <v>1800</v>
      </c>
      <c r="G6" s="24">
        <v>1000</v>
      </c>
      <c r="H6" s="41">
        <f t="shared" ref="H6:H8" si="0">(D6/100)/E6</f>
        <v>0.30769230769230771</v>
      </c>
      <c r="I6" s="34">
        <f t="shared" ref="I6:I10" si="1">1/H6</f>
        <v>3.25</v>
      </c>
      <c r="J6" s="24">
        <f>F6*(D6/100)*G6</f>
        <v>360000</v>
      </c>
      <c r="K6" s="4"/>
      <c r="L6" s="4"/>
      <c r="M6" s="4"/>
      <c r="O6" s="45" t="s">
        <v>47</v>
      </c>
      <c r="P6" s="38" t="s">
        <v>47</v>
      </c>
      <c r="Q6" s="39" t="s">
        <v>47</v>
      </c>
      <c r="AP6" s="2" t="s">
        <v>83</v>
      </c>
      <c r="AQ6" s="2">
        <f>(J25+J26+(10-D26-D25)*G27/100)*M25</f>
        <v>8247502.0000000009</v>
      </c>
    </row>
    <row r="7" spans="1:43" ht="14.4" thickBot="1" x14ac:dyDescent="0.3">
      <c r="B7" s="44"/>
      <c r="C7" s="13" t="s">
        <v>14</v>
      </c>
      <c r="D7" s="23">
        <v>4</v>
      </c>
      <c r="E7" s="4">
        <v>1.91</v>
      </c>
      <c r="F7" s="4">
        <v>2400</v>
      </c>
      <c r="G7" s="24">
        <v>1000</v>
      </c>
      <c r="H7" s="41">
        <f t="shared" si="0"/>
        <v>2.0942408376963352E-2</v>
      </c>
      <c r="I7" s="34">
        <f t="shared" si="1"/>
        <v>47.75</v>
      </c>
      <c r="J7" s="24">
        <f t="shared" ref="J7:J9" si="2">F7*(D7/100)*G7</f>
        <v>96000</v>
      </c>
      <c r="K7" s="4"/>
      <c r="L7" s="4"/>
      <c r="M7" s="4"/>
      <c r="O7" s="51">
        <f>1/O4</f>
        <v>2410</v>
      </c>
      <c r="P7" s="52">
        <f t="shared" ref="P7:Q7" si="3">1/P4</f>
        <v>33.369230769230768</v>
      </c>
      <c r="Q7" s="53">
        <f t="shared" si="3"/>
        <v>178.19401258654307</v>
      </c>
    </row>
    <row r="8" spans="1:43" x14ac:dyDescent="0.25">
      <c r="C8" s="13" t="s">
        <v>15</v>
      </c>
      <c r="D8" s="23">
        <v>2</v>
      </c>
      <c r="E8" s="4">
        <v>1.4</v>
      </c>
      <c r="F8" s="4">
        <v>2000</v>
      </c>
      <c r="G8" s="24">
        <v>1000</v>
      </c>
      <c r="H8" s="41">
        <f t="shared" si="0"/>
        <v>1.4285714285714287E-2</v>
      </c>
      <c r="I8" s="34">
        <f t="shared" si="1"/>
        <v>70</v>
      </c>
      <c r="J8" s="24">
        <f t="shared" si="2"/>
        <v>40000</v>
      </c>
      <c r="K8" s="4"/>
      <c r="L8" s="4"/>
      <c r="M8" s="4"/>
    </row>
    <row r="9" spans="1:43" x14ac:dyDescent="0.25">
      <c r="C9" s="61" t="s">
        <v>16</v>
      </c>
      <c r="D9" s="62">
        <v>13</v>
      </c>
      <c r="E9" s="63">
        <v>4.4999999999999998E-2</v>
      </c>
      <c r="F9" s="63">
        <v>35</v>
      </c>
      <c r="G9" s="64">
        <v>1220</v>
      </c>
      <c r="H9" s="65">
        <f>(D9/100)/E9</f>
        <v>2.8888888888888893</v>
      </c>
      <c r="I9" s="66">
        <f t="shared" si="1"/>
        <v>0.34615384615384609</v>
      </c>
      <c r="J9" s="64">
        <f t="shared" si="2"/>
        <v>5551</v>
      </c>
      <c r="K9" s="63"/>
      <c r="L9" s="4"/>
      <c r="M9" s="4"/>
      <c r="O9" s="2">
        <f>1/O7</f>
        <v>4.1493775933609957E-4</v>
      </c>
      <c r="P9" s="2">
        <f t="shared" ref="P9:Q9" si="4">1/P7</f>
        <v>2.9967727063162749E-2</v>
      </c>
      <c r="Q9" s="2">
        <f t="shared" si="4"/>
        <v>5.6118608335077045E-3</v>
      </c>
      <c r="R9" s="2">
        <f>O9+P9+Q9</f>
        <v>3.5994525656006554E-2</v>
      </c>
      <c r="AP9" s="2" t="s">
        <v>84</v>
      </c>
      <c r="AQ9" s="50">
        <f>AQ4+AQ6+AQ5</f>
        <v>56090302</v>
      </c>
    </row>
    <row r="10" spans="1:43" ht="14.4" thickBot="1" x14ac:dyDescent="0.3">
      <c r="C10" s="29" t="s">
        <v>34</v>
      </c>
      <c r="D10" s="25" t="s">
        <v>35</v>
      </c>
      <c r="E10" s="14" t="s">
        <v>35</v>
      </c>
      <c r="F10" s="14" t="s">
        <v>35</v>
      </c>
      <c r="G10" s="26" t="s">
        <v>35</v>
      </c>
      <c r="H10" s="42">
        <v>0.04</v>
      </c>
      <c r="I10" s="35">
        <f t="shared" si="1"/>
        <v>25</v>
      </c>
      <c r="J10" s="26" t="s">
        <v>35</v>
      </c>
      <c r="K10" s="4"/>
      <c r="L10" s="4"/>
      <c r="M10" s="4"/>
      <c r="R10" s="2">
        <f>R9*M4</f>
        <v>3.4698722732390319</v>
      </c>
      <c r="AP10" s="2" t="s">
        <v>85</v>
      </c>
      <c r="AQ10" s="2">
        <f>M4*2</f>
        <v>192.8</v>
      </c>
    </row>
    <row r="11" spans="1:43" x14ac:dyDescent="0.25">
      <c r="C11" s="5"/>
      <c r="R11" s="2">
        <f>1/R10</f>
        <v>0.28819504617284575</v>
      </c>
      <c r="AP11" s="93" t="s">
        <v>86</v>
      </c>
      <c r="AQ11" s="94">
        <f>AQ9/AQ10</f>
        <v>290924.80290456431</v>
      </c>
    </row>
    <row r="12" spans="1:43" ht="14.4" thickBot="1" x14ac:dyDescent="0.3">
      <c r="C12" s="2" t="s">
        <v>10</v>
      </c>
      <c r="D12" s="3" t="s">
        <v>26</v>
      </c>
    </row>
    <row r="13" spans="1:43" ht="16.2" x14ac:dyDescent="0.25">
      <c r="C13" s="8" t="s">
        <v>0</v>
      </c>
      <c r="D13" s="9" t="s">
        <v>19</v>
      </c>
      <c r="E13" s="9" t="s">
        <v>1</v>
      </c>
      <c r="F13" s="9" t="s">
        <v>2</v>
      </c>
      <c r="G13" s="9" t="s">
        <v>3</v>
      </c>
      <c r="H13" s="9" t="s">
        <v>4</v>
      </c>
      <c r="I13" s="9" t="s">
        <v>36</v>
      </c>
      <c r="J13" s="21" t="s">
        <v>18</v>
      </c>
      <c r="K13" s="11"/>
      <c r="M13" s="47" t="s">
        <v>37</v>
      </c>
      <c r="N13" s="9" t="s">
        <v>20</v>
      </c>
      <c r="O13" s="8" t="s">
        <v>39</v>
      </c>
      <c r="P13" s="9" t="s">
        <v>52</v>
      </c>
      <c r="Q13" s="9" t="s">
        <v>53</v>
      </c>
      <c r="R13" s="8" t="s">
        <v>54</v>
      </c>
      <c r="S13" s="21" t="s">
        <v>55</v>
      </c>
    </row>
    <row r="14" spans="1:43" ht="17.399999999999999" thickBot="1" x14ac:dyDescent="0.3">
      <c r="C14" s="15" t="s">
        <v>5</v>
      </c>
      <c r="D14" s="16" t="s">
        <v>6</v>
      </c>
      <c r="E14" s="16" t="s">
        <v>17</v>
      </c>
      <c r="F14" s="16" t="s">
        <v>8</v>
      </c>
      <c r="G14" s="16" t="s">
        <v>7</v>
      </c>
      <c r="H14" s="16" t="s">
        <v>21</v>
      </c>
      <c r="I14" s="46" t="s">
        <v>32</v>
      </c>
      <c r="J14" s="22" t="s">
        <v>22</v>
      </c>
      <c r="K14" s="11"/>
      <c r="M14" s="48" t="s">
        <v>38</v>
      </c>
      <c r="N14" s="46" t="s">
        <v>32</v>
      </c>
      <c r="O14" s="45" t="s">
        <v>40</v>
      </c>
      <c r="P14" s="38" t="s">
        <v>40</v>
      </c>
      <c r="Q14" s="39" t="s">
        <v>40</v>
      </c>
      <c r="R14" s="45" t="s">
        <v>49</v>
      </c>
      <c r="S14" s="39" t="s">
        <v>49</v>
      </c>
    </row>
    <row r="15" spans="1:43" ht="14.4" thickBot="1" x14ac:dyDescent="0.3">
      <c r="C15" s="43" t="s">
        <v>33</v>
      </c>
      <c r="D15" s="28" t="s">
        <v>35</v>
      </c>
      <c r="E15" s="31" t="s">
        <v>35</v>
      </c>
      <c r="F15" s="31" t="s">
        <v>35</v>
      </c>
      <c r="G15" s="32" t="s">
        <v>35</v>
      </c>
      <c r="H15" s="34">
        <f>1/7.7</f>
        <v>0.12987012987012986</v>
      </c>
      <c r="I15" s="34">
        <f>1/H15</f>
        <v>7.7000000000000011</v>
      </c>
      <c r="J15" s="27" t="s">
        <v>35</v>
      </c>
      <c r="K15" s="11"/>
      <c r="M15" s="60">
        <v>223.3</v>
      </c>
      <c r="N15" s="55">
        <f>1/(H15+H16+H17+H18+H19+H20)</f>
        <v>0.3382063351463731</v>
      </c>
      <c r="O15" s="56">
        <f>(H19+H20)/M15</f>
        <v>2.7864855451062345E-4</v>
      </c>
      <c r="P15" s="6">
        <f>H18/M15</f>
        <v>9.4541473851818669E-3</v>
      </c>
      <c r="Q15" s="57">
        <f>(H15+H16+H17)/M15</f>
        <v>3.5084709289814526E-3</v>
      </c>
      <c r="R15" s="95">
        <f>(J19+J18)*M15</f>
        <v>8944616.4500000011</v>
      </c>
      <c r="S15" s="96">
        <f>M15*(J16+J17)</f>
        <v>62077400</v>
      </c>
    </row>
    <row r="16" spans="1:43" ht="16.2" x14ac:dyDescent="0.25">
      <c r="C16" s="12" t="s">
        <v>13</v>
      </c>
      <c r="D16" s="23">
        <v>2</v>
      </c>
      <c r="E16" s="4">
        <v>0.7</v>
      </c>
      <c r="F16" s="4">
        <v>1400</v>
      </c>
      <c r="G16" s="24">
        <v>1000</v>
      </c>
      <c r="H16" s="20">
        <f>(D16/100)/E16</f>
        <v>2.8571428571428574E-2</v>
      </c>
      <c r="I16" s="34">
        <f t="shared" ref="I16:I20" si="5">1/H16</f>
        <v>35</v>
      </c>
      <c r="J16" s="24">
        <f>F16*(D16/100)*G16</f>
        <v>28000</v>
      </c>
      <c r="K16" s="4"/>
      <c r="M16" s="4"/>
      <c r="N16" s="68">
        <f>N15-(1/(O15+P15+Q15)/M15)</f>
        <v>0</v>
      </c>
      <c r="O16" s="8" t="s">
        <v>56</v>
      </c>
      <c r="P16" s="9" t="s">
        <v>57</v>
      </c>
      <c r="Q16" s="21" t="s">
        <v>58</v>
      </c>
    </row>
    <row r="17" spans="2:21" ht="14.4" thickBot="1" x14ac:dyDescent="0.3">
      <c r="C17" s="13" t="s">
        <v>69</v>
      </c>
      <c r="D17" s="23">
        <v>25</v>
      </c>
      <c r="E17" s="6">
        <f>(D17/100)/H17</f>
        <v>0.4</v>
      </c>
      <c r="F17" s="4">
        <v>1000</v>
      </c>
      <c r="G17" s="24">
        <v>1000</v>
      </c>
      <c r="H17" s="4">
        <v>0.625</v>
      </c>
      <c r="I17" s="34">
        <f t="shared" si="5"/>
        <v>1.6</v>
      </c>
      <c r="J17" s="24">
        <f>F17*(D17/100)*G17</f>
        <v>250000</v>
      </c>
      <c r="K17" s="4"/>
      <c r="M17" s="4"/>
      <c r="O17" s="45" t="s">
        <v>47</v>
      </c>
      <c r="P17" s="38" t="s">
        <v>47</v>
      </c>
      <c r="Q17" s="39" t="s">
        <v>47</v>
      </c>
    </row>
    <row r="18" spans="2:21" ht="14.4" thickBot="1" x14ac:dyDescent="0.3">
      <c r="C18" s="61" t="s">
        <v>31</v>
      </c>
      <c r="D18" s="62">
        <v>9.5</v>
      </c>
      <c r="E18" s="63">
        <v>4.4999999999999998E-2</v>
      </c>
      <c r="F18" s="63">
        <v>35</v>
      </c>
      <c r="G18" s="64">
        <v>1220</v>
      </c>
      <c r="H18" s="67">
        <f>(D18/100)/E18</f>
        <v>2.1111111111111112</v>
      </c>
      <c r="I18" s="66">
        <f t="shared" si="5"/>
        <v>0.47368421052631576</v>
      </c>
      <c r="J18" s="64">
        <f>F18*(D18/100)*G18</f>
        <v>4056.5</v>
      </c>
      <c r="K18" s="63"/>
      <c r="M18" s="4"/>
      <c r="O18" s="51">
        <f>1/O15</f>
        <v>3588.7500000000005</v>
      </c>
      <c r="P18" s="52">
        <f t="shared" ref="P18:Q18" si="6">1/P15</f>
        <v>105.77368421052633</v>
      </c>
      <c r="Q18" s="53">
        <f t="shared" si="6"/>
        <v>285.02445089100706</v>
      </c>
    </row>
    <row r="19" spans="2:21" x14ac:dyDescent="0.25">
      <c r="C19" s="13" t="s">
        <v>25</v>
      </c>
      <c r="D19" s="23">
        <v>2</v>
      </c>
      <c r="E19" s="4">
        <v>0.9</v>
      </c>
      <c r="F19" s="4">
        <v>1800</v>
      </c>
      <c r="G19" s="24">
        <v>1000</v>
      </c>
      <c r="H19" s="20">
        <f>(D19/100)/E19</f>
        <v>2.2222222222222223E-2</v>
      </c>
      <c r="I19" s="34">
        <f t="shared" si="5"/>
        <v>45</v>
      </c>
      <c r="J19" s="24">
        <f>F19*(D19/100)*G19</f>
        <v>36000</v>
      </c>
      <c r="K19" s="4"/>
    </row>
    <row r="20" spans="2:21" ht="14.4" thickBot="1" x14ac:dyDescent="0.3">
      <c r="C20" s="29" t="s">
        <v>33</v>
      </c>
      <c r="D20" s="25" t="s">
        <v>35</v>
      </c>
      <c r="E20" s="14" t="s">
        <v>35</v>
      </c>
      <c r="F20" s="14" t="s">
        <v>35</v>
      </c>
      <c r="G20" s="26" t="s">
        <v>35</v>
      </c>
      <c r="H20" s="58">
        <f>1/25</f>
        <v>0.04</v>
      </c>
      <c r="I20" s="35">
        <f t="shared" si="5"/>
        <v>25</v>
      </c>
      <c r="J20" s="26" t="s">
        <v>35</v>
      </c>
      <c r="K20" s="4"/>
    </row>
    <row r="21" spans="2:21" ht="14.4" thickBot="1" x14ac:dyDescent="0.3">
      <c r="C21" s="2" t="s">
        <v>10</v>
      </c>
      <c r="D21" s="3" t="s">
        <v>27</v>
      </c>
    </row>
    <row r="22" spans="2:21" ht="14.4" thickBot="1" x14ac:dyDescent="0.3">
      <c r="C22" s="8" t="s">
        <v>0</v>
      </c>
      <c r="D22" s="9" t="s">
        <v>19</v>
      </c>
      <c r="E22" s="9" t="s">
        <v>1</v>
      </c>
      <c r="F22" s="9" t="s">
        <v>2</v>
      </c>
      <c r="G22" s="9" t="s">
        <v>3</v>
      </c>
      <c r="H22" s="8" t="s">
        <v>4</v>
      </c>
      <c r="I22" s="9" t="s">
        <v>36</v>
      </c>
      <c r="J22" s="21" t="s">
        <v>18</v>
      </c>
      <c r="K22" s="11"/>
    </row>
    <row r="23" spans="2:21" ht="17.399999999999999" thickBot="1" x14ac:dyDescent="0.3">
      <c r="C23" s="15" t="s">
        <v>5</v>
      </c>
      <c r="D23" s="16" t="s">
        <v>6</v>
      </c>
      <c r="E23" s="16" t="s">
        <v>17</v>
      </c>
      <c r="F23" s="16" t="s">
        <v>8</v>
      </c>
      <c r="G23" s="16" t="s">
        <v>7</v>
      </c>
      <c r="H23" s="15" t="s">
        <v>21</v>
      </c>
      <c r="I23" s="46" t="s">
        <v>32</v>
      </c>
      <c r="J23" s="22" t="s">
        <v>22</v>
      </c>
      <c r="K23" s="11"/>
      <c r="M23" s="47" t="s">
        <v>37</v>
      </c>
      <c r="N23" s="9" t="s">
        <v>20</v>
      </c>
      <c r="O23" s="8" t="s">
        <v>59</v>
      </c>
      <c r="P23" s="9" t="s">
        <v>60</v>
      </c>
      <c r="Q23" s="9" t="s">
        <v>87</v>
      </c>
      <c r="R23" s="21" t="s">
        <v>88</v>
      </c>
      <c r="S23" s="8" t="s">
        <v>62</v>
      </c>
      <c r="T23" s="9" t="s">
        <v>89</v>
      </c>
      <c r="U23" s="21" t="s">
        <v>90</v>
      </c>
    </row>
    <row r="24" spans="2:21" ht="17.399999999999999" thickBot="1" x14ac:dyDescent="0.3">
      <c r="C24" s="43" t="s">
        <v>33</v>
      </c>
      <c r="D24" s="1" t="s">
        <v>35</v>
      </c>
      <c r="E24" s="1" t="s">
        <v>35</v>
      </c>
      <c r="F24" s="1" t="s">
        <v>35</v>
      </c>
      <c r="G24" s="1" t="s">
        <v>35</v>
      </c>
      <c r="H24" s="34">
        <f>1/10</f>
        <v>0.1</v>
      </c>
      <c r="I24" s="34">
        <f>1/H24</f>
        <v>10</v>
      </c>
      <c r="J24" s="59" t="s">
        <v>35</v>
      </c>
      <c r="K24" s="34"/>
      <c r="M24" s="48" t="s">
        <v>38</v>
      </c>
      <c r="N24" s="46" t="s">
        <v>32</v>
      </c>
      <c r="O24" s="45" t="s">
        <v>40</v>
      </c>
      <c r="P24" s="38" t="s">
        <v>40</v>
      </c>
      <c r="Q24" s="38" t="s">
        <v>40</v>
      </c>
      <c r="R24" s="39" t="s">
        <v>40</v>
      </c>
      <c r="S24" s="45" t="s">
        <v>49</v>
      </c>
      <c r="T24" s="38" t="s">
        <v>49</v>
      </c>
      <c r="U24" s="39" t="s">
        <v>49</v>
      </c>
    </row>
    <row r="25" spans="2:21" ht="15.6" customHeight="1" thickBot="1" x14ac:dyDescent="0.3">
      <c r="C25" s="12" t="s">
        <v>28</v>
      </c>
      <c r="D25" s="4">
        <v>1.5</v>
      </c>
      <c r="E25" s="4">
        <v>1.47</v>
      </c>
      <c r="F25" s="4">
        <v>1700</v>
      </c>
      <c r="G25" s="4">
        <v>1000</v>
      </c>
      <c r="H25" s="41">
        <f>(D25/100)/E25</f>
        <v>1.020408163265306E-2</v>
      </c>
      <c r="I25" s="34">
        <f t="shared" ref="I25:I30" si="7">1/H25</f>
        <v>98.000000000000014</v>
      </c>
      <c r="J25" s="24">
        <f t="shared" ref="J25:J30" si="8">F25*(D25/100)*G25</f>
        <v>25500</v>
      </c>
      <c r="K25" s="23"/>
      <c r="L25" s="11"/>
      <c r="M25" s="49">
        <v>96.4</v>
      </c>
      <c r="N25" s="55">
        <f>1/(H24+H25+H26+H27+H28+H29+H30)</f>
        <v>0.32924648995163475</v>
      </c>
      <c r="O25" s="56">
        <f>(H30+H29)/M25</f>
        <v>5.4311225043992097E-4</v>
      </c>
      <c r="P25" s="6">
        <f>H28/M25</f>
        <v>2.8815122176118025E-2</v>
      </c>
      <c r="Q25" s="6">
        <f>(H27*0.6)/M25</f>
        <v>4.6974085962577303E-4</v>
      </c>
      <c r="R25" s="57">
        <f>(H24+H25+H26+H27*0.4)/M25</f>
        <v>1.678644526001115E-3</v>
      </c>
      <c r="S25" s="95">
        <f>(J29+J28+J30)*M25</f>
        <v>23650535</v>
      </c>
      <c r="T25" s="97">
        <f>M25*(J27*0.6)</f>
        <v>9254400</v>
      </c>
      <c r="U25" s="96">
        <f>M25*(J25+J26+J27*0.4)</f>
        <v>14411800</v>
      </c>
    </row>
    <row r="26" spans="2:21" ht="16.2" x14ac:dyDescent="0.25">
      <c r="C26" s="13" t="s">
        <v>15</v>
      </c>
      <c r="D26" s="4">
        <v>3</v>
      </c>
      <c r="E26" s="6">
        <v>1.4</v>
      </c>
      <c r="F26" s="4">
        <v>2000</v>
      </c>
      <c r="G26" s="4">
        <v>1000</v>
      </c>
      <c r="H26" s="41">
        <f t="shared" ref="H26:H30" si="9">(D26/100)/E26</f>
        <v>2.1428571428571429E-2</v>
      </c>
      <c r="I26" s="34">
        <f t="shared" si="7"/>
        <v>46.666666666666664</v>
      </c>
      <c r="J26" s="24">
        <f t="shared" si="8"/>
        <v>60000</v>
      </c>
      <c r="K26" s="4"/>
      <c r="M26" s="4"/>
      <c r="N26" s="68">
        <f>N25-(1/(O25+P25+R25)/M25)</f>
        <v>-4.9831211912464979E-3</v>
      </c>
      <c r="O26" s="8" t="s">
        <v>66</v>
      </c>
      <c r="P26" s="9" t="s">
        <v>65</v>
      </c>
      <c r="Q26" s="9" t="s">
        <v>91</v>
      </c>
      <c r="R26" s="21" t="s">
        <v>91</v>
      </c>
    </row>
    <row r="27" spans="2:21" ht="14.4" thickBot="1" x14ac:dyDescent="0.3">
      <c r="C27" s="13" t="s">
        <v>29</v>
      </c>
      <c r="D27" s="4">
        <v>8</v>
      </c>
      <c r="E27" s="4">
        <v>1.06</v>
      </c>
      <c r="F27" s="4">
        <v>2000</v>
      </c>
      <c r="G27" s="4">
        <v>1000</v>
      </c>
      <c r="H27" s="41">
        <f t="shared" si="9"/>
        <v>7.5471698113207544E-2</v>
      </c>
      <c r="I27" s="34">
        <f t="shared" si="7"/>
        <v>13.25</v>
      </c>
      <c r="J27" s="24">
        <f t="shared" si="8"/>
        <v>160000</v>
      </c>
      <c r="K27" s="4"/>
      <c r="M27" s="4"/>
      <c r="O27" s="45" t="s">
        <v>47</v>
      </c>
      <c r="P27" s="38" t="s">
        <v>47</v>
      </c>
      <c r="Q27" s="38" t="s">
        <v>47</v>
      </c>
      <c r="R27" s="39" t="s">
        <v>47</v>
      </c>
    </row>
    <row r="28" spans="2:21" ht="14.4" thickBot="1" x14ac:dyDescent="0.3">
      <c r="B28" s="7"/>
      <c r="C28" s="61" t="s">
        <v>31</v>
      </c>
      <c r="D28" s="63">
        <v>12.5</v>
      </c>
      <c r="E28" s="63">
        <v>4.4999999999999998E-2</v>
      </c>
      <c r="F28" s="63">
        <v>35</v>
      </c>
      <c r="G28" s="63">
        <v>1220</v>
      </c>
      <c r="H28" s="72">
        <f t="shared" si="9"/>
        <v>2.7777777777777777</v>
      </c>
      <c r="I28" s="66">
        <f t="shared" si="7"/>
        <v>0.36</v>
      </c>
      <c r="J28" s="64">
        <f t="shared" si="8"/>
        <v>5337.5</v>
      </c>
      <c r="K28" s="63"/>
      <c r="M28" s="4"/>
      <c r="O28" s="51">
        <f>1/O25</f>
        <v>1841.2399999999998</v>
      </c>
      <c r="P28" s="52">
        <f t="shared" ref="P28" si="10">1/P25</f>
        <v>34.704000000000001</v>
      </c>
      <c r="Q28" s="52">
        <f>1/Q25</f>
        <v>2128.8333333333339</v>
      </c>
      <c r="R28" s="53">
        <f>1/R25</f>
        <v>595.71873884592515</v>
      </c>
    </row>
    <row r="29" spans="2:21" x14ac:dyDescent="0.25">
      <c r="C29" s="13" t="s">
        <v>30</v>
      </c>
      <c r="D29" s="4">
        <v>10</v>
      </c>
      <c r="E29" s="4">
        <v>1.91</v>
      </c>
      <c r="F29" s="4">
        <v>2400</v>
      </c>
      <c r="G29" s="4">
        <v>1000</v>
      </c>
      <c r="H29" s="41">
        <f t="shared" si="9"/>
        <v>5.2356020942408384E-2</v>
      </c>
      <c r="I29" s="34">
        <f t="shared" si="7"/>
        <v>19.099999999999998</v>
      </c>
      <c r="J29" s="24">
        <f t="shared" si="8"/>
        <v>240000</v>
      </c>
      <c r="K29" s="4"/>
      <c r="M29" s="4"/>
      <c r="O29" s="69"/>
      <c r="P29" s="69"/>
      <c r="Q29" s="69"/>
    </row>
    <row r="30" spans="2:21" ht="14.4" thickBot="1" x14ac:dyDescent="0.3">
      <c r="C30" s="25" t="s">
        <v>25</v>
      </c>
      <c r="D30" s="14">
        <v>0</v>
      </c>
      <c r="E30" s="30">
        <v>0.9</v>
      </c>
      <c r="F30" s="14">
        <v>1800</v>
      </c>
      <c r="G30" s="14">
        <v>1000</v>
      </c>
      <c r="H30" s="73">
        <f t="shared" si="9"/>
        <v>0</v>
      </c>
      <c r="I30" s="35" t="e">
        <f t="shared" si="7"/>
        <v>#DIV/0!</v>
      </c>
      <c r="J30" s="26">
        <f t="shared" si="8"/>
        <v>0</v>
      </c>
      <c r="K30" s="4"/>
    </row>
    <row r="31" spans="2:21" ht="16.2" x14ac:dyDescent="0.25">
      <c r="M31" s="47" t="s">
        <v>37</v>
      </c>
      <c r="N31" s="9" t="s">
        <v>20</v>
      </c>
      <c r="O31" s="47" t="s">
        <v>67</v>
      </c>
      <c r="Q31" s="47" t="s">
        <v>77</v>
      </c>
      <c r="R31" s="47" t="s">
        <v>79</v>
      </c>
    </row>
    <row r="32" spans="2:21" ht="17.399999999999999" thickBot="1" x14ac:dyDescent="0.3">
      <c r="C32" s="1"/>
      <c r="M32" s="48" t="s">
        <v>38</v>
      </c>
      <c r="N32" s="46" t="s">
        <v>32</v>
      </c>
      <c r="O32" s="54" t="s">
        <v>40</v>
      </c>
      <c r="Q32" s="48" t="s">
        <v>78</v>
      </c>
      <c r="R32" s="54" t="s">
        <v>51</v>
      </c>
    </row>
    <row r="33" spans="3:18" ht="14.4" thickBot="1" x14ac:dyDescent="0.3">
      <c r="C33" s="1"/>
      <c r="M33" s="49">
        <v>21.7</v>
      </c>
      <c r="N33" s="55">
        <v>2.2000000000000002</v>
      </c>
      <c r="O33" s="70">
        <f>1/O36</f>
        <v>2.0946795140343526E-2</v>
      </c>
      <c r="Q33" s="49">
        <v>607</v>
      </c>
      <c r="R33" s="91">
        <f>1.204*1012*Q33/1000</f>
        <v>739.59793599999989</v>
      </c>
    </row>
    <row r="34" spans="3:18" ht="16.2" x14ac:dyDescent="0.25">
      <c r="C34" s="1"/>
      <c r="O34" s="47" t="s">
        <v>68</v>
      </c>
    </row>
    <row r="35" spans="3:18" ht="14.4" thickBot="1" x14ac:dyDescent="0.3">
      <c r="O35" s="54" t="s">
        <v>47</v>
      </c>
    </row>
    <row r="36" spans="3:18" ht="14.4" thickBot="1" x14ac:dyDescent="0.3">
      <c r="O36" s="71">
        <f>N33*M33</f>
        <v>47.74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A3F9-1CCC-42F8-B612-29742A38A9F7}">
  <dimension ref="A1:AQ36"/>
  <sheetViews>
    <sheetView zoomScale="80" zoomScaleNormal="80" workbookViewId="0">
      <selection activeCell="N4" sqref="N4"/>
    </sheetView>
  </sheetViews>
  <sheetFormatPr defaultRowHeight="13.8" x14ac:dyDescent="0.25"/>
  <cols>
    <col min="1" max="1" width="16" style="1" customWidth="1"/>
    <col min="2" max="2" width="14.5546875" style="1" customWidth="1"/>
    <col min="3" max="3" width="31.109375" style="2" customWidth="1"/>
    <col min="4" max="4" width="8.88671875" style="2"/>
    <col min="5" max="5" width="10.6640625" style="2" customWidth="1"/>
    <col min="6" max="6" width="10.44140625" style="2" customWidth="1"/>
    <col min="7" max="7" width="11" style="2" customWidth="1"/>
    <col min="8" max="8" width="11.88671875" style="2" customWidth="1"/>
    <col min="9" max="9" width="16.21875" style="2" customWidth="1"/>
    <col min="10" max="12" width="14.109375" style="2" customWidth="1"/>
    <col min="13" max="13" width="8.88671875" style="2"/>
    <col min="14" max="14" width="11.5546875" style="2" bestFit="1" customWidth="1"/>
    <col min="15" max="15" width="12.6640625" style="2" bestFit="1" customWidth="1"/>
    <col min="16" max="17" width="8.88671875" style="2"/>
    <col min="18" max="18" width="12.77734375" style="2" bestFit="1" customWidth="1"/>
    <col min="19" max="19" width="13.77734375" style="2" customWidth="1"/>
    <col min="20" max="42" width="8.88671875" style="2"/>
    <col min="43" max="43" width="12.6640625" style="2" bestFit="1" customWidth="1"/>
    <col min="44" max="16384" width="8.88671875" style="2"/>
  </cols>
  <sheetData>
    <row r="1" spans="1:43" ht="14.4" thickBot="1" x14ac:dyDescent="0.3">
      <c r="C1" s="2" t="s">
        <v>10</v>
      </c>
      <c r="D1" s="3" t="s">
        <v>11</v>
      </c>
    </row>
    <row r="2" spans="1:43" ht="18.600000000000001" customHeight="1" x14ac:dyDescent="0.25">
      <c r="A2" s="1" t="s">
        <v>9</v>
      </c>
      <c r="C2" s="8" t="s">
        <v>0</v>
      </c>
      <c r="D2" s="8" t="s">
        <v>19</v>
      </c>
      <c r="E2" s="9" t="s">
        <v>1</v>
      </c>
      <c r="F2" s="9" t="s">
        <v>2</v>
      </c>
      <c r="G2" s="21" t="s">
        <v>3</v>
      </c>
      <c r="H2" s="8" t="s">
        <v>4</v>
      </c>
      <c r="I2" s="9" t="s">
        <v>36</v>
      </c>
      <c r="J2" s="21" t="s">
        <v>18</v>
      </c>
      <c r="K2" s="11"/>
      <c r="L2" s="11"/>
      <c r="M2" s="47" t="s">
        <v>37</v>
      </c>
      <c r="N2" s="9" t="s">
        <v>20</v>
      </c>
      <c r="O2" s="8" t="s">
        <v>41</v>
      </c>
      <c r="P2" s="9" t="s">
        <v>42</v>
      </c>
      <c r="Q2" s="21" t="s">
        <v>43</v>
      </c>
      <c r="R2" s="8" t="s">
        <v>48</v>
      </c>
      <c r="S2" s="21" t="s">
        <v>50</v>
      </c>
      <c r="AP2" s="3" t="s">
        <v>80</v>
      </c>
    </row>
    <row r="3" spans="1:43" ht="14.4" customHeight="1" thickBot="1" x14ac:dyDescent="0.3">
      <c r="A3" s="4"/>
      <c r="B3" s="4"/>
      <c r="C3" s="36" t="s">
        <v>5</v>
      </c>
      <c r="D3" s="36" t="s">
        <v>6</v>
      </c>
      <c r="E3" s="7" t="s">
        <v>17</v>
      </c>
      <c r="F3" s="7" t="s">
        <v>8</v>
      </c>
      <c r="G3" s="37" t="s">
        <v>7</v>
      </c>
      <c r="H3" s="45" t="s">
        <v>21</v>
      </c>
      <c r="I3" s="46" t="s">
        <v>32</v>
      </c>
      <c r="J3" s="39" t="s">
        <v>22</v>
      </c>
      <c r="K3" s="7"/>
      <c r="L3" s="7"/>
      <c r="M3" s="48" t="s">
        <v>38</v>
      </c>
      <c r="N3" s="46" t="s">
        <v>32</v>
      </c>
      <c r="O3" s="45" t="s">
        <v>40</v>
      </c>
      <c r="P3" s="38" t="s">
        <v>40</v>
      </c>
      <c r="Q3" s="39" t="s">
        <v>40</v>
      </c>
      <c r="R3" s="45" t="s">
        <v>49</v>
      </c>
      <c r="S3" s="39" t="s">
        <v>49</v>
      </c>
    </row>
    <row r="4" spans="1:43" ht="14.4" thickBot="1" x14ac:dyDescent="0.3">
      <c r="B4" s="44"/>
      <c r="C4" s="28" t="s">
        <v>33</v>
      </c>
      <c r="D4" s="28" t="s">
        <v>35</v>
      </c>
      <c r="E4" s="31" t="s">
        <v>35</v>
      </c>
      <c r="F4" s="31" t="s">
        <v>35</v>
      </c>
      <c r="G4" s="32" t="s">
        <v>35</v>
      </c>
      <c r="H4" s="40">
        <f>1/5.9</f>
        <v>0.16949152542372881</v>
      </c>
      <c r="I4" s="33">
        <f>1/H4</f>
        <v>5.9</v>
      </c>
      <c r="J4" s="32" t="s">
        <v>35</v>
      </c>
      <c r="K4" s="1"/>
      <c r="L4" s="1"/>
      <c r="M4" s="49">
        <v>96.4</v>
      </c>
      <c r="N4" s="55">
        <f>1/(SUM(H4:H10))</f>
        <v>0.29577193565303767</v>
      </c>
      <c r="O4" s="56">
        <f>H10/M4</f>
        <v>4.1493775933609957E-4</v>
      </c>
      <c r="P4" s="6">
        <f>H9/M4</f>
        <v>2.9045643153526972E-2</v>
      </c>
      <c r="Q4" s="57">
        <f>(SUM(H4:H8))/M4</f>
        <v>5.6118608335077045E-3</v>
      </c>
      <c r="R4" s="95">
        <f>J9*M4</f>
        <v>518651.28</v>
      </c>
      <c r="S4" s="96">
        <f>M4*(J5+J6+J7+J8)</f>
        <v>50513600</v>
      </c>
      <c r="AP4" s="2" t="s">
        <v>81</v>
      </c>
      <c r="AQ4" s="50">
        <f>(J5+F6*((10-D5)/100)*G6)*M4</f>
        <v>16580800.000000002</v>
      </c>
    </row>
    <row r="5" spans="1:43" ht="16.2" x14ac:dyDescent="0.25">
      <c r="B5" s="44"/>
      <c r="C5" s="12" t="s">
        <v>13</v>
      </c>
      <c r="D5" s="23">
        <v>2</v>
      </c>
      <c r="E5" s="4">
        <v>0.7</v>
      </c>
      <c r="F5" s="4">
        <v>1400</v>
      </c>
      <c r="G5" s="24">
        <v>1000</v>
      </c>
      <c r="H5" s="41">
        <f>(D5/100)/E5</f>
        <v>2.8571428571428574E-2</v>
      </c>
      <c r="I5" s="34">
        <f>1/H5</f>
        <v>35</v>
      </c>
      <c r="J5" s="24">
        <f>F5*(D5/100)*G5</f>
        <v>28000</v>
      </c>
      <c r="K5" s="4"/>
      <c r="L5" s="4"/>
      <c r="M5" s="4"/>
      <c r="N5" s="68">
        <f>N4-(1/(O4+P4+Q4)/M4)</f>
        <v>0</v>
      </c>
      <c r="O5" s="8" t="s">
        <v>44</v>
      </c>
      <c r="P5" s="9" t="s">
        <v>45</v>
      </c>
      <c r="Q5" s="21" t="s">
        <v>46</v>
      </c>
      <c r="AP5" s="2" t="s">
        <v>82</v>
      </c>
      <c r="AQ5" s="2">
        <f>(J16+(G16*F16*(10-D16)/100))*M15</f>
        <v>31262000</v>
      </c>
    </row>
    <row r="6" spans="1:43" ht="14.4" thickBot="1" x14ac:dyDescent="0.3">
      <c r="B6" s="44"/>
      <c r="C6" s="13" t="s">
        <v>12</v>
      </c>
      <c r="D6" s="23">
        <v>20</v>
      </c>
      <c r="E6" s="6">
        <v>0.65</v>
      </c>
      <c r="F6" s="4">
        <v>1800</v>
      </c>
      <c r="G6" s="24">
        <v>1000</v>
      </c>
      <c r="H6" s="41">
        <f t="shared" ref="H6:H8" si="0">(D6/100)/E6</f>
        <v>0.30769230769230771</v>
      </c>
      <c r="I6" s="34">
        <f t="shared" ref="I6:I8" si="1">1/H6</f>
        <v>3.25</v>
      </c>
      <c r="J6" s="24">
        <f>F6*(D6/100)*G6</f>
        <v>360000</v>
      </c>
      <c r="K6" s="4"/>
      <c r="L6" s="4"/>
      <c r="M6" s="4"/>
      <c r="O6" s="45" t="s">
        <v>47</v>
      </c>
      <c r="P6" s="38" t="s">
        <v>47</v>
      </c>
      <c r="Q6" s="39" t="s">
        <v>47</v>
      </c>
      <c r="AP6" s="2" t="s">
        <v>83</v>
      </c>
      <c r="AQ6" s="2">
        <f>(J25+J26+(10-D26-D25)*G27/100)*M25</f>
        <v>8247502.0000000009</v>
      </c>
    </row>
    <row r="7" spans="1:43" ht="14.4" thickBot="1" x14ac:dyDescent="0.3">
      <c r="B7" s="44"/>
      <c r="C7" s="13" t="s">
        <v>14</v>
      </c>
      <c r="D7" s="23">
        <v>4</v>
      </c>
      <c r="E7" s="4">
        <v>1.91</v>
      </c>
      <c r="F7" s="4">
        <v>2400</v>
      </c>
      <c r="G7" s="24">
        <v>1000</v>
      </c>
      <c r="H7" s="41">
        <f t="shared" si="0"/>
        <v>2.0942408376963352E-2</v>
      </c>
      <c r="I7" s="34">
        <f t="shared" si="1"/>
        <v>47.75</v>
      </c>
      <c r="J7" s="24">
        <f t="shared" ref="J7:J9" si="2">F7*(D7/100)*G7</f>
        <v>96000</v>
      </c>
      <c r="K7" s="4"/>
      <c r="L7" s="4"/>
      <c r="M7" s="4"/>
      <c r="O7" s="51">
        <f>1/O4</f>
        <v>2410</v>
      </c>
      <c r="P7" s="52">
        <f t="shared" ref="P7:Q7" si="3">1/P4</f>
        <v>34.428571428571431</v>
      </c>
      <c r="Q7" s="53">
        <f t="shared" si="3"/>
        <v>178.19401258654307</v>
      </c>
    </row>
    <row r="8" spans="1:43" x14ac:dyDescent="0.25">
      <c r="C8" s="13" t="s">
        <v>15</v>
      </c>
      <c r="D8" s="23">
        <v>2</v>
      </c>
      <c r="E8" s="4">
        <v>1.4</v>
      </c>
      <c r="F8" s="4">
        <v>2000</v>
      </c>
      <c r="G8" s="24">
        <v>1000</v>
      </c>
      <c r="H8" s="41">
        <f t="shared" si="0"/>
        <v>1.4285714285714287E-2</v>
      </c>
      <c r="I8" s="34">
        <f t="shared" si="1"/>
        <v>70</v>
      </c>
      <c r="J8" s="24">
        <f t="shared" si="2"/>
        <v>40000</v>
      </c>
      <c r="K8" s="4"/>
      <c r="L8" s="4"/>
      <c r="M8" s="4"/>
    </row>
    <row r="9" spans="1:43" x14ac:dyDescent="0.25">
      <c r="C9" s="61" t="s">
        <v>16</v>
      </c>
      <c r="D9" s="62">
        <v>12.6</v>
      </c>
      <c r="E9" s="63">
        <v>4.4999999999999998E-2</v>
      </c>
      <c r="F9" s="63">
        <v>35</v>
      </c>
      <c r="G9" s="64">
        <v>1220</v>
      </c>
      <c r="H9" s="65">
        <f>(D9/100)/E9</f>
        <v>2.8000000000000003</v>
      </c>
      <c r="I9" s="66">
        <f t="shared" ref="I9:I10" si="4">1/H9</f>
        <v>0.3571428571428571</v>
      </c>
      <c r="J9" s="64">
        <f t="shared" si="2"/>
        <v>5380.2</v>
      </c>
      <c r="K9" s="63"/>
      <c r="L9" s="4"/>
      <c r="M9" s="4"/>
      <c r="O9" s="2">
        <f>1/O7</f>
        <v>4.1493775933609957E-4</v>
      </c>
      <c r="P9" s="2">
        <f t="shared" ref="P9:Q9" si="5">1/P7</f>
        <v>2.9045643153526968E-2</v>
      </c>
      <c r="Q9" s="2">
        <f t="shared" si="5"/>
        <v>5.6118608335077045E-3</v>
      </c>
      <c r="R9" s="2">
        <f>O9+P9+Q9</f>
        <v>3.5072441746370774E-2</v>
      </c>
      <c r="AP9" s="2" t="s">
        <v>84</v>
      </c>
      <c r="AQ9" s="50">
        <f>AQ4+AQ6+AQ5</f>
        <v>56090302</v>
      </c>
    </row>
    <row r="10" spans="1:43" ht="14.4" thickBot="1" x14ac:dyDescent="0.3">
      <c r="C10" s="29" t="s">
        <v>34</v>
      </c>
      <c r="D10" s="25" t="s">
        <v>35</v>
      </c>
      <c r="E10" s="14" t="s">
        <v>35</v>
      </c>
      <c r="F10" s="14" t="s">
        <v>35</v>
      </c>
      <c r="G10" s="26" t="s">
        <v>35</v>
      </c>
      <c r="H10" s="42">
        <v>0.04</v>
      </c>
      <c r="I10" s="35">
        <f t="shared" si="4"/>
        <v>25</v>
      </c>
      <c r="J10" s="26" t="s">
        <v>35</v>
      </c>
      <c r="K10" s="4"/>
      <c r="L10" s="4"/>
      <c r="M10" s="4"/>
      <c r="R10" s="2">
        <f>R9*M4</f>
        <v>3.3809833843501429</v>
      </c>
      <c r="AP10" s="2" t="s">
        <v>85</v>
      </c>
      <c r="AQ10" s="2">
        <f>M4*2</f>
        <v>192.8</v>
      </c>
    </row>
    <row r="11" spans="1:43" x14ac:dyDescent="0.25">
      <c r="C11" s="5"/>
      <c r="R11" s="2">
        <f>1/R10</f>
        <v>0.29577193565303767</v>
      </c>
      <c r="AP11" s="93" t="s">
        <v>86</v>
      </c>
      <c r="AQ11" s="94">
        <f>AQ9/AQ10</f>
        <v>290924.80290456431</v>
      </c>
    </row>
    <row r="12" spans="1:43" ht="14.4" thickBot="1" x14ac:dyDescent="0.3">
      <c r="C12" s="2" t="s">
        <v>10</v>
      </c>
      <c r="D12" s="3" t="s">
        <v>26</v>
      </c>
    </row>
    <row r="13" spans="1:43" ht="16.2" x14ac:dyDescent="0.25">
      <c r="C13" s="8" t="s">
        <v>0</v>
      </c>
      <c r="D13" s="9" t="s">
        <v>19</v>
      </c>
      <c r="E13" s="9" t="s">
        <v>1</v>
      </c>
      <c r="F13" s="9" t="s">
        <v>2</v>
      </c>
      <c r="G13" s="9" t="s">
        <v>3</v>
      </c>
      <c r="H13" s="9" t="s">
        <v>4</v>
      </c>
      <c r="I13" s="9" t="s">
        <v>36</v>
      </c>
      <c r="J13" s="21" t="s">
        <v>18</v>
      </c>
      <c r="K13" s="11"/>
      <c r="M13" s="47" t="s">
        <v>37</v>
      </c>
      <c r="N13" s="9" t="s">
        <v>20</v>
      </c>
      <c r="O13" s="8" t="s">
        <v>39</v>
      </c>
      <c r="P13" s="9" t="s">
        <v>52</v>
      </c>
      <c r="Q13" s="9" t="s">
        <v>53</v>
      </c>
      <c r="R13" s="8" t="s">
        <v>54</v>
      </c>
      <c r="S13" s="21" t="s">
        <v>55</v>
      </c>
    </row>
    <row r="14" spans="1:43" ht="17.399999999999999" thickBot="1" x14ac:dyDescent="0.3">
      <c r="C14" s="15" t="s">
        <v>5</v>
      </c>
      <c r="D14" s="16" t="s">
        <v>6</v>
      </c>
      <c r="E14" s="16" t="s">
        <v>17</v>
      </c>
      <c r="F14" s="16" t="s">
        <v>8</v>
      </c>
      <c r="G14" s="16" t="s">
        <v>7</v>
      </c>
      <c r="H14" s="16" t="s">
        <v>21</v>
      </c>
      <c r="I14" s="46" t="s">
        <v>32</v>
      </c>
      <c r="J14" s="22" t="s">
        <v>22</v>
      </c>
      <c r="K14" s="11"/>
      <c r="M14" s="48" t="s">
        <v>38</v>
      </c>
      <c r="N14" s="46" t="s">
        <v>32</v>
      </c>
      <c r="O14" s="45" t="s">
        <v>40</v>
      </c>
      <c r="P14" s="38" t="s">
        <v>40</v>
      </c>
      <c r="Q14" s="39" t="s">
        <v>40</v>
      </c>
      <c r="R14" s="45" t="s">
        <v>49</v>
      </c>
      <c r="S14" s="39" t="s">
        <v>49</v>
      </c>
    </row>
    <row r="15" spans="1:43" ht="14.4" thickBot="1" x14ac:dyDescent="0.3">
      <c r="C15" s="43" t="s">
        <v>33</v>
      </c>
      <c r="D15" s="28" t="s">
        <v>35</v>
      </c>
      <c r="E15" s="31" t="s">
        <v>35</v>
      </c>
      <c r="F15" s="31" t="s">
        <v>35</v>
      </c>
      <c r="G15" s="32" t="s">
        <v>35</v>
      </c>
      <c r="H15" s="34">
        <f>1/7.7</f>
        <v>0.12987012987012986</v>
      </c>
      <c r="I15" s="34">
        <f>1/H15</f>
        <v>7.7000000000000011</v>
      </c>
      <c r="J15" s="27" t="s">
        <v>35</v>
      </c>
      <c r="K15" s="11"/>
      <c r="M15" s="60">
        <v>223.3</v>
      </c>
      <c r="N15" s="55">
        <f>1/(H15+H16+H17+H18+H19+H20)</f>
        <v>0.3382063351463731</v>
      </c>
      <c r="O15" s="56">
        <f>(H19+H20)/M15</f>
        <v>2.7864855451062345E-4</v>
      </c>
      <c r="P15" s="6">
        <f>H18/M15</f>
        <v>9.4541473851818669E-3</v>
      </c>
      <c r="Q15" s="57">
        <f>(H15+H16+H17)/M15</f>
        <v>3.5084709289814526E-3</v>
      </c>
      <c r="R15" s="95">
        <f>(J19+J18)*M15</f>
        <v>8944616.4500000011</v>
      </c>
      <c r="S15" s="96">
        <f>M15*(J16+J17)</f>
        <v>62077400</v>
      </c>
    </row>
    <row r="16" spans="1:43" ht="16.2" x14ac:dyDescent="0.25">
      <c r="C16" s="12" t="s">
        <v>13</v>
      </c>
      <c r="D16" s="23">
        <v>2</v>
      </c>
      <c r="E16" s="4">
        <v>0.7</v>
      </c>
      <c r="F16" s="4">
        <v>1400</v>
      </c>
      <c r="G16" s="24">
        <v>1000</v>
      </c>
      <c r="H16" s="20">
        <f>(D16/100)/E16</f>
        <v>2.8571428571428574E-2</v>
      </c>
      <c r="I16" s="34">
        <f t="shared" ref="I16:I20" si="6">1/H16</f>
        <v>35</v>
      </c>
      <c r="J16" s="24">
        <f>F16*(D16/100)*G16</f>
        <v>28000</v>
      </c>
      <c r="K16" s="4"/>
      <c r="M16" s="4"/>
      <c r="N16" s="68">
        <f>N15-(1/(O15+P15+Q15)/M15)</f>
        <v>0</v>
      </c>
      <c r="O16" s="8" t="s">
        <v>56</v>
      </c>
      <c r="P16" s="9" t="s">
        <v>57</v>
      </c>
      <c r="Q16" s="21" t="s">
        <v>58</v>
      </c>
    </row>
    <row r="17" spans="2:19" ht="14.4" thickBot="1" x14ac:dyDescent="0.3">
      <c r="C17" s="13" t="s">
        <v>69</v>
      </c>
      <c r="D17" s="23">
        <v>25</v>
      </c>
      <c r="E17" s="6">
        <f>(D17/100)/H17</f>
        <v>0.4</v>
      </c>
      <c r="F17" s="4">
        <v>1000</v>
      </c>
      <c r="G17" s="24">
        <v>1000</v>
      </c>
      <c r="H17" s="4">
        <v>0.625</v>
      </c>
      <c r="I17" s="34">
        <f t="shared" si="6"/>
        <v>1.6</v>
      </c>
      <c r="J17" s="24">
        <f>F17*(D17/100)*G17</f>
        <v>250000</v>
      </c>
      <c r="K17" s="4"/>
      <c r="M17" s="4"/>
      <c r="O17" s="45" t="s">
        <v>47</v>
      </c>
      <c r="P17" s="38" t="s">
        <v>47</v>
      </c>
      <c r="Q17" s="39" t="s">
        <v>47</v>
      </c>
    </row>
    <row r="18" spans="2:19" ht="14.4" thickBot="1" x14ac:dyDescent="0.3">
      <c r="C18" s="61" t="s">
        <v>31</v>
      </c>
      <c r="D18" s="62">
        <v>9.5</v>
      </c>
      <c r="E18" s="63">
        <v>4.4999999999999998E-2</v>
      </c>
      <c r="F18" s="63">
        <v>35</v>
      </c>
      <c r="G18" s="64">
        <v>1220</v>
      </c>
      <c r="H18" s="67">
        <f>(D18/100)/E18</f>
        <v>2.1111111111111112</v>
      </c>
      <c r="I18" s="66">
        <f t="shared" si="6"/>
        <v>0.47368421052631576</v>
      </c>
      <c r="J18" s="64">
        <f>F18*(D18/100)*G18</f>
        <v>4056.5</v>
      </c>
      <c r="K18" s="63"/>
      <c r="M18" s="4"/>
      <c r="O18" s="51">
        <f>1/O15</f>
        <v>3588.7500000000005</v>
      </c>
      <c r="P18" s="52">
        <f t="shared" ref="P18:Q18" si="7">1/P15</f>
        <v>105.77368421052633</v>
      </c>
      <c r="Q18" s="53">
        <f t="shared" si="7"/>
        <v>285.02445089100706</v>
      </c>
    </row>
    <row r="19" spans="2:19" x14ac:dyDescent="0.25">
      <c r="C19" s="13" t="s">
        <v>25</v>
      </c>
      <c r="D19" s="23">
        <v>2</v>
      </c>
      <c r="E19" s="4">
        <v>0.9</v>
      </c>
      <c r="F19" s="4">
        <v>1800</v>
      </c>
      <c r="G19" s="24">
        <v>1000</v>
      </c>
      <c r="H19" s="20">
        <f>(D19/100)/E19</f>
        <v>2.2222222222222223E-2</v>
      </c>
      <c r="I19" s="34">
        <f t="shared" si="6"/>
        <v>45</v>
      </c>
      <c r="J19" s="24">
        <f>F19*(D19/100)*G19</f>
        <v>36000</v>
      </c>
      <c r="K19" s="4"/>
    </row>
    <row r="20" spans="2:19" ht="14.4" thickBot="1" x14ac:dyDescent="0.3">
      <c r="C20" s="29" t="s">
        <v>33</v>
      </c>
      <c r="D20" s="25" t="s">
        <v>35</v>
      </c>
      <c r="E20" s="14" t="s">
        <v>35</v>
      </c>
      <c r="F20" s="14" t="s">
        <v>35</v>
      </c>
      <c r="G20" s="26" t="s">
        <v>35</v>
      </c>
      <c r="H20" s="58">
        <f>1/25</f>
        <v>0.04</v>
      </c>
      <c r="I20" s="35">
        <f t="shared" si="6"/>
        <v>25</v>
      </c>
      <c r="J20" s="26" t="s">
        <v>35</v>
      </c>
      <c r="K20" s="4"/>
    </row>
    <row r="21" spans="2:19" ht="14.4" thickBot="1" x14ac:dyDescent="0.3">
      <c r="C21" s="2" t="s">
        <v>10</v>
      </c>
      <c r="D21" s="3" t="s">
        <v>27</v>
      </c>
    </row>
    <row r="22" spans="2:19" ht="14.4" thickBot="1" x14ac:dyDescent="0.3">
      <c r="C22" s="8" t="s">
        <v>0</v>
      </c>
      <c r="D22" s="9" t="s">
        <v>19</v>
      </c>
      <c r="E22" s="9" t="s">
        <v>1</v>
      </c>
      <c r="F22" s="9" t="s">
        <v>2</v>
      </c>
      <c r="G22" s="9" t="s">
        <v>3</v>
      </c>
      <c r="H22" s="8" t="s">
        <v>4</v>
      </c>
      <c r="I22" s="9" t="s">
        <v>36</v>
      </c>
      <c r="J22" s="21" t="s">
        <v>18</v>
      </c>
      <c r="K22" s="11"/>
    </row>
    <row r="23" spans="2:19" ht="17.399999999999999" thickBot="1" x14ac:dyDescent="0.3">
      <c r="C23" s="15" t="s">
        <v>5</v>
      </c>
      <c r="D23" s="16" t="s">
        <v>6</v>
      </c>
      <c r="E23" s="16" t="s">
        <v>17</v>
      </c>
      <c r="F23" s="16" t="s">
        <v>8</v>
      </c>
      <c r="G23" s="16" t="s">
        <v>7</v>
      </c>
      <c r="H23" s="15" t="s">
        <v>21</v>
      </c>
      <c r="I23" s="46" t="s">
        <v>32</v>
      </c>
      <c r="J23" s="22" t="s">
        <v>22</v>
      </c>
      <c r="K23" s="11"/>
      <c r="M23" s="47" t="s">
        <v>37</v>
      </c>
      <c r="N23" s="9" t="s">
        <v>20</v>
      </c>
      <c r="O23" s="8" t="s">
        <v>59</v>
      </c>
      <c r="P23" s="9" t="s">
        <v>60</v>
      </c>
      <c r="Q23" s="21" t="s">
        <v>61</v>
      </c>
      <c r="R23" s="8" t="s">
        <v>62</v>
      </c>
      <c r="S23" s="21" t="s">
        <v>63</v>
      </c>
    </row>
    <row r="24" spans="2:19" ht="17.399999999999999" thickBot="1" x14ac:dyDescent="0.3">
      <c r="C24" s="43" t="s">
        <v>33</v>
      </c>
      <c r="D24" s="1" t="s">
        <v>35</v>
      </c>
      <c r="E24" s="1" t="s">
        <v>35</v>
      </c>
      <c r="F24" s="1" t="s">
        <v>35</v>
      </c>
      <c r="G24" s="1" t="s">
        <v>35</v>
      </c>
      <c r="H24" s="34">
        <f>1/10</f>
        <v>0.1</v>
      </c>
      <c r="I24" s="34">
        <f>1/H24</f>
        <v>10</v>
      </c>
      <c r="J24" s="59" t="s">
        <v>35</v>
      </c>
      <c r="K24" s="34"/>
      <c r="M24" s="48" t="s">
        <v>38</v>
      </c>
      <c r="N24" s="46" t="s">
        <v>32</v>
      </c>
      <c r="O24" s="45" t="s">
        <v>40</v>
      </c>
      <c r="P24" s="38" t="s">
        <v>40</v>
      </c>
      <c r="Q24" s="39" t="s">
        <v>40</v>
      </c>
      <c r="R24" s="45" t="s">
        <v>49</v>
      </c>
      <c r="S24" s="39" t="s">
        <v>49</v>
      </c>
    </row>
    <row r="25" spans="2:19" ht="14.4" thickBot="1" x14ac:dyDescent="0.3">
      <c r="C25" s="12" t="s">
        <v>28</v>
      </c>
      <c r="D25" s="4">
        <v>1.5</v>
      </c>
      <c r="E25" s="4">
        <v>1.47</v>
      </c>
      <c r="F25" s="4">
        <v>1700</v>
      </c>
      <c r="G25" s="4">
        <v>1000</v>
      </c>
      <c r="H25" s="41">
        <f>(D25/100)/E25</f>
        <v>1.020408163265306E-2</v>
      </c>
      <c r="I25" s="34">
        <f t="shared" ref="I25:I30" si="8">1/H25</f>
        <v>98.000000000000014</v>
      </c>
      <c r="J25" s="24">
        <f t="shared" ref="J25:J30" si="9">F25*(D25/100)*G25</f>
        <v>25500</v>
      </c>
      <c r="K25" s="4"/>
      <c r="L25" s="10"/>
      <c r="M25" s="49">
        <v>96.4</v>
      </c>
      <c r="N25" s="55">
        <f>1/(H24+H25+H26+H27+H28+H29+H30)</f>
        <v>0.32924648995163475</v>
      </c>
      <c r="O25" s="56">
        <f>(H30+H29)/M25</f>
        <v>5.4311225043992097E-4</v>
      </c>
      <c r="P25" s="6">
        <f>H28/M25</f>
        <v>2.8815122176118025E-2</v>
      </c>
      <c r="Q25" s="57">
        <f>(H24+H25+H26+H27)/M25</f>
        <v>2.1483853856268881E-3</v>
      </c>
      <c r="R25" s="95">
        <f>(J29+J28+J30)*M25</f>
        <v>23650535</v>
      </c>
      <c r="S25" s="96">
        <f>M25*(J25+J26+J27)</f>
        <v>23666200</v>
      </c>
    </row>
    <row r="26" spans="2:19" ht="16.2" x14ac:dyDescent="0.25">
      <c r="C26" s="13" t="s">
        <v>15</v>
      </c>
      <c r="D26" s="4">
        <v>3</v>
      </c>
      <c r="E26" s="6">
        <v>1.4</v>
      </c>
      <c r="F26" s="4">
        <v>2000</v>
      </c>
      <c r="G26" s="4">
        <v>1000</v>
      </c>
      <c r="H26" s="41">
        <f t="shared" ref="H26:H30" si="10">(D26/100)/E26</f>
        <v>2.1428571428571429E-2</v>
      </c>
      <c r="I26" s="34">
        <f t="shared" si="8"/>
        <v>46.666666666666664</v>
      </c>
      <c r="J26" s="24">
        <f t="shared" si="9"/>
        <v>60000</v>
      </c>
      <c r="K26" s="4"/>
      <c r="M26" s="4"/>
      <c r="N26" s="68">
        <f>N25-(1/(O25+P25+Q25)/M25)</f>
        <v>0</v>
      </c>
      <c r="O26" s="8" t="s">
        <v>66</v>
      </c>
      <c r="P26" s="9" t="s">
        <v>65</v>
      </c>
      <c r="Q26" s="21" t="s">
        <v>64</v>
      </c>
    </row>
    <row r="27" spans="2:19" ht="14.4" thickBot="1" x14ac:dyDescent="0.3">
      <c r="C27" s="13" t="s">
        <v>29</v>
      </c>
      <c r="D27" s="4">
        <v>8</v>
      </c>
      <c r="E27" s="4">
        <v>1.06</v>
      </c>
      <c r="F27" s="4">
        <v>2000</v>
      </c>
      <c r="G27" s="4">
        <v>1000</v>
      </c>
      <c r="H27" s="41">
        <f t="shared" si="10"/>
        <v>7.5471698113207544E-2</v>
      </c>
      <c r="I27" s="34">
        <f t="shared" si="8"/>
        <v>13.25</v>
      </c>
      <c r="J27" s="24">
        <f t="shared" si="9"/>
        <v>160000</v>
      </c>
      <c r="K27" s="4"/>
      <c r="M27" s="4"/>
      <c r="O27" s="45" t="s">
        <v>47</v>
      </c>
      <c r="P27" s="38" t="s">
        <v>47</v>
      </c>
      <c r="Q27" s="39" t="s">
        <v>47</v>
      </c>
    </row>
    <row r="28" spans="2:19" ht="14.4" thickBot="1" x14ac:dyDescent="0.3">
      <c r="B28" s="7"/>
      <c r="C28" s="61" t="s">
        <v>31</v>
      </c>
      <c r="D28" s="63">
        <v>12.5</v>
      </c>
      <c r="E28" s="63">
        <v>4.4999999999999998E-2</v>
      </c>
      <c r="F28" s="63">
        <v>35</v>
      </c>
      <c r="G28" s="63">
        <v>1220</v>
      </c>
      <c r="H28" s="72">
        <f t="shared" si="10"/>
        <v>2.7777777777777777</v>
      </c>
      <c r="I28" s="66">
        <f t="shared" si="8"/>
        <v>0.36</v>
      </c>
      <c r="J28" s="64">
        <f t="shared" si="9"/>
        <v>5337.5</v>
      </c>
      <c r="K28" s="63"/>
      <c r="M28" s="4"/>
      <c r="O28" s="51">
        <f>1/O25</f>
        <v>1841.2399999999998</v>
      </c>
      <c r="P28" s="52">
        <f t="shared" ref="P28:Q28" si="11">1/P25</f>
        <v>34.704000000000001</v>
      </c>
      <c r="Q28" s="53">
        <f t="shared" si="11"/>
        <v>465.46583619968396</v>
      </c>
    </row>
    <row r="29" spans="2:19" x14ac:dyDescent="0.25">
      <c r="C29" s="13" t="s">
        <v>30</v>
      </c>
      <c r="D29" s="4">
        <v>10</v>
      </c>
      <c r="E29" s="4">
        <v>1.91</v>
      </c>
      <c r="F29" s="4">
        <v>2400</v>
      </c>
      <c r="G29" s="4">
        <v>1000</v>
      </c>
      <c r="H29" s="41">
        <f t="shared" si="10"/>
        <v>5.2356020942408384E-2</v>
      </c>
      <c r="I29" s="34">
        <f t="shared" si="8"/>
        <v>19.099999999999998</v>
      </c>
      <c r="J29" s="24">
        <f t="shared" si="9"/>
        <v>240000</v>
      </c>
      <c r="K29" s="4"/>
      <c r="M29" s="4"/>
      <c r="O29" s="69"/>
      <c r="P29" s="69"/>
      <c r="Q29" s="69"/>
    </row>
    <row r="30" spans="2:19" ht="14.4" thickBot="1" x14ac:dyDescent="0.3">
      <c r="C30" s="25" t="s">
        <v>25</v>
      </c>
      <c r="D30" s="14">
        <v>0</v>
      </c>
      <c r="E30" s="30">
        <v>0.9</v>
      </c>
      <c r="F30" s="14">
        <v>1800</v>
      </c>
      <c r="G30" s="14">
        <v>1000</v>
      </c>
      <c r="H30" s="73">
        <f t="shared" si="10"/>
        <v>0</v>
      </c>
      <c r="I30" s="35" t="e">
        <f t="shared" si="8"/>
        <v>#DIV/0!</v>
      </c>
      <c r="J30" s="26">
        <f t="shared" si="9"/>
        <v>0</v>
      </c>
      <c r="K30" s="4"/>
    </row>
    <row r="31" spans="2:19" ht="16.2" x14ac:dyDescent="0.25">
      <c r="M31" s="47" t="s">
        <v>37</v>
      </c>
      <c r="N31" s="9" t="s">
        <v>20</v>
      </c>
      <c r="O31" s="47" t="s">
        <v>67</v>
      </c>
      <c r="Q31" s="47" t="s">
        <v>77</v>
      </c>
      <c r="R31" s="47" t="s">
        <v>79</v>
      </c>
    </row>
    <row r="32" spans="2:19" ht="17.399999999999999" thickBot="1" x14ac:dyDescent="0.3">
      <c r="C32" s="1"/>
      <c r="M32" s="48" t="s">
        <v>38</v>
      </c>
      <c r="N32" s="46" t="s">
        <v>32</v>
      </c>
      <c r="O32" s="54" t="s">
        <v>40</v>
      </c>
      <c r="Q32" s="48" t="s">
        <v>78</v>
      </c>
      <c r="R32" s="54" t="s">
        <v>51</v>
      </c>
    </row>
    <row r="33" spans="3:18" ht="14.4" thickBot="1" x14ac:dyDescent="0.3">
      <c r="C33" s="1"/>
      <c r="M33" s="49">
        <v>21.7</v>
      </c>
      <c r="N33" s="55">
        <v>2.2000000000000002</v>
      </c>
      <c r="O33" s="70">
        <f>1/O36</f>
        <v>2.0946795140343526E-2</v>
      </c>
      <c r="Q33" s="49">
        <v>607</v>
      </c>
      <c r="R33" s="91">
        <f>1.204*1012*Q33/1000</f>
        <v>739.59793599999989</v>
      </c>
    </row>
    <row r="34" spans="3:18" ht="16.2" x14ac:dyDescent="0.25">
      <c r="C34" s="1"/>
      <c r="O34" s="47" t="s">
        <v>68</v>
      </c>
    </row>
    <row r="35" spans="3:18" ht="14.4" thickBot="1" x14ac:dyDescent="0.3">
      <c r="O35" s="54" t="s">
        <v>47</v>
      </c>
    </row>
    <row r="36" spans="3:18" ht="14.4" thickBot="1" x14ac:dyDescent="0.3">
      <c r="O36" s="71">
        <f>N33*M33</f>
        <v>47.74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D858-C57D-4B99-BFA1-D89AB846B307}">
  <dimension ref="A1:AQ36"/>
  <sheetViews>
    <sheetView topLeftCell="G1" zoomScale="90" zoomScaleNormal="90" workbookViewId="0">
      <selection activeCell="D10" sqref="D10"/>
    </sheetView>
  </sheetViews>
  <sheetFormatPr defaultRowHeight="13.8" x14ac:dyDescent="0.25"/>
  <cols>
    <col min="1" max="1" width="16" style="1" customWidth="1"/>
    <col min="2" max="2" width="14.5546875" style="1" customWidth="1"/>
    <col min="3" max="3" width="31.109375" style="2" customWidth="1"/>
    <col min="4" max="4" width="8.88671875" style="2"/>
    <col min="5" max="5" width="10.6640625" style="2" customWidth="1"/>
    <col min="6" max="6" width="10.44140625" style="2" customWidth="1"/>
    <col min="7" max="7" width="11" style="2" customWidth="1"/>
    <col min="8" max="8" width="11.88671875" style="2" customWidth="1"/>
    <col min="9" max="9" width="16.21875" style="2" customWidth="1"/>
    <col min="10" max="12" width="14.109375" style="2" customWidth="1"/>
    <col min="13" max="13" width="8.88671875" style="2"/>
    <col min="14" max="14" width="11.5546875" style="2" bestFit="1" customWidth="1"/>
    <col min="15" max="15" width="12.6640625" style="2" bestFit="1" customWidth="1"/>
    <col min="16" max="17" width="8.88671875" style="2"/>
    <col min="18" max="18" width="12.77734375" style="2" bestFit="1" customWidth="1"/>
    <col min="19" max="19" width="13.33203125" style="2" customWidth="1"/>
    <col min="20" max="42" width="8.88671875" style="2"/>
    <col min="43" max="43" width="12.6640625" style="2" bestFit="1" customWidth="1"/>
    <col min="44" max="16384" width="8.88671875" style="2"/>
  </cols>
  <sheetData>
    <row r="1" spans="1:43" ht="14.4" thickBot="1" x14ac:dyDescent="0.3">
      <c r="C1" s="2" t="s">
        <v>10</v>
      </c>
      <c r="D1" s="3" t="s">
        <v>11</v>
      </c>
    </row>
    <row r="2" spans="1:43" ht="18.600000000000001" customHeight="1" x14ac:dyDescent="0.25">
      <c r="A2" s="1" t="s">
        <v>9</v>
      </c>
      <c r="C2" s="8" t="s">
        <v>0</v>
      </c>
      <c r="D2" s="8" t="s">
        <v>19</v>
      </c>
      <c r="E2" s="9" t="s">
        <v>1</v>
      </c>
      <c r="F2" s="9" t="s">
        <v>2</v>
      </c>
      <c r="G2" s="21" t="s">
        <v>3</v>
      </c>
      <c r="H2" s="8" t="s">
        <v>4</v>
      </c>
      <c r="I2" s="9" t="s">
        <v>36</v>
      </c>
      <c r="J2" s="21" t="s">
        <v>18</v>
      </c>
      <c r="K2" s="11"/>
      <c r="L2" s="11"/>
      <c r="M2" s="47" t="s">
        <v>37</v>
      </c>
      <c r="N2" s="9" t="s">
        <v>20</v>
      </c>
      <c r="O2" s="8" t="s">
        <v>41</v>
      </c>
      <c r="P2" s="9" t="s">
        <v>42</v>
      </c>
      <c r="Q2" s="21" t="s">
        <v>43</v>
      </c>
      <c r="R2" s="8" t="s">
        <v>48</v>
      </c>
      <c r="S2" s="21" t="s">
        <v>50</v>
      </c>
      <c r="AP2" s="3" t="s">
        <v>80</v>
      </c>
    </row>
    <row r="3" spans="1:43" ht="14.4" customHeight="1" thickBot="1" x14ac:dyDescent="0.3">
      <c r="A3" s="4"/>
      <c r="B3" s="4"/>
      <c r="C3" s="36" t="s">
        <v>5</v>
      </c>
      <c r="D3" s="36" t="s">
        <v>6</v>
      </c>
      <c r="E3" s="7" t="s">
        <v>17</v>
      </c>
      <c r="F3" s="7" t="s">
        <v>8</v>
      </c>
      <c r="G3" s="37" t="s">
        <v>7</v>
      </c>
      <c r="H3" s="45" t="s">
        <v>21</v>
      </c>
      <c r="I3" s="46" t="s">
        <v>32</v>
      </c>
      <c r="J3" s="39" t="s">
        <v>22</v>
      </c>
      <c r="K3" s="7"/>
      <c r="L3" s="7"/>
      <c r="M3" s="48" t="s">
        <v>38</v>
      </c>
      <c r="N3" s="46" t="s">
        <v>32</v>
      </c>
      <c r="O3" s="45" t="s">
        <v>40</v>
      </c>
      <c r="P3" s="38" t="s">
        <v>40</v>
      </c>
      <c r="Q3" s="39" t="s">
        <v>40</v>
      </c>
      <c r="R3" s="45" t="s">
        <v>49</v>
      </c>
      <c r="S3" s="39" t="s">
        <v>49</v>
      </c>
    </row>
    <row r="4" spans="1:43" ht="14.4" thickBot="1" x14ac:dyDescent="0.3">
      <c r="B4" s="44"/>
      <c r="C4" s="28" t="s">
        <v>33</v>
      </c>
      <c r="D4" s="28" t="s">
        <v>35</v>
      </c>
      <c r="E4" s="31" t="s">
        <v>35</v>
      </c>
      <c r="F4" s="31" t="s">
        <v>35</v>
      </c>
      <c r="G4" s="32" t="s">
        <v>35</v>
      </c>
      <c r="H4" s="40">
        <f>1/5.9</f>
        <v>0.16949152542372881</v>
      </c>
      <c r="I4" s="33">
        <f>1/H4</f>
        <v>5.9</v>
      </c>
      <c r="J4" s="32" t="s">
        <v>35</v>
      </c>
      <c r="K4" s="1"/>
      <c r="L4" s="1"/>
      <c r="M4" s="49">
        <v>96</v>
      </c>
      <c r="N4" s="55">
        <f>1/(SUM(H4:H10))</f>
        <v>0.69077467948667137</v>
      </c>
      <c r="O4" s="56">
        <f>H10/M4</f>
        <v>4.1666666666666669E-4</v>
      </c>
      <c r="P4" s="6">
        <f>H9/M4</f>
        <v>9.0277777777777787E-3</v>
      </c>
      <c r="Q4" s="57">
        <f>(SUM(H4:H8))/M4</f>
        <v>5.6352435869806532E-3</v>
      </c>
      <c r="R4" s="95">
        <f>J9*M4</f>
        <v>159868.79999999999</v>
      </c>
      <c r="S4" s="96">
        <f>M4*(J5+J6+J7+J8)</f>
        <v>50304000</v>
      </c>
      <c r="AP4" s="2" t="s">
        <v>81</v>
      </c>
      <c r="AQ4" s="50">
        <f>(J5+F6*((10-D5)/100)*G6)*M4</f>
        <v>16512000</v>
      </c>
    </row>
    <row r="5" spans="1:43" ht="16.2" x14ac:dyDescent="0.25">
      <c r="B5" s="44"/>
      <c r="C5" s="12" t="s">
        <v>13</v>
      </c>
      <c r="D5" s="23">
        <v>2</v>
      </c>
      <c r="E5" s="4">
        <v>0.7</v>
      </c>
      <c r="F5" s="4">
        <v>1400</v>
      </c>
      <c r="G5" s="24">
        <v>1000</v>
      </c>
      <c r="H5" s="41">
        <f>(D5/100)/E5</f>
        <v>2.8571428571428574E-2</v>
      </c>
      <c r="I5" s="34">
        <f t="shared" ref="I5:I10" si="0">1/H5</f>
        <v>35</v>
      </c>
      <c r="J5" s="24">
        <f>F5*(D5/100)*G5</f>
        <v>28000</v>
      </c>
      <c r="K5" s="4"/>
      <c r="L5" s="4"/>
      <c r="M5" s="4"/>
      <c r="N5" s="68">
        <f>N4-(1/(O4+P4+Q4)/M4)</f>
        <v>0</v>
      </c>
      <c r="O5" s="8" t="s">
        <v>44</v>
      </c>
      <c r="P5" s="9" t="s">
        <v>45</v>
      </c>
      <c r="Q5" s="21" t="s">
        <v>46</v>
      </c>
      <c r="AP5" s="2" t="s">
        <v>82</v>
      </c>
      <c r="AQ5" s="2">
        <f>(J16+(G16*F16*(10-D16)/100))*M15</f>
        <v>31234000</v>
      </c>
    </row>
    <row r="6" spans="1:43" ht="14.4" thickBot="1" x14ac:dyDescent="0.3">
      <c r="B6" s="44"/>
      <c r="C6" s="13" t="s">
        <v>12</v>
      </c>
      <c r="D6" s="23">
        <v>20</v>
      </c>
      <c r="E6" s="6">
        <v>0.65</v>
      </c>
      <c r="F6" s="4">
        <v>1800</v>
      </c>
      <c r="G6" s="24">
        <v>1000</v>
      </c>
      <c r="H6" s="41">
        <f t="shared" ref="H6:H8" si="1">(D6/100)/E6</f>
        <v>0.30769230769230771</v>
      </c>
      <c r="I6" s="34">
        <f t="shared" si="0"/>
        <v>3.25</v>
      </c>
      <c r="J6" s="24">
        <f>F6*(D6/100)*G6</f>
        <v>360000</v>
      </c>
      <c r="K6" s="4"/>
      <c r="L6" s="4"/>
      <c r="M6" s="4"/>
      <c r="O6" s="45" t="s">
        <v>47</v>
      </c>
      <c r="P6" s="38" t="s">
        <v>47</v>
      </c>
      <c r="Q6" s="39" t="s">
        <v>47</v>
      </c>
      <c r="AP6" s="2" t="s">
        <v>83</v>
      </c>
      <c r="AQ6" s="2">
        <f>(J25+J26+(10-D26-D25)*G27/100)*M25</f>
        <v>8213280</v>
      </c>
    </row>
    <row r="7" spans="1:43" ht="14.4" thickBot="1" x14ac:dyDescent="0.3">
      <c r="B7" s="44"/>
      <c r="C7" s="13" t="s">
        <v>14</v>
      </c>
      <c r="D7" s="23">
        <v>4</v>
      </c>
      <c r="E7" s="4">
        <v>1.91</v>
      </c>
      <c r="F7" s="4">
        <v>2400</v>
      </c>
      <c r="G7" s="24">
        <v>1000</v>
      </c>
      <c r="H7" s="41">
        <f t="shared" si="1"/>
        <v>2.0942408376963352E-2</v>
      </c>
      <c r="I7" s="34" t="s">
        <v>35</v>
      </c>
      <c r="J7" s="24">
        <f t="shared" ref="J7:J9" si="2">F7*(D7/100)*G7</f>
        <v>96000</v>
      </c>
      <c r="K7" s="4"/>
      <c r="L7" s="4"/>
      <c r="M7" s="4"/>
      <c r="O7" s="51">
        <f>1/O4</f>
        <v>2400</v>
      </c>
      <c r="P7" s="52">
        <f t="shared" ref="P7:Q7" si="3">1/P4</f>
        <v>110.76923076923076</v>
      </c>
      <c r="Q7" s="53">
        <f t="shared" si="3"/>
        <v>177.45461834344539</v>
      </c>
    </row>
    <row r="8" spans="1:43" x14ac:dyDescent="0.25">
      <c r="C8" s="13" t="s">
        <v>15</v>
      </c>
      <c r="D8" s="23">
        <v>2</v>
      </c>
      <c r="E8" s="4">
        <v>1.4</v>
      </c>
      <c r="F8" s="4">
        <v>2000</v>
      </c>
      <c r="G8" s="24">
        <v>1000</v>
      </c>
      <c r="H8" s="41">
        <f t="shared" si="1"/>
        <v>1.4285714285714287E-2</v>
      </c>
      <c r="I8" s="34" t="s">
        <v>35</v>
      </c>
      <c r="J8" s="24">
        <f t="shared" si="2"/>
        <v>40000</v>
      </c>
      <c r="K8" s="4"/>
      <c r="L8" s="4"/>
      <c r="M8" s="4"/>
    </row>
    <row r="9" spans="1:43" x14ac:dyDescent="0.25">
      <c r="C9" s="61" t="s">
        <v>16</v>
      </c>
      <c r="D9" s="62">
        <v>3.9</v>
      </c>
      <c r="E9" s="63">
        <v>4.4999999999999998E-2</v>
      </c>
      <c r="F9" s="63">
        <v>35</v>
      </c>
      <c r="G9" s="64">
        <v>1220</v>
      </c>
      <c r="H9" s="65">
        <f>(D9/100)/E9</f>
        <v>0.8666666666666667</v>
      </c>
      <c r="I9" s="66">
        <f t="shared" si="0"/>
        <v>1.1538461538461537</v>
      </c>
      <c r="J9" s="64">
        <f t="shared" si="2"/>
        <v>1665.3</v>
      </c>
      <c r="K9" s="63"/>
      <c r="L9" s="4"/>
      <c r="M9" s="4"/>
      <c r="O9" s="2">
        <f>1/O7</f>
        <v>4.1666666666666669E-4</v>
      </c>
      <c r="P9" s="2">
        <f t="shared" ref="P9:Q9" si="4">1/P7</f>
        <v>9.0277777777777787E-3</v>
      </c>
      <c r="Q9" s="2">
        <f t="shared" si="4"/>
        <v>5.6352435869806532E-3</v>
      </c>
      <c r="R9" s="2">
        <f>O9+P9+Q9</f>
        <v>1.5079688031425098E-2</v>
      </c>
      <c r="AP9" s="2" t="s">
        <v>84</v>
      </c>
      <c r="AQ9" s="50">
        <f>AQ4+AQ6+AQ5</f>
        <v>55959280</v>
      </c>
    </row>
    <row r="10" spans="1:43" ht="14.4" thickBot="1" x14ac:dyDescent="0.3">
      <c r="C10" s="29" t="s">
        <v>34</v>
      </c>
      <c r="D10" s="25" t="s">
        <v>35</v>
      </c>
      <c r="E10" s="14" t="s">
        <v>35</v>
      </c>
      <c r="F10" s="14" t="s">
        <v>35</v>
      </c>
      <c r="G10" s="26" t="s">
        <v>35</v>
      </c>
      <c r="H10" s="42">
        <v>0.04</v>
      </c>
      <c r="I10" s="35">
        <f t="shared" si="0"/>
        <v>25</v>
      </c>
      <c r="J10" s="26" t="s">
        <v>35</v>
      </c>
      <c r="K10" s="4"/>
      <c r="L10" s="4"/>
      <c r="M10" s="4"/>
      <c r="R10" s="2">
        <f>R9*M4</f>
        <v>1.4476500510168093</v>
      </c>
      <c r="AP10" s="2" t="s">
        <v>85</v>
      </c>
      <c r="AQ10" s="2">
        <f>M4*2</f>
        <v>192</v>
      </c>
    </row>
    <row r="11" spans="1:43" x14ac:dyDescent="0.25">
      <c r="C11" s="5"/>
      <c r="R11" s="2">
        <f>1/R10</f>
        <v>0.69077467948667137</v>
      </c>
      <c r="AP11" s="93" t="s">
        <v>86</v>
      </c>
      <c r="AQ11" s="94">
        <f>AQ9/AQ10</f>
        <v>291454.58333333331</v>
      </c>
    </row>
    <row r="12" spans="1:43" ht="14.4" thickBot="1" x14ac:dyDescent="0.3">
      <c r="C12" s="2" t="s">
        <v>10</v>
      </c>
      <c r="D12" s="3" t="s">
        <v>26</v>
      </c>
    </row>
    <row r="13" spans="1:43" ht="16.2" x14ac:dyDescent="0.25">
      <c r="C13" s="8" t="s">
        <v>0</v>
      </c>
      <c r="D13" s="9" t="s">
        <v>19</v>
      </c>
      <c r="E13" s="9" t="s">
        <v>1</v>
      </c>
      <c r="F13" s="9" t="s">
        <v>2</v>
      </c>
      <c r="G13" s="9" t="s">
        <v>3</v>
      </c>
      <c r="H13" s="9" t="s">
        <v>4</v>
      </c>
      <c r="I13" s="9" t="s">
        <v>36</v>
      </c>
      <c r="J13" s="21" t="s">
        <v>18</v>
      </c>
      <c r="K13" s="11"/>
      <c r="M13" s="47" t="s">
        <v>37</v>
      </c>
      <c r="N13" s="9" t="s">
        <v>20</v>
      </c>
      <c r="O13" s="8" t="s">
        <v>39</v>
      </c>
      <c r="P13" s="9" t="s">
        <v>52</v>
      </c>
      <c r="Q13" s="9" t="s">
        <v>53</v>
      </c>
      <c r="R13" s="8" t="s">
        <v>54</v>
      </c>
      <c r="S13" s="21" t="s">
        <v>55</v>
      </c>
    </row>
    <row r="14" spans="1:43" ht="17.399999999999999" thickBot="1" x14ac:dyDescent="0.3">
      <c r="C14" s="15" t="s">
        <v>5</v>
      </c>
      <c r="D14" s="16" t="s">
        <v>6</v>
      </c>
      <c r="E14" s="16" t="s">
        <v>17</v>
      </c>
      <c r="F14" s="16" t="s">
        <v>8</v>
      </c>
      <c r="G14" s="16" t="s">
        <v>7</v>
      </c>
      <c r="H14" s="16" t="s">
        <v>21</v>
      </c>
      <c r="I14" s="46" t="s">
        <v>32</v>
      </c>
      <c r="J14" s="22" t="s">
        <v>22</v>
      </c>
      <c r="K14" s="11"/>
      <c r="M14" s="48" t="s">
        <v>38</v>
      </c>
      <c r="N14" s="46" t="s">
        <v>32</v>
      </c>
      <c r="O14" s="45" t="s">
        <v>40</v>
      </c>
      <c r="P14" s="38" t="s">
        <v>40</v>
      </c>
      <c r="Q14" s="39" t="s">
        <v>40</v>
      </c>
      <c r="R14" s="45" t="s">
        <v>49</v>
      </c>
      <c r="S14" s="39" t="s">
        <v>49</v>
      </c>
    </row>
    <row r="15" spans="1:43" ht="14.4" thickBot="1" x14ac:dyDescent="0.3">
      <c r="C15" s="43" t="s">
        <v>33</v>
      </c>
      <c r="D15" s="28" t="s">
        <v>35</v>
      </c>
      <c r="E15" s="31" t="s">
        <v>35</v>
      </c>
      <c r="F15" s="31" t="s">
        <v>35</v>
      </c>
      <c r="G15" s="32" t="s">
        <v>35</v>
      </c>
      <c r="H15" s="34">
        <f>1/7.7</f>
        <v>0.12987012987012986</v>
      </c>
      <c r="I15" s="34">
        <f>1/H15</f>
        <v>7.7000000000000011</v>
      </c>
      <c r="J15" s="27" t="s">
        <v>35</v>
      </c>
      <c r="K15" s="11"/>
      <c r="M15" s="60">
        <v>223.1</v>
      </c>
      <c r="N15" s="55">
        <f>1/(H15+H16+H17+H18+H19+H20)</f>
        <v>0.59167808613910844</v>
      </c>
      <c r="O15" s="56">
        <f>(H19+H20)/M15</f>
        <v>2.7889835151152944E-4</v>
      </c>
      <c r="P15" s="6">
        <f>H18/M15</f>
        <v>3.7850490562278999E-3</v>
      </c>
      <c r="Q15" s="57">
        <f>(H15+H16+H17)/M15</f>
        <v>3.5116161292763712E-3</v>
      </c>
      <c r="R15" s="95">
        <f>(J19+J18)*M15</f>
        <v>8393602.0599999987</v>
      </c>
      <c r="S15" s="96">
        <f>M15*(J16+J17)</f>
        <v>62021800</v>
      </c>
    </row>
    <row r="16" spans="1:43" ht="16.2" x14ac:dyDescent="0.25">
      <c r="C16" s="12" t="s">
        <v>13</v>
      </c>
      <c r="D16" s="23">
        <v>2</v>
      </c>
      <c r="E16" s="4">
        <v>0.7</v>
      </c>
      <c r="F16" s="4">
        <v>1400</v>
      </c>
      <c r="G16" s="24">
        <v>1000</v>
      </c>
      <c r="H16" s="20">
        <f>(D16/100)/E16</f>
        <v>2.8571428571428574E-2</v>
      </c>
      <c r="I16" s="34">
        <f t="shared" ref="I16:I20" si="5">1/H16</f>
        <v>35</v>
      </c>
      <c r="J16" s="24">
        <f>F16*(D16/100)*G16</f>
        <v>28000</v>
      </c>
      <c r="K16" s="4"/>
      <c r="M16" s="4"/>
      <c r="N16" s="68">
        <f>N15-(1/(O15+P15+Q15)/M15)</f>
        <v>0</v>
      </c>
      <c r="O16" s="8" t="s">
        <v>56</v>
      </c>
      <c r="P16" s="9" t="s">
        <v>57</v>
      </c>
      <c r="Q16" s="21" t="s">
        <v>58</v>
      </c>
    </row>
    <row r="17" spans="2:19" ht="14.4" thickBot="1" x14ac:dyDescent="0.3">
      <c r="C17" s="13" t="s">
        <v>69</v>
      </c>
      <c r="D17" s="23">
        <v>25</v>
      </c>
      <c r="E17" s="6">
        <f>(D17/100)/H17</f>
        <v>0.4</v>
      </c>
      <c r="F17" s="4">
        <v>1000</v>
      </c>
      <c r="G17" s="24">
        <v>1000</v>
      </c>
      <c r="H17" s="4">
        <v>0.625</v>
      </c>
      <c r="I17" s="34">
        <f t="shared" si="5"/>
        <v>1.6</v>
      </c>
      <c r="J17" s="24">
        <f>F17*(D17/100)*G17</f>
        <v>250000</v>
      </c>
      <c r="K17" s="4"/>
      <c r="M17" s="4"/>
      <c r="O17" s="45" t="s">
        <v>47</v>
      </c>
      <c r="P17" s="38" t="s">
        <v>47</v>
      </c>
      <c r="Q17" s="39" t="s">
        <v>47</v>
      </c>
    </row>
    <row r="18" spans="2:19" ht="14.4" thickBot="1" x14ac:dyDescent="0.3">
      <c r="C18" s="61" t="s">
        <v>31</v>
      </c>
      <c r="D18" s="62">
        <v>3.8</v>
      </c>
      <c r="E18" s="63">
        <v>4.4999999999999998E-2</v>
      </c>
      <c r="F18" s="63">
        <v>35</v>
      </c>
      <c r="G18" s="64">
        <v>1220</v>
      </c>
      <c r="H18" s="67">
        <f>(D18/100)/E18</f>
        <v>0.84444444444444444</v>
      </c>
      <c r="I18" s="66">
        <f t="shared" si="5"/>
        <v>1.1842105263157894</v>
      </c>
      <c r="J18" s="64">
        <f>F18*(D18/100)*G18</f>
        <v>1622.6000000000001</v>
      </c>
      <c r="K18" s="63"/>
      <c r="M18" s="4"/>
      <c r="O18" s="51">
        <f>1/O15</f>
        <v>3585.5357142857147</v>
      </c>
      <c r="P18" s="52">
        <f t="shared" ref="P18:Q18" si="6">1/P15</f>
        <v>264.1973684210526</v>
      </c>
      <c r="Q18" s="53">
        <f t="shared" si="6"/>
        <v>284.76916701201822</v>
      </c>
    </row>
    <row r="19" spans="2:19" x14ac:dyDescent="0.25">
      <c r="C19" s="13" t="s">
        <v>25</v>
      </c>
      <c r="D19" s="23">
        <v>2</v>
      </c>
      <c r="E19" s="4">
        <v>0.9</v>
      </c>
      <c r="F19" s="4">
        <v>1800</v>
      </c>
      <c r="G19" s="24">
        <v>1000</v>
      </c>
      <c r="H19" s="20">
        <f>(D19/100)/E19</f>
        <v>2.2222222222222223E-2</v>
      </c>
      <c r="I19" s="34">
        <f t="shared" si="5"/>
        <v>45</v>
      </c>
      <c r="J19" s="24">
        <f>F19*(D19/100)*G19</f>
        <v>36000</v>
      </c>
      <c r="K19" s="4"/>
    </row>
    <row r="20" spans="2:19" ht="14.4" thickBot="1" x14ac:dyDescent="0.3">
      <c r="C20" s="29" t="s">
        <v>33</v>
      </c>
      <c r="D20" s="25" t="s">
        <v>35</v>
      </c>
      <c r="E20" s="14" t="s">
        <v>35</v>
      </c>
      <c r="F20" s="14" t="s">
        <v>35</v>
      </c>
      <c r="G20" s="26" t="s">
        <v>35</v>
      </c>
      <c r="H20" s="58">
        <f>1/25</f>
        <v>0.04</v>
      </c>
      <c r="I20" s="35">
        <f t="shared" si="5"/>
        <v>25</v>
      </c>
      <c r="J20" s="26" t="s">
        <v>35</v>
      </c>
      <c r="K20" s="4"/>
    </row>
    <row r="21" spans="2:19" ht="14.4" thickBot="1" x14ac:dyDescent="0.3">
      <c r="C21" s="2" t="s">
        <v>10</v>
      </c>
      <c r="D21" s="3" t="s">
        <v>27</v>
      </c>
    </row>
    <row r="22" spans="2:19" ht="14.4" thickBot="1" x14ac:dyDescent="0.3">
      <c r="C22" s="8" t="s">
        <v>0</v>
      </c>
      <c r="D22" s="9" t="s">
        <v>19</v>
      </c>
      <c r="E22" s="9" t="s">
        <v>1</v>
      </c>
      <c r="F22" s="9" t="s">
        <v>2</v>
      </c>
      <c r="G22" s="9" t="s">
        <v>3</v>
      </c>
      <c r="H22" s="8" t="s">
        <v>4</v>
      </c>
      <c r="I22" s="9" t="s">
        <v>36</v>
      </c>
      <c r="J22" s="21" t="s">
        <v>18</v>
      </c>
      <c r="K22" s="11"/>
    </row>
    <row r="23" spans="2:19" ht="17.399999999999999" thickBot="1" x14ac:dyDescent="0.3">
      <c r="C23" s="15" t="s">
        <v>5</v>
      </c>
      <c r="D23" s="16" t="s">
        <v>6</v>
      </c>
      <c r="E23" s="16" t="s">
        <v>17</v>
      </c>
      <c r="F23" s="16" t="s">
        <v>8</v>
      </c>
      <c r="G23" s="16" t="s">
        <v>7</v>
      </c>
      <c r="H23" s="15" t="s">
        <v>21</v>
      </c>
      <c r="I23" s="46" t="s">
        <v>32</v>
      </c>
      <c r="J23" s="22" t="s">
        <v>22</v>
      </c>
      <c r="K23" s="11"/>
      <c r="M23" s="47" t="s">
        <v>37</v>
      </c>
      <c r="N23" s="9" t="s">
        <v>20</v>
      </c>
      <c r="O23" s="8" t="s">
        <v>59</v>
      </c>
      <c r="P23" s="9" t="s">
        <v>60</v>
      </c>
      <c r="Q23" s="21" t="s">
        <v>61</v>
      </c>
      <c r="R23" s="8" t="s">
        <v>62</v>
      </c>
      <c r="S23" s="21" t="s">
        <v>63</v>
      </c>
    </row>
    <row r="24" spans="2:19" ht="17.399999999999999" thickBot="1" x14ac:dyDescent="0.3">
      <c r="C24" s="43" t="s">
        <v>33</v>
      </c>
      <c r="D24" s="1" t="s">
        <v>35</v>
      </c>
      <c r="E24" s="1" t="s">
        <v>35</v>
      </c>
      <c r="F24" s="1" t="s">
        <v>35</v>
      </c>
      <c r="G24" s="1" t="s">
        <v>35</v>
      </c>
      <c r="H24" s="34">
        <f>1/10</f>
        <v>0.1</v>
      </c>
      <c r="I24" s="34">
        <f>1/H24</f>
        <v>10</v>
      </c>
      <c r="J24" s="59" t="s">
        <v>35</v>
      </c>
      <c r="K24" s="34"/>
      <c r="M24" s="48" t="s">
        <v>38</v>
      </c>
      <c r="N24" s="46" t="s">
        <v>32</v>
      </c>
      <c r="O24" s="45" t="s">
        <v>40</v>
      </c>
      <c r="P24" s="38" t="s">
        <v>40</v>
      </c>
      <c r="Q24" s="39" t="s">
        <v>40</v>
      </c>
      <c r="R24" s="45" t="s">
        <v>49</v>
      </c>
      <c r="S24" s="39" t="s">
        <v>49</v>
      </c>
    </row>
    <row r="25" spans="2:19" ht="14.4" thickBot="1" x14ac:dyDescent="0.3">
      <c r="C25" s="12" t="s">
        <v>28</v>
      </c>
      <c r="D25" s="4">
        <v>1.5</v>
      </c>
      <c r="E25" s="4">
        <v>1.47</v>
      </c>
      <c r="F25" s="4">
        <v>1700</v>
      </c>
      <c r="G25" s="4">
        <v>1000</v>
      </c>
      <c r="H25" s="41">
        <f>(D25/100)/E25</f>
        <v>1.020408163265306E-2</v>
      </c>
      <c r="I25" s="34">
        <f t="shared" ref="I25:I30" si="7">1/H25</f>
        <v>98.000000000000014</v>
      </c>
      <c r="J25" s="24">
        <f t="shared" ref="J25:J30" si="8">F25*(D25/100)*G25</f>
        <v>25500</v>
      </c>
      <c r="K25" s="4"/>
      <c r="L25" s="10"/>
      <c r="M25" s="49">
        <v>96</v>
      </c>
      <c r="N25" s="55">
        <f>1/(H24+H25+H26+H27+H28+H29+H30)</f>
        <v>0.7669271462906655</v>
      </c>
      <c r="O25" s="56">
        <f>(H30+H29)/M25</f>
        <v>5.4537521815008737E-4</v>
      </c>
      <c r="P25" s="6">
        <f>H28/M25</f>
        <v>1.087962962962963E-2</v>
      </c>
      <c r="Q25" s="57">
        <f>(H24+H25+H26+H27)/M25</f>
        <v>2.1573369914003339E-3</v>
      </c>
      <c r="R25" s="95">
        <f>(J29+J28+J30)*M25</f>
        <v>23232662.399999999</v>
      </c>
      <c r="S25" s="96">
        <f>M25*(J25+J26+J27)</f>
        <v>23568000</v>
      </c>
    </row>
    <row r="26" spans="2:19" ht="16.2" x14ac:dyDescent="0.25">
      <c r="C26" s="13" t="s">
        <v>15</v>
      </c>
      <c r="D26" s="4">
        <v>3</v>
      </c>
      <c r="E26" s="6">
        <v>1.4</v>
      </c>
      <c r="F26" s="4">
        <v>2000</v>
      </c>
      <c r="G26" s="4">
        <v>1000</v>
      </c>
      <c r="H26" s="41">
        <f t="shared" ref="H26:H30" si="9">(D26/100)/E26</f>
        <v>2.1428571428571429E-2</v>
      </c>
      <c r="I26" s="34">
        <f t="shared" si="7"/>
        <v>46.666666666666664</v>
      </c>
      <c r="J26" s="24">
        <f t="shared" si="8"/>
        <v>60000</v>
      </c>
      <c r="K26" s="4"/>
      <c r="M26" s="4"/>
      <c r="N26" s="68">
        <f>N25-(1/(O25+P25+Q25)/M25)</f>
        <v>0</v>
      </c>
      <c r="O26" s="8" t="s">
        <v>66</v>
      </c>
      <c r="P26" s="9" t="s">
        <v>65</v>
      </c>
      <c r="Q26" s="21" t="s">
        <v>64</v>
      </c>
    </row>
    <row r="27" spans="2:19" ht="14.4" thickBot="1" x14ac:dyDescent="0.3">
      <c r="C27" s="13" t="s">
        <v>29</v>
      </c>
      <c r="D27" s="4">
        <v>8</v>
      </c>
      <c r="E27" s="4">
        <v>1.06</v>
      </c>
      <c r="F27" s="4">
        <v>2000</v>
      </c>
      <c r="G27" s="4">
        <v>1000</v>
      </c>
      <c r="H27" s="41">
        <f t="shared" si="9"/>
        <v>7.5471698113207544E-2</v>
      </c>
      <c r="I27" s="34">
        <f t="shared" si="7"/>
        <v>13.25</v>
      </c>
      <c r="J27" s="24">
        <f t="shared" si="8"/>
        <v>160000</v>
      </c>
      <c r="K27" s="4"/>
      <c r="M27" s="4"/>
      <c r="O27" s="45" t="s">
        <v>47</v>
      </c>
      <c r="P27" s="38" t="s">
        <v>47</v>
      </c>
      <c r="Q27" s="39" t="s">
        <v>47</v>
      </c>
    </row>
    <row r="28" spans="2:19" ht="14.4" thickBot="1" x14ac:dyDescent="0.3">
      <c r="B28" s="7"/>
      <c r="C28" s="61" t="s">
        <v>31</v>
      </c>
      <c r="D28" s="63">
        <v>4.7</v>
      </c>
      <c r="E28" s="63">
        <v>4.4999999999999998E-2</v>
      </c>
      <c r="F28" s="63">
        <v>35</v>
      </c>
      <c r="G28" s="63">
        <v>1220</v>
      </c>
      <c r="H28" s="72">
        <f t="shared" si="9"/>
        <v>1.0444444444444445</v>
      </c>
      <c r="I28" s="66">
        <f t="shared" si="7"/>
        <v>0.95744680851063824</v>
      </c>
      <c r="J28" s="64">
        <f t="shared" si="8"/>
        <v>2006.9</v>
      </c>
      <c r="K28" s="63"/>
      <c r="M28" s="4"/>
      <c r="O28" s="51">
        <f>1/O25</f>
        <v>1833.5999999999997</v>
      </c>
      <c r="P28" s="52">
        <f t="shared" ref="P28:Q28" si="10">1/P25</f>
        <v>91.914893617021278</v>
      </c>
      <c r="Q28" s="53">
        <f t="shared" si="10"/>
        <v>463.53444268848187</v>
      </c>
    </row>
    <row r="29" spans="2:19" x14ac:dyDescent="0.25">
      <c r="C29" s="13" t="s">
        <v>30</v>
      </c>
      <c r="D29" s="4">
        <v>10</v>
      </c>
      <c r="E29" s="4">
        <v>1.91</v>
      </c>
      <c r="F29" s="4">
        <v>2400</v>
      </c>
      <c r="G29" s="4">
        <v>1000</v>
      </c>
      <c r="H29" s="41">
        <f t="shared" si="9"/>
        <v>5.2356020942408384E-2</v>
      </c>
      <c r="I29" s="34">
        <f t="shared" si="7"/>
        <v>19.099999999999998</v>
      </c>
      <c r="J29" s="24">
        <f t="shared" si="8"/>
        <v>240000</v>
      </c>
      <c r="K29" s="4"/>
      <c r="M29" s="4"/>
      <c r="O29" s="69"/>
      <c r="P29" s="69"/>
      <c r="Q29" s="69"/>
    </row>
    <row r="30" spans="2:19" ht="14.4" thickBot="1" x14ac:dyDescent="0.3">
      <c r="C30" s="25" t="s">
        <v>25</v>
      </c>
      <c r="D30" s="14">
        <v>0</v>
      </c>
      <c r="E30" s="30">
        <v>0.9</v>
      </c>
      <c r="F30" s="14">
        <v>1800</v>
      </c>
      <c r="G30" s="14">
        <v>1000</v>
      </c>
      <c r="H30" s="73">
        <f t="shared" si="9"/>
        <v>0</v>
      </c>
      <c r="I30" s="35" t="e">
        <f t="shared" si="7"/>
        <v>#DIV/0!</v>
      </c>
      <c r="J30" s="26">
        <f t="shared" si="8"/>
        <v>0</v>
      </c>
      <c r="K30" s="4"/>
    </row>
    <row r="31" spans="2:19" ht="16.2" x14ac:dyDescent="0.25">
      <c r="M31" s="47" t="s">
        <v>37</v>
      </c>
      <c r="N31" s="9" t="s">
        <v>20</v>
      </c>
      <c r="O31" s="47" t="s">
        <v>67</v>
      </c>
      <c r="Q31" s="47" t="s">
        <v>77</v>
      </c>
      <c r="R31" s="47" t="s">
        <v>79</v>
      </c>
    </row>
    <row r="32" spans="2:19" ht="17.399999999999999" thickBot="1" x14ac:dyDescent="0.3">
      <c r="C32" s="1"/>
      <c r="M32" s="48" t="s">
        <v>38</v>
      </c>
      <c r="N32" s="46" t="s">
        <v>32</v>
      </c>
      <c r="O32" s="54" t="s">
        <v>40</v>
      </c>
      <c r="Q32" s="48" t="s">
        <v>78</v>
      </c>
      <c r="R32" s="54" t="s">
        <v>51</v>
      </c>
    </row>
    <row r="33" spans="3:18" ht="14.4" thickBot="1" x14ac:dyDescent="0.3">
      <c r="C33" s="1"/>
      <c r="M33" s="49">
        <v>21.7</v>
      </c>
      <c r="N33" s="55">
        <v>2.8</v>
      </c>
      <c r="O33" s="70">
        <f>1/O36</f>
        <v>1.6458196181698487E-2</v>
      </c>
      <c r="Q33" s="49">
        <v>605</v>
      </c>
      <c r="R33" s="91">
        <f>1.204*1012*Q33/1000</f>
        <v>737.16103999999996</v>
      </c>
    </row>
    <row r="34" spans="3:18" ht="16.2" x14ac:dyDescent="0.25">
      <c r="C34" s="1"/>
      <c r="O34" s="47" t="s">
        <v>68</v>
      </c>
    </row>
    <row r="35" spans="3:18" ht="14.4" thickBot="1" x14ac:dyDescent="0.3">
      <c r="O35" s="54" t="s">
        <v>47</v>
      </c>
    </row>
    <row r="36" spans="3:18" ht="14.4" thickBot="1" x14ac:dyDescent="0.3">
      <c r="O36" s="71">
        <f>N33*M33</f>
        <v>60.759999999999991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3623-C32D-46E2-90C1-97CE1323D0AF}">
  <dimension ref="A1:AP36"/>
  <sheetViews>
    <sheetView topLeftCell="D1" zoomScale="90" zoomScaleNormal="90" zoomScaleSheetLayoutView="50" workbookViewId="0">
      <selection activeCell="D10" sqref="D10"/>
    </sheetView>
  </sheetViews>
  <sheetFormatPr defaultRowHeight="13.8" x14ac:dyDescent="0.25"/>
  <cols>
    <col min="1" max="2" width="16" style="1" customWidth="1"/>
    <col min="3" max="3" width="47.21875" style="2" customWidth="1"/>
    <col min="4" max="4" width="8.88671875" style="2"/>
    <col min="5" max="5" width="10.6640625" style="2" customWidth="1"/>
    <col min="6" max="6" width="16.21875" style="2" customWidth="1"/>
    <col min="7" max="7" width="14.109375" style="2" customWidth="1"/>
    <col min="8" max="8" width="11.88671875" style="2" customWidth="1"/>
    <col min="9" max="9" width="16.21875" style="2" customWidth="1"/>
    <col min="10" max="11" width="14.109375" style="2" customWidth="1"/>
    <col min="12" max="12" width="8.88671875" style="2"/>
    <col min="13" max="13" width="11.5546875" style="2" bestFit="1" customWidth="1"/>
    <col min="14" max="16" width="8.88671875" style="2"/>
    <col min="17" max="17" width="14.5546875" style="2" customWidth="1"/>
    <col min="18" max="18" width="13.44140625" style="2" customWidth="1"/>
    <col min="19" max="41" width="8.88671875" style="2"/>
    <col min="42" max="42" width="12.6640625" style="2" bestFit="1" customWidth="1"/>
    <col min="43" max="16384" width="8.88671875" style="2"/>
  </cols>
  <sheetData>
    <row r="1" spans="1:42" ht="14.4" thickBot="1" x14ac:dyDescent="0.3">
      <c r="C1" s="2" t="s">
        <v>10</v>
      </c>
      <c r="D1" s="3" t="s">
        <v>11</v>
      </c>
    </row>
    <row r="2" spans="1:42" ht="18.600000000000001" customHeight="1" x14ac:dyDescent="0.25">
      <c r="A2" s="1" t="s">
        <v>9</v>
      </c>
      <c r="C2" s="8" t="s">
        <v>0</v>
      </c>
      <c r="D2" s="8" t="s">
        <v>19</v>
      </c>
      <c r="E2" s="9" t="s">
        <v>1</v>
      </c>
      <c r="F2" s="9" t="s">
        <v>2</v>
      </c>
      <c r="G2" s="21" t="s">
        <v>3</v>
      </c>
      <c r="H2" s="8" t="s">
        <v>4</v>
      </c>
      <c r="I2" s="9" t="s">
        <v>36</v>
      </c>
      <c r="J2" s="21" t="s">
        <v>18</v>
      </c>
      <c r="K2" s="11"/>
      <c r="L2" s="47" t="s">
        <v>37</v>
      </c>
      <c r="M2" s="9" t="s">
        <v>20</v>
      </c>
      <c r="N2" s="8" t="s">
        <v>41</v>
      </c>
      <c r="O2" s="9" t="s">
        <v>42</v>
      </c>
      <c r="P2" s="21" t="s">
        <v>43</v>
      </c>
      <c r="Q2" s="8" t="s">
        <v>48</v>
      </c>
      <c r="R2" s="21" t="s">
        <v>50</v>
      </c>
      <c r="AO2" s="3" t="s">
        <v>80</v>
      </c>
    </row>
    <row r="3" spans="1:42" ht="14.4" customHeight="1" thickBot="1" x14ac:dyDescent="0.3">
      <c r="A3" s="4"/>
      <c r="B3" s="4"/>
      <c r="C3" s="36" t="s">
        <v>5</v>
      </c>
      <c r="D3" s="36" t="s">
        <v>6</v>
      </c>
      <c r="E3" s="7" t="s">
        <v>17</v>
      </c>
      <c r="F3" s="7" t="s">
        <v>8</v>
      </c>
      <c r="G3" s="37" t="s">
        <v>7</v>
      </c>
      <c r="H3" s="45" t="s">
        <v>21</v>
      </c>
      <c r="I3" s="46" t="s">
        <v>32</v>
      </c>
      <c r="J3" s="39" t="s">
        <v>22</v>
      </c>
      <c r="K3" s="7"/>
      <c r="L3" s="48" t="s">
        <v>38</v>
      </c>
      <c r="M3" s="46" t="s">
        <v>32</v>
      </c>
      <c r="N3" s="45" t="s">
        <v>40</v>
      </c>
      <c r="O3" s="38" t="s">
        <v>40</v>
      </c>
      <c r="P3" s="39" t="s">
        <v>40</v>
      </c>
      <c r="Q3" s="45" t="s">
        <v>49</v>
      </c>
      <c r="R3" s="45" t="s">
        <v>49</v>
      </c>
    </row>
    <row r="4" spans="1:42" ht="14.4" thickBot="1" x14ac:dyDescent="0.3">
      <c r="C4" s="28" t="s">
        <v>33</v>
      </c>
      <c r="D4" s="28" t="s">
        <v>35</v>
      </c>
      <c r="E4" s="31" t="s">
        <v>35</v>
      </c>
      <c r="F4" s="31" t="s">
        <v>35</v>
      </c>
      <c r="G4" s="32" t="s">
        <v>35</v>
      </c>
      <c r="H4" s="40">
        <f>1/5.9</f>
        <v>0.16949152542372881</v>
      </c>
      <c r="I4" s="33">
        <f>1/H4</f>
        <v>5.9</v>
      </c>
      <c r="J4" s="32" t="s">
        <v>35</v>
      </c>
      <c r="K4" s="1"/>
      <c r="L4" s="49">
        <v>132.9</v>
      </c>
      <c r="M4" s="55">
        <f>1/(SUM(H4:H10))</f>
        <v>1.1350951876778581</v>
      </c>
      <c r="N4" s="56">
        <f>H10/L4</f>
        <v>3.0097817908201655E-4</v>
      </c>
      <c r="O4" s="6">
        <f>H9/L4</f>
        <v>2.2573363431151244E-3</v>
      </c>
      <c r="P4" s="57">
        <f>(SUM(H4:H8))/L4</f>
        <v>4.0706048483833161E-3</v>
      </c>
      <c r="Q4" s="95">
        <f>J9*L4</f>
        <v>76610.205000000016</v>
      </c>
      <c r="R4" s="96">
        <f>L4*(J5+J6+J7+J8)</f>
        <v>69639600</v>
      </c>
      <c r="AO4" s="2" t="s">
        <v>81</v>
      </c>
      <c r="AP4" s="50">
        <f>(J5+F6*((10-D5)/100)*G6)*L4</f>
        <v>22858800</v>
      </c>
    </row>
    <row r="5" spans="1:42" ht="16.2" x14ac:dyDescent="0.25">
      <c r="C5" s="12" t="s">
        <v>13</v>
      </c>
      <c r="D5" s="23">
        <v>2</v>
      </c>
      <c r="E5" s="4">
        <v>0.7</v>
      </c>
      <c r="F5" s="4">
        <v>1400</v>
      </c>
      <c r="G5" s="24">
        <v>1000</v>
      </c>
      <c r="H5" s="41">
        <f>(D5/100)/E5</f>
        <v>2.8571428571428574E-2</v>
      </c>
      <c r="I5" s="34">
        <f t="shared" ref="I5:I10" si="0">1/H5</f>
        <v>35</v>
      </c>
      <c r="J5" s="24">
        <f>F5*(D5/100)*G5</f>
        <v>28000</v>
      </c>
      <c r="K5" s="4"/>
      <c r="L5" s="4"/>
      <c r="M5" s="68">
        <f>M4-(1/(N4+O4+P4)/L4)</f>
        <v>0</v>
      </c>
      <c r="N5" s="8" t="s">
        <v>44</v>
      </c>
      <c r="O5" s="9" t="s">
        <v>45</v>
      </c>
      <c r="P5" s="21" t="s">
        <v>46</v>
      </c>
      <c r="AO5" s="2" t="s">
        <v>82</v>
      </c>
      <c r="AP5" s="2">
        <f>(J16+J17)*L15</f>
        <v>22429600</v>
      </c>
    </row>
    <row r="6" spans="1:42" ht="14.4" thickBot="1" x14ac:dyDescent="0.3">
      <c r="C6" s="13" t="s">
        <v>12</v>
      </c>
      <c r="D6" s="23">
        <v>20</v>
      </c>
      <c r="E6" s="6">
        <v>0.65</v>
      </c>
      <c r="F6" s="4">
        <v>1800</v>
      </c>
      <c r="G6" s="24">
        <v>1000</v>
      </c>
      <c r="H6" s="41">
        <f t="shared" ref="H6:H8" si="1">(D6/100)/E6</f>
        <v>0.30769230769230771</v>
      </c>
      <c r="I6" s="34">
        <f t="shared" si="0"/>
        <v>3.25</v>
      </c>
      <c r="J6" s="24">
        <f>F6*(D6/100)*G6</f>
        <v>360000</v>
      </c>
      <c r="K6" s="4"/>
      <c r="L6" s="4"/>
      <c r="N6" s="45" t="s">
        <v>47</v>
      </c>
      <c r="O6" s="38" t="s">
        <v>47</v>
      </c>
      <c r="P6" s="39" t="s">
        <v>47</v>
      </c>
      <c r="AO6" s="2" t="s">
        <v>83</v>
      </c>
      <c r="AP6" s="2">
        <f>(J26+J27+J28)*L25</f>
        <v>28257050</v>
      </c>
    </row>
    <row r="7" spans="1:42" ht="14.4" thickBot="1" x14ac:dyDescent="0.3">
      <c r="C7" s="13" t="s">
        <v>14</v>
      </c>
      <c r="D7" s="23">
        <v>4</v>
      </c>
      <c r="E7" s="4">
        <v>1.91</v>
      </c>
      <c r="F7" s="4">
        <v>2400</v>
      </c>
      <c r="G7" s="24">
        <v>1000</v>
      </c>
      <c r="H7" s="41">
        <f t="shared" si="1"/>
        <v>2.0942408376963352E-2</v>
      </c>
      <c r="I7" s="34">
        <f t="shared" si="0"/>
        <v>47.75</v>
      </c>
      <c r="J7" s="24">
        <f t="shared" ref="J7:J9" si="2">F7*(D7/100)*G7</f>
        <v>96000</v>
      </c>
      <c r="K7" s="4"/>
      <c r="L7" s="4"/>
      <c r="N7" s="51">
        <f>1/N4</f>
        <v>3322.5</v>
      </c>
      <c r="O7" s="52">
        <f t="shared" ref="O7:P7" si="3">1/O4</f>
        <v>442.99999999999994</v>
      </c>
      <c r="P7" s="53">
        <f t="shared" si="3"/>
        <v>245.66373726920722</v>
      </c>
    </row>
    <row r="8" spans="1:42" x14ac:dyDescent="0.25">
      <c r="C8" s="13" t="s">
        <v>15</v>
      </c>
      <c r="D8" s="23">
        <v>2</v>
      </c>
      <c r="E8" s="4">
        <v>1.4</v>
      </c>
      <c r="F8" s="4">
        <v>2000</v>
      </c>
      <c r="G8" s="24">
        <v>1000</v>
      </c>
      <c r="H8" s="41">
        <f t="shared" si="1"/>
        <v>1.4285714285714287E-2</v>
      </c>
      <c r="I8" s="34">
        <f t="shared" si="0"/>
        <v>70</v>
      </c>
      <c r="J8" s="24">
        <f t="shared" si="2"/>
        <v>40000</v>
      </c>
      <c r="K8" s="4"/>
      <c r="L8" s="4"/>
    </row>
    <row r="9" spans="1:42" x14ac:dyDescent="0.25">
      <c r="C9" s="61" t="s">
        <v>16</v>
      </c>
      <c r="D9" s="62">
        <v>1.35</v>
      </c>
      <c r="E9" s="63">
        <v>4.4999999999999998E-2</v>
      </c>
      <c r="F9" s="63">
        <v>35</v>
      </c>
      <c r="G9" s="64">
        <v>1220</v>
      </c>
      <c r="H9" s="65">
        <f>(D9/100)/E9</f>
        <v>0.30000000000000004</v>
      </c>
      <c r="I9" s="66">
        <f t="shared" si="0"/>
        <v>3.333333333333333</v>
      </c>
      <c r="J9" s="64">
        <f t="shared" si="2"/>
        <v>576.45000000000005</v>
      </c>
      <c r="K9" s="4"/>
      <c r="L9" s="4"/>
      <c r="AO9" s="2" t="s">
        <v>84</v>
      </c>
      <c r="AP9" s="50">
        <f>AP4+AP6+AP5</f>
        <v>73545450</v>
      </c>
    </row>
    <row r="10" spans="1:42" ht="14.4" thickBot="1" x14ac:dyDescent="0.3">
      <c r="C10" s="29" t="s">
        <v>34</v>
      </c>
      <c r="D10" s="25" t="s">
        <v>35</v>
      </c>
      <c r="E10" s="14" t="s">
        <v>35</v>
      </c>
      <c r="F10" s="14" t="s">
        <v>35</v>
      </c>
      <c r="G10" s="26" t="s">
        <v>35</v>
      </c>
      <c r="H10" s="42">
        <v>0.04</v>
      </c>
      <c r="I10" s="35">
        <f t="shared" si="0"/>
        <v>25</v>
      </c>
      <c r="J10" s="26" t="s">
        <v>35</v>
      </c>
      <c r="K10" s="4"/>
      <c r="L10" s="4"/>
      <c r="AO10" s="2" t="s">
        <v>85</v>
      </c>
      <c r="AP10" s="2">
        <f>L25*2</f>
        <v>230.2</v>
      </c>
    </row>
    <row r="11" spans="1:42" x14ac:dyDescent="0.25">
      <c r="C11" s="5"/>
      <c r="AO11" s="93" t="s">
        <v>86</v>
      </c>
      <c r="AP11" s="94">
        <f>AP9/AP10</f>
        <v>319485.01303214597</v>
      </c>
    </row>
    <row r="12" spans="1:42" ht="14.4" thickBot="1" x14ac:dyDescent="0.3">
      <c r="C12" s="2" t="s">
        <v>10</v>
      </c>
      <c r="D12" s="3" t="s">
        <v>26</v>
      </c>
    </row>
    <row r="13" spans="1:42" ht="16.2" x14ac:dyDescent="0.25">
      <c r="C13" s="8" t="s">
        <v>0</v>
      </c>
      <c r="D13" s="9" t="s">
        <v>19</v>
      </c>
      <c r="E13" s="9" t="s">
        <v>1</v>
      </c>
      <c r="F13" s="9" t="s">
        <v>2</v>
      </c>
      <c r="G13" s="9" t="s">
        <v>3</v>
      </c>
      <c r="H13" s="9" t="s">
        <v>4</v>
      </c>
      <c r="I13" s="9" t="s">
        <v>36</v>
      </c>
      <c r="J13" s="21" t="s">
        <v>18</v>
      </c>
      <c r="L13" s="47" t="s">
        <v>37</v>
      </c>
      <c r="M13" s="9" t="s">
        <v>20</v>
      </c>
      <c r="N13" s="8" t="s">
        <v>39</v>
      </c>
      <c r="O13" s="9" t="s">
        <v>52</v>
      </c>
      <c r="P13" s="9" t="s">
        <v>53</v>
      </c>
      <c r="Q13" s="8" t="s">
        <v>54</v>
      </c>
      <c r="R13" s="21" t="s">
        <v>55</v>
      </c>
    </row>
    <row r="14" spans="1:42" ht="17.399999999999999" thickBot="1" x14ac:dyDescent="0.3">
      <c r="C14" s="15" t="s">
        <v>5</v>
      </c>
      <c r="D14" s="16" t="s">
        <v>6</v>
      </c>
      <c r="E14" s="16" t="s">
        <v>17</v>
      </c>
      <c r="F14" s="16" t="s">
        <v>8</v>
      </c>
      <c r="G14" s="16" t="s">
        <v>7</v>
      </c>
      <c r="H14" s="16" t="s">
        <v>21</v>
      </c>
      <c r="I14" s="46" t="s">
        <v>32</v>
      </c>
      <c r="J14" s="22" t="s">
        <v>22</v>
      </c>
      <c r="L14" s="48" t="s">
        <v>38</v>
      </c>
      <c r="M14" s="46" t="s">
        <v>32</v>
      </c>
      <c r="N14" s="45" t="s">
        <v>40</v>
      </c>
      <c r="O14" s="38" t="s">
        <v>40</v>
      </c>
      <c r="P14" s="39" t="s">
        <v>40</v>
      </c>
      <c r="Q14" s="45" t="s">
        <v>49</v>
      </c>
      <c r="R14" s="45" t="s">
        <v>49</v>
      </c>
    </row>
    <row r="15" spans="1:42" ht="14.4" thickBot="1" x14ac:dyDescent="0.3">
      <c r="C15" s="43" t="s">
        <v>33</v>
      </c>
      <c r="D15" s="28" t="s">
        <v>35</v>
      </c>
      <c r="E15" s="31" t="s">
        <v>35</v>
      </c>
      <c r="F15" s="31" t="s">
        <v>35</v>
      </c>
      <c r="G15" s="32" t="s">
        <v>35</v>
      </c>
      <c r="H15" s="34">
        <f>1/7.7</f>
        <v>0.12987012987012986</v>
      </c>
      <c r="I15" s="34">
        <f>1/H15</f>
        <v>7.7000000000000011</v>
      </c>
      <c r="J15" s="27" t="s">
        <v>35</v>
      </c>
      <c r="L15" s="60">
        <v>243.8</v>
      </c>
      <c r="M15" s="55">
        <f>1/(H15+H16+H17+H18+H19+H20+H21)</f>
        <v>0.7620031997536959</v>
      </c>
      <c r="N15" s="56">
        <f>(H19+H20+H21)/L15</f>
        <v>2.8187950050132166E-3</v>
      </c>
      <c r="O15" s="6">
        <f>H18/L15</f>
        <v>1.0937927262783702E-3</v>
      </c>
      <c r="P15" s="57">
        <f>(H15+H16+H17)/L15</f>
        <v>1.470227885322225E-3</v>
      </c>
      <c r="Q15" s="95">
        <f>(J20+J19+J18)*L15</f>
        <v>69776827.760000005</v>
      </c>
      <c r="R15" s="96">
        <f>L15*(J16+J17)</f>
        <v>22429600</v>
      </c>
    </row>
    <row r="16" spans="1:42" ht="16.2" x14ac:dyDescent="0.25">
      <c r="C16" s="12" t="s">
        <v>13</v>
      </c>
      <c r="D16" s="23">
        <v>2</v>
      </c>
      <c r="E16" s="4">
        <v>0.7</v>
      </c>
      <c r="F16" s="4">
        <v>1400</v>
      </c>
      <c r="G16" s="24">
        <v>1000</v>
      </c>
      <c r="H16" s="20">
        <f>(D16/100)/E16</f>
        <v>2.8571428571428574E-2</v>
      </c>
      <c r="I16" s="34">
        <f t="shared" ref="I16:I21" si="4">1/H16</f>
        <v>35</v>
      </c>
      <c r="J16" s="24">
        <f>F16*(D16/100)*G16</f>
        <v>28000</v>
      </c>
      <c r="L16" s="4"/>
      <c r="M16" s="68">
        <f>M15-(1/(N15+O15+P15)/L15)</f>
        <v>0</v>
      </c>
      <c r="N16" s="8" t="s">
        <v>56</v>
      </c>
      <c r="O16" s="9" t="s">
        <v>57</v>
      </c>
      <c r="P16" s="21" t="s">
        <v>58</v>
      </c>
    </row>
    <row r="17" spans="3:18" ht="14.4" thickBot="1" x14ac:dyDescent="0.3">
      <c r="C17" s="13" t="s">
        <v>23</v>
      </c>
      <c r="D17" s="23">
        <v>8</v>
      </c>
      <c r="E17" s="6">
        <f>(D17/100)/H17</f>
        <v>0.39999999999999997</v>
      </c>
      <c r="F17" s="4">
        <v>800</v>
      </c>
      <c r="G17" s="24">
        <v>1000</v>
      </c>
      <c r="H17" s="4">
        <v>0.2</v>
      </c>
      <c r="I17" s="34">
        <f t="shared" si="4"/>
        <v>5</v>
      </c>
      <c r="J17" s="24">
        <f>F17*(D17/100)*G17</f>
        <v>64000</v>
      </c>
      <c r="L17" s="4"/>
      <c r="N17" s="45" t="s">
        <v>47</v>
      </c>
      <c r="O17" s="38" t="s">
        <v>47</v>
      </c>
      <c r="P17" s="39" t="s">
        <v>47</v>
      </c>
    </row>
    <row r="18" spans="3:18" ht="14.4" thickBot="1" x14ac:dyDescent="0.3">
      <c r="C18" s="61" t="s">
        <v>92</v>
      </c>
      <c r="D18" s="62">
        <v>1.2</v>
      </c>
      <c r="E18" s="63">
        <v>4.4999999999999998E-2</v>
      </c>
      <c r="F18" s="63">
        <v>30</v>
      </c>
      <c r="G18" s="64">
        <v>570</v>
      </c>
      <c r="H18" s="67">
        <f>(D18/100)/E18</f>
        <v>0.26666666666666666</v>
      </c>
      <c r="I18" s="66">
        <f t="shared" si="4"/>
        <v>3.75</v>
      </c>
      <c r="J18" s="64">
        <f>F18*(D18/100)*G18</f>
        <v>205.2</v>
      </c>
      <c r="L18" s="4"/>
      <c r="N18" s="51">
        <f>1/N15</f>
        <v>354.76151980598223</v>
      </c>
      <c r="O18" s="52">
        <f t="shared" ref="O18:P18" si="5">1/O15</f>
        <v>914.25</v>
      </c>
      <c r="P18" s="53">
        <f t="shared" si="5"/>
        <v>680.16666666666663</v>
      </c>
    </row>
    <row r="19" spans="3:18" x14ac:dyDescent="0.25">
      <c r="C19" s="13" t="s">
        <v>24</v>
      </c>
      <c r="D19" s="23">
        <v>25</v>
      </c>
      <c r="E19" s="6">
        <f>(D19/100)/H19</f>
        <v>0.4</v>
      </c>
      <c r="F19" s="4">
        <v>1000</v>
      </c>
      <c r="G19" s="24">
        <v>1000</v>
      </c>
      <c r="H19" s="4">
        <v>0.625</v>
      </c>
      <c r="I19" s="34">
        <f t="shared" si="4"/>
        <v>1.6</v>
      </c>
      <c r="J19" s="24">
        <f>F19*(D19/100)*G19</f>
        <v>250000</v>
      </c>
    </row>
    <row r="20" spans="3:18" x14ac:dyDescent="0.25">
      <c r="C20" s="13" t="s">
        <v>25</v>
      </c>
      <c r="D20" s="23">
        <v>2</v>
      </c>
      <c r="E20" s="4">
        <v>0.9</v>
      </c>
      <c r="F20" s="4">
        <v>1800</v>
      </c>
      <c r="G20" s="24">
        <v>1000</v>
      </c>
      <c r="H20" s="20">
        <f>(D20/100)/E20</f>
        <v>2.2222222222222223E-2</v>
      </c>
      <c r="I20" s="34">
        <f t="shared" si="4"/>
        <v>45</v>
      </c>
      <c r="J20" s="24">
        <f>F20*(D20/100)*G20</f>
        <v>36000</v>
      </c>
    </row>
    <row r="21" spans="3:18" ht="14.4" thickBot="1" x14ac:dyDescent="0.3">
      <c r="C21" s="29" t="s">
        <v>33</v>
      </c>
      <c r="D21" s="25" t="s">
        <v>35</v>
      </c>
      <c r="E21" s="14" t="s">
        <v>35</v>
      </c>
      <c r="F21" s="14" t="s">
        <v>35</v>
      </c>
      <c r="G21" s="26" t="s">
        <v>35</v>
      </c>
      <c r="H21" s="58">
        <v>0.04</v>
      </c>
      <c r="I21" s="35">
        <f t="shared" si="4"/>
        <v>25</v>
      </c>
      <c r="J21" s="26" t="s">
        <v>35</v>
      </c>
    </row>
    <row r="22" spans="3:18" ht="14.4" thickBot="1" x14ac:dyDescent="0.3">
      <c r="C22" s="2" t="s">
        <v>10</v>
      </c>
      <c r="D22" s="3" t="s">
        <v>27</v>
      </c>
    </row>
    <row r="23" spans="3:18" ht="16.2" x14ac:dyDescent="0.25">
      <c r="C23" s="8" t="s">
        <v>0</v>
      </c>
      <c r="D23" s="9" t="s">
        <v>19</v>
      </c>
      <c r="E23" s="9" t="s">
        <v>1</v>
      </c>
      <c r="F23" s="9" t="s">
        <v>2</v>
      </c>
      <c r="G23" s="9" t="s">
        <v>3</v>
      </c>
      <c r="H23" s="9" t="s">
        <v>4</v>
      </c>
      <c r="I23" s="9" t="s">
        <v>36</v>
      </c>
      <c r="J23" s="21" t="s">
        <v>18</v>
      </c>
      <c r="L23" s="47" t="s">
        <v>37</v>
      </c>
      <c r="M23" s="9" t="s">
        <v>20</v>
      </c>
      <c r="N23" s="8" t="s">
        <v>59</v>
      </c>
      <c r="O23" s="9" t="s">
        <v>60</v>
      </c>
      <c r="P23" s="21" t="s">
        <v>61</v>
      </c>
      <c r="Q23" s="8" t="s">
        <v>62</v>
      </c>
      <c r="R23" s="21" t="s">
        <v>63</v>
      </c>
    </row>
    <row r="24" spans="3:18" ht="17.399999999999999" thickBot="1" x14ac:dyDescent="0.3">
      <c r="C24" s="15" t="s">
        <v>5</v>
      </c>
      <c r="D24" s="16" t="s">
        <v>6</v>
      </c>
      <c r="E24" s="16" t="s">
        <v>17</v>
      </c>
      <c r="F24" s="16" t="s">
        <v>8</v>
      </c>
      <c r="G24" s="16" t="s">
        <v>7</v>
      </c>
      <c r="H24" s="16" t="s">
        <v>21</v>
      </c>
      <c r="I24" s="46" t="s">
        <v>32</v>
      </c>
      <c r="J24" s="22" t="s">
        <v>22</v>
      </c>
      <c r="L24" s="48" t="s">
        <v>38</v>
      </c>
      <c r="M24" s="46" t="s">
        <v>32</v>
      </c>
      <c r="N24" s="45" t="s">
        <v>40</v>
      </c>
      <c r="O24" s="38" t="s">
        <v>40</v>
      </c>
      <c r="P24" s="39" t="s">
        <v>40</v>
      </c>
      <c r="Q24" s="45" t="s">
        <v>49</v>
      </c>
      <c r="R24" s="45" t="s">
        <v>49</v>
      </c>
    </row>
    <row r="25" spans="3:18" ht="14.4" thickBot="1" x14ac:dyDescent="0.3">
      <c r="C25" s="43" t="s">
        <v>33</v>
      </c>
      <c r="D25" s="1" t="s">
        <v>35</v>
      </c>
      <c r="E25" s="1" t="s">
        <v>35</v>
      </c>
      <c r="F25" s="1" t="s">
        <v>35</v>
      </c>
      <c r="G25" s="1" t="s">
        <v>35</v>
      </c>
      <c r="H25" s="34">
        <f>1/10</f>
        <v>0.1</v>
      </c>
      <c r="I25" s="34">
        <f>1/H25</f>
        <v>10</v>
      </c>
      <c r="J25" s="59" t="s">
        <v>35</v>
      </c>
      <c r="K25" s="10"/>
      <c r="L25" s="49">
        <v>115.1</v>
      </c>
      <c r="M25" s="55">
        <f>1/(H25+H26+H27+H28+H29+H30+H32)</f>
        <v>0.9775863841016228</v>
      </c>
      <c r="N25" s="56">
        <f>(H32+H30)/L25</f>
        <v>9.0974840907746975E-4</v>
      </c>
      <c r="O25" s="6">
        <f>H29/L25</f>
        <v>6.1782025292016606E-3</v>
      </c>
      <c r="P25" s="57">
        <f>(H25+H26+H27+H28)/L25</f>
        <v>1.7993427556423289E-3</v>
      </c>
      <c r="Q25" s="95">
        <f>(J30+J29+J31+J32)*L25</f>
        <v>55405272.640000001</v>
      </c>
      <c r="R25" s="96">
        <f>L25*(J26+J27+J28)</f>
        <v>28257050</v>
      </c>
    </row>
    <row r="26" spans="3:18" ht="16.2" x14ac:dyDescent="0.25">
      <c r="C26" s="12" t="s">
        <v>28</v>
      </c>
      <c r="D26" s="4">
        <v>1.5</v>
      </c>
      <c r="E26" s="4">
        <v>1.47</v>
      </c>
      <c r="F26" s="4">
        <v>1700</v>
      </c>
      <c r="G26" s="4">
        <v>1000</v>
      </c>
      <c r="H26" s="20">
        <f>(D26/100)/E26</f>
        <v>1.020408163265306E-2</v>
      </c>
      <c r="I26" s="34">
        <f t="shared" ref="I26:I32" si="6">1/H26</f>
        <v>98.000000000000014</v>
      </c>
      <c r="J26" s="24">
        <f t="shared" ref="J26:J32" si="7">F26*(D26/100)*G26</f>
        <v>25500</v>
      </c>
      <c r="L26" s="4"/>
      <c r="M26" s="68">
        <f>M25-(1/(N25+O25+P25)/L25)</f>
        <v>0</v>
      </c>
      <c r="N26" s="8" t="s">
        <v>66</v>
      </c>
      <c r="O26" s="9" t="s">
        <v>65</v>
      </c>
      <c r="P26" s="21" t="s">
        <v>64</v>
      </c>
    </row>
    <row r="27" spans="3:18" ht="14.4" thickBot="1" x14ac:dyDescent="0.3">
      <c r="C27" s="13" t="s">
        <v>15</v>
      </c>
      <c r="D27" s="4">
        <v>3</v>
      </c>
      <c r="E27" s="6">
        <v>1.4</v>
      </c>
      <c r="F27" s="4">
        <v>2000</v>
      </c>
      <c r="G27" s="4">
        <v>1000</v>
      </c>
      <c r="H27" s="20">
        <f t="shared" ref="H27:H32" si="8">(D27/100)/E27</f>
        <v>2.1428571428571429E-2</v>
      </c>
      <c r="I27" s="34">
        <f t="shared" si="6"/>
        <v>46.666666666666664</v>
      </c>
      <c r="J27" s="24">
        <f t="shared" si="7"/>
        <v>60000</v>
      </c>
      <c r="L27" s="4"/>
      <c r="N27" s="45" t="s">
        <v>47</v>
      </c>
      <c r="O27" s="38" t="s">
        <v>47</v>
      </c>
      <c r="P27" s="39" t="s">
        <v>47</v>
      </c>
    </row>
    <row r="28" spans="3:18" ht="14.4" thickBot="1" x14ac:dyDescent="0.3">
      <c r="C28" s="13" t="s">
        <v>29</v>
      </c>
      <c r="D28" s="4">
        <v>8</v>
      </c>
      <c r="E28" s="4">
        <v>1.06</v>
      </c>
      <c r="F28" s="4">
        <v>2000</v>
      </c>
      <c r="G28" s="4">
        <v>1000</v>
      </c>
      <c r="H28" s="20">
        <f>(D28/100)/E28</f>
        <v>7.5471698113207544E-2</v>
      </c>
      <c r="I28" s="34">
        <f t="shared" si="6"/>
        <v>13.25</v>
      </c>
      <c r="J28" s="24">
        <f t="shared" si="7"/>
        <v>160000</v>
      </c>
      <c r="L28" s="4"/>
      <c r="N28" s="51">
        <f>1/N25</f>
        <v>1099.2049999999999</v>
      </c>
      <c r="O28" s="52">
        <f t="shared" ref="O28:P28" si="9">1/O25</f>
        <v>161.859375</v>
      </c>
      <c r="P28" s="53">
        <f t="shared" si="9"/>
        <v>555.75848284837775</v>
      </c>
    </row>
    <row r="29" spans="3:18" x14ac:dyDescent="0.25">
      <c r="C29" s="61" t="s">
        <v>31</v>
      </c>
      <c r="D29" s="63">
        <v>3.2</v>
      </c>
      <c r="E29" s="63">
        <v>4.4999999999999998E-2</v>
      </c>
      <c r="F29" s="63">
        <v>35</v>
      </c>
      <c r="G29" s="63">
        <v>1220</v>
      </c>
      <c r="H29" s="67">
        <f t="shared" si="8"/>
        <v>0.71111111111111114</v>
      </c>
      <c r="I29" s="66">
        <f t="shared" si="6"/>
        <v>1.40625</v>
      </c>
      <c r="J29" s="64">
        <f t="shared" si="7"/>
        <v>1366.4</v>
      </c>
      <c r="L29" s="4"/>
      <c r="N29" s="69"/>
      <c r="O29" s="69"/>
      <c r="P29" s="69"/>
    </row>
    <row r="30" spans="3:18" ht="14.4" thickBot="1" x14ac:dyDescent="0.3">
      <c r="C30" s="13" t="s">
        <v>30</v>
      </c>
      <c r="D30" s="4">
        <v>20</v>
      </c>
      <c r="E30" s="4">
        <v>1.91</v>
      </c>
      <c r="F30" s="4">
        <v>2400</v>
      </c>
      <c r="G30" s="4">
        <v>1000</v>
      </c>
      <c r="H30" s="89">
        <f t="shared" si="8"/>
        <v>0.10471204188481677</v>
      </c>
      <c r="I30" s="34">
        <f t="shared" si="6"/>
        <v>9.5499999999999989</v>
      </c>
      <c r="J30" s="24">
        <f t="shared" si="7"/>
        <v>480000</v>
      </c>
    </row>
    <row r="31" spans="3:18" ht="16.2" x14ac:dyDescent="0.25">
      <c r="C31" s="13"/>
      <c r="D31" s="4"/>
      <c r="F31" s="4"/>
      <c r="G31" s="4"/>
      <c r="H31" s="20"/>
      <c r="I31" s="34"/>
      <c r="J31" s="24"/>
      <c r="L31" s="47" t="s">
        <v>37</v>
      </c>
      <c r="M31" s="9" t="s">
        <v>20</v>
      </c>
      <c r="N31" s="47" t="s">
        <v>67</v>
      </c>
      <c r="P31" s="47" t="s">
        <v>77</v>
      </c>
      <c r="Q31" s="47" t="s">
        <v>79</v>
      </c>
    </row>
    <row r="32" spans="3:18" ht="17.399999999999999" thickBot="1" x14ac:dyDescent="0.3">
      <c r="C32" s="25" t="s">
        <v>25</v>
      </c>
      <c r="D32" s="14">
        <v>0</v>
      </c>
      <c r="E32" s="30">
        <v>0.9</v>
      </c>
      <c r="F32" s="14">
        <v>1800</v>
      </c>
      <c r="G32" s="14">
        <v>1000</v>
      </c>
      <c r="H32" s="58">
        <f t="shared" si="8"/>
        <v>0</v>
      </c>
      <c r="I32" s="35" t="e">
        <f t="shared" si="6"/>
        <v>#DIV/0!</v>
      </c>
      <c r="J32" s="26">
        <f t="shared" si="7"/>
        <v>0</v>
      </c>
      <c r="L32" s="48" t="s">
        <v>38</v>
      </c>
      <c r="M32" s="46" t="s">
        <v>32</v>
      </c>
      <c r="N32" s="54" t="s">
        <v>40</v>
      </c>
      <c r="P32" s="48" t="s">
        <v>78</v>
      </c>
      <c r="Q32" s="54" t="s">
        <v>51</v>
      </c>
    </row>
    <row r="33" spans="3:17" ht="14.4" thickBot="1" x14ac:dyDescent="0.3">
      <c r="L33" s="49">
        <v>24.9</v>
      </c>
      <c r="M33" s="55">
        <v>2.8</v>
      </c>
      <c r="N33" s="70">
        <f>1/N36</f>
        <v>1.4343086632243263E-2</v>
      </c>
      <c r="P33" s="49">
        <v>725</v>
      </c>
      <c r="Q33" s="91">
        <f>1.204*1012*P33/1000</f>
        <v>883.37479999999994</v>
      </c>
    </row>
    <row r="34" spans="3:17" ht="16.2" x14ac:dyDescent="0.25">
      <c r="C34" s="1"/>
      <c r="N34" s="47" t="s">
        <v>68</v>
      </c>
    </row>
    <row r="35" spans="3:17" ht="14.4" thickBot="1" x14ac:dyDescent="0.3">
      <c r="C35" s="1"/>
      <c r="N35" s="54" t="s">
        <v>47</v>
      </c>
    </row>
    <row r="36" spans="3:17" ht="14.4" thickBot="1" x14ac:dyDescent="0.3">
      <c r="C36" s="1"/>
      <c r="N36" s="71">
        <f>M33*L33</f>
        <v>69.719999999999985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04B-DB87-4C30-9E06-1B8E2277F863}">
  <dimension ref="A1:Q38"/>
  <sheetViews>
    <sheetView tabSelected="1" topLeftCell="A2" zoomScale="80" zoomScaleNormal="80" workbookViewId="0">
      <selection activeCell="D31" sqref="D31"/>
    </sheetView>
  </sheetViews>
  <sheetFormatPr defaultRowHeight="13.8" x14ac:dyDescent="0.25"/>
  <cols>
    <col min="1" max="2" width="16" style="1" customWidth="1"/>
    <col min="3" max="3" width="47.21875" style="2" customWidth="1"/>
    <col min="4" max="4" width="8.88671875" style="2"/>
    <col min="5" max="5" width="10.6640625" style="2" customWidth="1"/>
    <col min="6" max="6" width="16.21875" style="2" customWidth="1"/>
    <col min="7" max="7" width="14.109375" style="2" customWidth="1"/>
    <col min="8" max="8" width="11.88671875" style="2" customWidth="1"/>
    <col min="9" max="9" width="16.21875" style="2" customWidth="1"/>
    <col min="10" max="11" width="14.109375" style="2" customWidth="1"/>
    <col min="12" max="12" width="8.88671875" style="2"/>
    <col min="13" max="13" width="11.5546875" style="2" bestFit="1" customWidth="1"/>
    <col min="14" max="15" width="8.88671875" style="2"/>
    <col min="16" max="16" width="12.5546875" style="2" bestFit="1" customWidth="1"/>
    <col min="17" max="16384" width="8.88671875" style="2"/>
  </cols>
  <sheetData>
    <row r="1" spans="1:16" ht="14.4" thickBot="1" x14ac:dyDescent="0.3">
      <c r="C1" s="2" t="s">
        <v>10</v>
      </c>
      <c r="D1" s="3" t="s">
        <v>11</v>
      </c>
    </row>
    <row r="2" spans="1:16" ht="18.600000000000001" customHeight="1" x14ac:dyDescent="0.25">
      <c r="A2" s="1" t="s">
        <v>9</v>
      </c>
      <c r="C2" s="8" t="s">
        <v>0</v>
      </c>
      <c r="D2" s="8" t="s">
        <v>19</v>
      </c>
      <c r="E2" s="9" t="s">
        <v>1</v>
      </c>
      <c r="F2" s="9" t="s">
        <v>2</v>
      </c>
      <c r="G2" s="21" t="s">
        <v>3</v>
      </c>
      <c r="H2" s="8" t="s">
        <v>4</v>
      </c>
      <c r="I2" s="9" t="s">
        <v>36</v>
      </c>
      <c r="J2" s="21" t="s">
        <v>18</v>
      </c>
      <c r="K2" s="11"/>
      <c r="L2" s="47" t="s">
        <v>37</v>
      </c>
      <c r="M2" s="9" t="s">
        <v>20</v>
      </c>
      <c r="N2" s="8" t="s">
        <v>41</v>
      </c>
      <c r="O2" s="21" t="s">
        <v>43</v>
      </c>
      <c r="P2" s="47" t="s">
        <v>73</v>
      </c>
    </row>
    <row r="3" spans="1:16" ht="14.4" customHeight="1" thickBot="1" x14ac:dyDescent="0.3">
      <c r="A3" s="4"/>
      <c r="B3" s="4"/>
      <c r="C3" s="36" t="s">
        <v>5</v>
      </c>
      <c r="D3" s="36" t="s">
        <v>6</v>
      </c>
      <c r="E3" s="7" t="s">
        <v>17</v>
      </c>
      <c r="F3" s="7" t="s">
        <v>8</v>
      </c>
      <c r="G3" s="37" t="s">
        <v>7</v>
      </c>
      <c r="H3" s="45" t="s">
        <v>21</v>
      </c>
      <c r="I3" s="46" t="s">
        <v>32</v>
      </c>
      <c r="J3" s="39" t="s">
        <v>22</v>
      </c>
      <c r="K3" s="7"/>
      <c r="L3" s="48" t="s">
        <v>38</v>
      </c>
      <c r="M3" s="46" t="s">
        <v>32</v>
      </c>
      <c r="N3" s="45" t="s">
        <v>40</v>
      </c>
      <c r="O3" s="39" t="s">
        <v>40</v>
      </c>
      <c r="P3" s="54" t="s">
        <v>49</v>
      </c>
    </row>
    <row r="4" spans="1:16" ht="14.4" thickBot="1" x14ac:dyDescent="0.3">
      <c r="C4" s="28" t="s">
        <v>33</v>
      </c>
      <c r="D4" s="28" t="s">
        <v>35</v>
      </c>
      <c r="E4" s="31" t="s">
        <v>35</v>
      </c>
      <c r="F4" s="31" t="s">
        <v>35</v>
      </c>
      <c r="G4" s="32" t="s">
        <v>35</v>
      </c>
      <c r="H4" s="40">
        <f>1/5.9</f>
        <v>0.16949152542372881</v>
      </c>
      <c r="I4" s="33">
        <f>1/H4</f>
        <v>5.9</v>
      </c>
      <c r="J4" s="32" t="s">
        <v>35</v>
      </c>
      <c r="K4" s="1"/>
      <c r="L4" s="49">
        <v>97.6</v>
      </c>
      <c r="M4" s="55">
        <f>1/(H4+H5+H6+H9+H10)</f>
        <v>2.2031464630074997</v>
      </c>
      <c r="N4" s="56">
        <f>(H6+H5+H10)/L4</f>
        <v>2.9139832162373151E-3</v>
      </c>
      <c r="O4" s="57">
        <f>(H4)/L4</f>
        <v>1.7365934981939427E-3</v>
      </c>
      <c r="P4" s="98">
        <f>(J5+J6+J7+J8+J9)*L4</f>
        <v>27328000</v>
      </c>
    </row>
    <row r="5" spans="1:16" ht="16.2" x14ac:dyDescent="0.25">
      <c r="C5" s="12" t="s">
        <v>13</v>
      </c>
      <c r="D5" s="23">
        <v>2</v>
      </c>
      <c r="E5" s="4">
        <v>0.7</v>
      </c>
      <c r="F5" s="4">
        <v>1400</v>
      </c>
      <c r="G5" s="24">
        <v>1000</v>
      </c>
      <c r="H5" s="41">
        <f>(D5/100)/E5</f>
        <v>2.8571428571428574E-2</v>
      </c>
      <c r="I5" s="34">
        <f t="shared" ref="I5:I10" si="0">1/H5</f>
        <v>35</v>
      </c>
      <c r="J5" s="24">
        <f>F5*(D5/100)*G5</f>
        <v>28000</v>
      </c>
      <c r="K5" s="4"/>
      <c r="L5" s="4"/>
      <c r="M5" s="68">
        <f>M4-(1/(N4+O4)/L4)</f>
        <v>0</v>
      </c>
      <c r="N5" s="8" t="s">
        <v>44</v>
      </c>
      <c r="O5" s="21" t="s">
        <v>46</v>
      </c>
    </row>
    <row r="6" spans="1:16" ht="14.4" thickBot="1" x14ac:dyDescent="0.3">
      <c r="C6" s="13" t="s">
        <v>12</v>
      </c>
      <c r="D6" s="23">
        <v>14</v>
      </c>
      <c r="E6" s="6">
        <v>0.64864864864864868</v>
      </c>
      <c r="F6" s="4">
        <v>1800</v>
      </c>
      <c r="G6" s="24">
        <v>1000</v>
      </c>
      <c r="H6" s="41">
        <f>(D6/100)/E6</f>
        <v>0.21583333333333335</v>
      </c>
      <c r="I6" s="34">
        <f t="shared" si="0"/>
        <v>4.6332046332046328</v>
      </c>
      <c r="J6" s="24">
        <f>F6*(D6/100)*G6</f>
        <v>252000.00000000003</v>
      </c>
      <c r="K6" s="4"/>
      <c r="L6" s="4"/>
      <c r="N6" s="45" t="s">
        <v>47</v>
      </c>
      <c r="O6" s="39" t="s">
        <v>47</v>
      </c>
    </row>
    <row r="7" spans="1:16" ht="14.4" thickBot="1" x14ac:dyDescent="0.3">
      <c r="C7" s="76" t="s">
        <v>14</v>
      </c>
      <c r="D7" s="77"/>
      <c r="E7" s="78">
        <v>1.91</v>
      </c>
      <c r="F7" s="78">
        <v>2400</v>
      </c>
      <c r="G7" s="79">
        <v>1000</v>
      </c>
      <c r="H7" s="80" t="s">
        <v>35</v>
      </c>
      <c r="I7" s="81" t="s">
        <v>35</v>
      </c>
      <c r="J7" s="79">
        <f>F7*(D7/100)*G7</f>
        <v>0</v>
      </c>
      <c r="K7" s="4"/>
      <c r="L7" s="4"/>
      <c r="N7" s="51">
        <f>1/N4</f>
        <v>343.17287568020083</v>
      </c>
      <c r="O7" s="53">
        <f t="shared" ref="O7" si="1">1/O4</f>
        <v>575.84</v>
      </c>
    </row>
    <row r="8" spans="1:16" x14ac:dyDescent="0.25">
      <c r="C8" s="76" t="s">
        <v>15</v>
      </c>
      <c r="D8" s="77"/>
      <c r="E8" s="78"/>
      <c r="F8" s="78"/>
      <c r="G8" s="79"/>
      <c r="H8" s="77" t="s">
        <v>35</v>
      </c>
      <c r="I8" s="81" t="s">
        <v>35</v>
      </c>
      <c r="J8" s="79">
        <f t="shared" ref="J8:J9" si="2">F8*(D8/100)*G8</f>
        <v>0</v>
      </c>
      <c r="K8" s="4"/>
      <c r="L8" s="4"/>
    </row>
    <row r="9" spans="1:16" x14ac:dyDescent="0.25">
      <c r="C9" s="76" t="s">
        <v>16</v>
      </c>
      <c r="D9" s="77">
        <v>0</v>
      </c>
      <c r="E9" s="78">
        <v>0</v>
      </c>
      <c r="F9" s="78">
        <v>0</v>
      </c>
      <c r="G9" s="79">
        <v>0</v>
      </c>
      <c r="H9" s="82">
        <v>0</v>
      </c>
      <c r="I9" s="81">
        <v>0</v>
      </c>
      <c r="J9" s="79">
        <f t="shared" si="2"/>
        <v>0</v>
      </c>
      <c r="K9" s="4"/>
      <c r="L9" s="4"/>
    </row>
    <row r="10" spans="1:16" ht="14.4" thickBot="1" x14ac:dyDescent="0.3">
      <c r="C10" s="83" t="s">
        <v>34</v>
      </c>
      <c r="D10" s="84" t="s">
        <v>35</v>
      </c>
      <c r="E10" s="85" t="s">
        <v>35</v>
      </c>
      <c r="F10" s="85" t="s">
        <v>35</v>
      </c>
      <c r="G10" s="86" t="s">
        <v>35</v>
      </c>
      <c r="H10" s="42">
        <v>0.04</v>
      </c>
      <c r="I10" s="87">
        <f t="shared" si="0"/>
        <v>25</v>
      </c>
      <c r="J10" s="86" t="s">
        <v>35</v>
      </c>
      <c r="K10" s="4"/>
      <c r="L10" s="4"/>
    </row>
    <row r="11" spans="1:16" x14ac:dyDescent="0.25">
      <c r="C11" s="5"/>
    </row>
    <row r="12" spans="1:16" ht="14.4" thickBot="1" x14ac:dyDescent="0.3">
      <c r="C12" s="2" t="s">
        <v>10</v>
      </c>
      <c r="D12" s="3" t="s">
        <v>26</v>
      </c>
    </row>
    <row r="13" spans="1:16" ht="16.2" x14ac:dyDescent="0.25">
      <c r="C13" s="8" t="s">
        <v>0</v>
      </c>
      <c r="D13" s="9" t="s">
        <v>19</v>
      </c>
      <c r="E13" s="9" t="s">
        <v>1</v>
      </c>
      <c r="F13" s="9" t="s">
        <v>2</v>
      </c>
      <c r="G13" s="9" t="s">
        <v>3</v>
      </c>
      <c r="H13" s="9" t="s">
        <v>4</v>
      </c>
      <c r="I13" s="9" t="s">
        <v>36</v>
      </c>
      <c r="J13" s="21" t="s">
        <v>18</v>
      </c>
      <c r="L13" s="47" t="s">
        <v>37</v>
      </c>
      <c r="M13" s="9" t="s">
        <v>20</v>
      </c>
      <c r="N13" s="8" t="s">
        <v>39</v>
      </c>
      <c r="O13" s="9" t="s">
        <v>53</v>
      </c>
      <c r="P13" s="47" t="s">
        <v>74</v>
      </c>
    </row>
    <row r="14" spans="1:16" ht="17.399999999999999" thickBot="1" x14ac:dyDescent="0.3">
      <c r="C14" s="15" t="s">
        <v>5</v>
      </c>
      <c r="D14" s="16" t="s">
        <v>6</v>
      </c>
      <c r="E14" s="16" t="s">
        <v>17</v>
      </c>
      <c r="F14" s="16" t="s">
        <v>8</v>
      </c>
      <c r="G14" s="16" t="s">
        <v>7</v>
      </c>
      <c r="H14" s="16" t="s">
        <v>21</v>
      </c>
      <c r="I14" s="46" t="s">
        <v>32</v>
      </c>
      <c r="J14" s="22" t="s">
        <v>22</v>
      </c>
      <c r="L14" s="48" t="s">
        <v>38</v>
      </c>
      <c r="M14" s="46" t="s">
        <v>32</v>
      </c>
      <c r="N14" s="45" t="s">
        <v>40</v>
      </c>
      <c r="O14" s="39" t="s">
        <v>40</v>
      </c>
      <c r="P14" s="54" t="s">
        <v>49</v>
      </c>
    </row>
    <row r="15" spans="1:16" ht="14.4" thickBot="1" x14ac:dyDescent="0.3">
      <c r="C15" s="17" t="s">
        <v>33</v>
      </c>
      <c r="D15" s="28" t="s">
        <v>35</v>
      </c>
      <c r="E15" s="31" t="s">
        <v>35</v>
      </c>
      <c r="F15" s="31" t="s">
        <v>35</v>
      </c>
      <c r="G15" s="32" t="s">
        <v>35</v>
      </c>
      <c r="H15" s="34">
        <f>1/7.7</f>
        <v>0.12987012987012986</v>
      </c>
      <c r="I15" s="33">
        <f>1/H15</f>
        <v>7.7000000000000011</v>
      </c>
      <c r="J15" s="21" t="s">
        <v>35</v>
      </c>
      <c r="L15" s="60">
        <v>232.1</v>
      </c>
      <c r="M15" s="55">
        <f>1/(H15+H16+H17+H18+H19+H20+H21)</f>
        <v>1.4788101233408733</v>
      </c>
      <c r="N15" s="56">
        <f>(H17+H16+H18+H19+H20+H21)/L15</f>
        <v>2.3539388468298422E-3</v>
      </c>
      <c r="O15" s="57">
        <f>(H15)/L15</f>
        <v>5.5954385984545397E-4</v>
      </c>
      <c r="P15" s="98">
        <f>(J16+J17+J18+J19+J20)*L15</f>
        <v>151886240</v>
      </c>
    </row>
    <row r="16" spans="1:16" ht="16.2" x14ac:dyDescent="0.25">
      <c r="C16" s="74" t="s">
        <v>13</v>
      </c>
      <c r="D16" s="23">
        <v>2</v>
      </c>
      <c r="E16" s="4">
        <v>0.7</v>
      </c>
      <c r="F16" s="4">
        <v>1400</v>
      </c>
      <c r="G16" s="24">
        <v>1000</v>
      </c>
      <c r="H16" s="20">
        <f>(D16/100)/E16</f>
        <v>2.8571428571428574E-2</v>
      </c>
      <c r="I16" s="34">
        <f t="shared" ref="I16:I19" si="3">1/H16</f>
        <v>35</v>
      </c>
      <c r="J16" s="24">
        <f>F16*(D16/100)*G16</f>
        <v>28000</v>
      </c>
      <c r="L16" s="4"/>
      <c r="M16" s="68">
        <f>M15-(1/(N15+O15)/L15)</f>
        <v>0</v>
      </c>
      <c r="N16" s="8" t="s">
        <v>56</v>
      </c>
      <c r="O16" s="21" t="s">
        <v>58</v>
      </c>
    </row>
    <row r="17" spans="3:17" ht="14.4" thickBot="1" x14ac:dyDescent="0.3">
      <c r="C17" s="75" t="s">
        <v>76</v>
      </c>
      <c r="D17" s="92">
        <v>32.799999999999997</v>
      </c>
      <c r="E17" s="6">
        <v>0.72</v>
      </c>
      <c r="F17" s="4">
        <v>1800</v>
      </c>
      <c r="G17" s="24">
        <v>1000</v>
      </c>
      <c r="H17" s="20">
        <f>(D17/100)/E17</f>
        <v>0.45555555555555549</v>
      </c>
      <c r="I17" s="34">
        <f t="shared" si="3"/>
        <v>2.1951219512195124</v>
      </c>
      <c r="J17" s="24">
        <f>F17*(D17/100)*G17</f>
        <v>590400</v>
      </c>
      <c r="L17" s="4"/>
      <c r="N17" s="45" t="s">
        <v>47</v>
      </c>
      <c r="O17" s="39" t="s">
        <v>47</v>
      </c>
    </row>
    <row r="18" spans="3:17" ht="14.4" thickBot="1" x14ac:dyDescent="0.3">
      <c r="C18" s="75" t="s">
        <v>25</v>
      </c>
      <c r="D18" s="23">
        <v>2</v>
      </c>
      <c r="E18" s="4">
        <v>0.9</v>
      </c>
      <c r="F18" s="4">
        <v>1800</v>
      </c>
      <c r="G18" s="24">
        <v>1000</v>
      </c>
      <c r="H18" s="20">
        <f>(D18/100)/E18</f>
        <v>2.2222222222222223E-2</v>
      </c>
      <c r="I18" s="34">
        <f t="shared" si="3"/>
        <v>45</v>
      </c>
      <c r="J18" s="24">
        <f>F18*(D18/100)*G18</f>
        <v>36000</v>
      </c>
      <c r="L18" s="4"/>
      <c r="N18" s="51">
        <f>1/N15</f>
        <v>424.81987216734456</v>
      </c>
      <c r="O18" s="53">
        <f t="shared" ref="O18" si="4">1/O15</f>
        <v>1787.17</v>
      </c>
    </row>
    <row r="19" spans="3:17" x14ac:dyDescent="0.25">
      <c r="C19" s="18" t="s">
        <v>33</v>
      </c>
      <c r="D19" s="23" t="s">
        <v>35</v>
      </c>
      <c r="E19" s="4" t="s">
        <v>35</v>
      </c>
      <c r="F19" s="4" t="s">
        <v>35</v>
      </c>
      <c r="G19" s="24" t="s">
        <v>35</v>
      </c>
      <c r="H19" s="20">
        <v>0.04</v>
      </c>
      <c r="I19" s="34">
        <f t="shared" si="3"/>
        <v>25</v>
      </c>
      <c r="J19" s="24"/>
    </row>
    <row r="20" spans="3:17" x14ac:dyDescent="0.25">
      <c r="C20" s="75"/>
      <c r="D20" s="23"/>
      <c r="E20" s="4"/>
      <c r="F20" s="4"/>
      <c r="G20" s="24"/>
      <c r="H20" s="20"/>
      <c r="I20" s="34"/>
      <c r="J20" s="24"/>
    </row>
    <row r="21" spans="3:17" ht="14.4" thickBot="1" x14ac:dyDescent="0.3">
      <c r="C21" s="19"/>
      <c r="D21" s="25"/>
      <c r="E21" s="14"/>
      <c r="F21" s="14"/>
      <c r="G21" s="26"/>
      <c r="H21" s="58"/>
      <c r="I21" s="35"/>
      <c r="J21" s="26"/>
    </row>
    <row r="22" spans="3:17" ht="14.4" thickBot="1" x14ac:dyDescent="0.3">
      <c r="C22" s="2" t="s">
        <v>10</v>
      </c>
      <c r="D22" s="3" t="s">
        <v>27</v>
      </c>
    </row>
    <row r="23" spans="3:17" ht="16.2" x14ac:dyDescent="0.25">
      <c r="C23" s="8" t="s">
        <v>0</v>
      </c>
      <c r="D23" s="9" t="s">
        <v>19</v>
      </c>
      <c r="E23" s="9" t="s">
        <v>1</v>
      </c>
      <c r="F23" s="9" t="s">
        <v>2</v>
      </c>
      <c r="G23" s="9" t="s">
        <v>3</v>
      </c>
      <c r="H23" s="9" t="s">
        <v>4</v>
      </c>
      <c r="I23" s="9" t="s">
        <v>36</v>
      </c>
      <c r="J23" s="21" t="s">
        <v>18</v>
      </c>
      <c r="L23" s="47" t="s">
        <v>37</v>
      </c>
      <c r="M23" s="9" t="s">
        <v>20</v>
      </c>
      <c r="N23" s="8" t="s">
        <v>59</v>
      </c>
      <c r="O23" s="21" t="s">
        <v>61</v>
      </c>
      <c r="P23" s="47" t="s">
        <v>75</v>
      </c>
    </row>
    <row r="24" spans="3:17" ht="17.399999999999999" thickBot="1" x14ac:dyDescent="0.3">
      <c r="C24" s="15" t="s">
        <v>5</v>
      </c>
      <c r="D24" s="16" t="s">
        <v>6</v>
      </c>
      <c r="E24" s="16" t="s">
        <v>17</v>
      </c>
      <c r="F24" s="16" t="s">
        <v>8</v>
      </c>
      <c r="G24" s="16" t="s">
        <v>7</v>
      </c>
      <c r="H24" s="16" t="s">
        <v>21</v>
      </c>
      <c r="I24" s="46" t="s">
        <v>32</v>
      </c>
      <c r="J24" s="22" t="s">
        <v>22</v>
      </c>
      <c r="L24" s="48" t="s">
        <v>38</v>
      </c>
      <c r="M24" s="46" t="s">
        <v>32</v>
      </c>
      <c r="N24" s="45" t="s">
        <v>40</v>
      </c>
      <c r="O24" s="39" t="s">
        <v>40</v>
      </c>
      <c r="P24" s="54" t="s">
        <v>49</v>
      </c>
    </row>
    <row r="25" spans="3:17" ht="14.4" thickBot="1" x14ac:dyDescent="0.3">
      <c r="C25" s="43" t="s">
        <v>33</v>
      </c>
      <c r="D25" s="1" t="s">
        <v>35</v>
      </c>
      <c r="E25" s="1" t="s">
        <v>35</v>
      </c>
      <c r="F25" s="1" t="s">
        <v>35</v>
      </c>
      <c r="G25" s="1" t="s">
        <v>35</v>
      </c>
      <c r="H25" s="34">
        <f>1/10</f>
        <v>0.1</v>
      </c>
      <c r="I25" s="34">
        <f>1/H25</f>
        <v>10</v>
      </c>
      <c r="J25" s="59" t="s">
        <v>35</v>
      </c>
      <c r="K25" s="10"/>
      <c r="L25" s="49">
        <v>84.6</v>
      </c>
      <c r="M25" s="55">
        <f>1/(H25+H26+H27+H28+H29+H30+H31)</f>
        <v>1.9984750648060639</v>
      </c>
      <c r="N25" s="56">
        <f>(H27+H26+H28+H29+H30+H31)/L25</f>
        <v>4.7326421359184896E-3</v>
      </c>
      <c r="O25" s="57">
        <f>(H25)/L25</f>
        <v>1.1820330969267141E-3</v>
      </c>
      <c r="P25" s="98">
        <f>(J26+J27+J28+J29+J30+J31)*L25</f>
        <v>90987300</v>
      </c>
    </row>
    <row r="26" spans="3:17" ht="16.2" x14ac:dyDescent="0.25">
      <c r="C26" s="88" t="s">
        <v>28</v>
      </c>
      <c r="D26" s="78">
        <v>1.5</v>
      </c>
      <c r="E26" s="78">
        <v>1.47</v>
      </c>
      <c r="F26" s="78">
        <v>1700</v>
      </c>
      <c r="G26" s="78">
        <v>1000</v>
      </c>
      <c r="H26" s="89">
        <f>(D26/100)/E26</f>
        <v>1.020408163265306E-2</v>
      </c>
      <c r="I26" s="81">
        <f t="shared" ref="I26:I31" si="5">1/H26</f>
        <v>98.000000000000014</v>
      </c>
      <c r="J26" s="79">
        <f t="shared" ref="J26:J31" si="6">F26*(D26/100)*G26</f>
        <v>25500</v>
      </c>
      <c r="L26" s="4"/>
      <c r="M26" s="68">
        <f>M25-(1/(N25+O25)/L25)</f>
        <v>0</v>
      </c>
      <c r="N26" s="8" t="s">
        <v>66</v>
      </c>
      <c r="O26" s="21" t="s">
        <v>64</v>
      </c>
    </row>
    <row r="27" spans="3:17" ht="14.4" thickBot="1" x14ac:dyDescent="0.3">
      <c r="C27" s="76" t="s">
        <v>15</v>
      </c>
      <c r="D27" s="78">
        <v>3</v>
      </c>
      <c r="E27" s="90">
        <v>1.4</v>
      </c>
      <c r="F27" s="78">
        <v>2000</v>
      </c>
      <c r="G27" s="78">
        <v>1000</v>
      </c>
      <c r="H27" s="89">
        <f t="shared" ref="H27:H28" si="7">(D27/100)/E27</f>
        <v>2.1428571428571429E-2</v>
      </c>
      <c r="I27" s="81">
        <f t="shared" si="5"/>
        <v>46.666666666666664</v>
      </c>
      <c r="J27" s="79">
        <f t="shared" si="6"/>
        <v>60000</v>
      </c>
      <c r="L27" s="4"/>
      <c r="N27" s="45" t="s">
        <v>47</v>
      </c>
      <c r="O27" s="39" t="s">
        <v>47</v>
      </c>
    </row>
    <row r="28" spans="3:17" ht="14.4" thickBot="1" x14ac:dyDescent="0.3">
      <c r="C28" s="76" t="s">
        <v>71</v>
      </c>
      <c r="D28" s="78">
        <v>10</v>
      </c>
      <c r="E28" s="78">
        <v>0.57999999999999996</v>
      </c>
      <c r="F28" s="78">
        <v>900</v>
      </c>
      <c r="G28" s="78">
        <v>1000</v>
      </c>
      <c r="H28" s="89">
        <f t="shared" si="7"/>
        <v>0.17241379310344829</v>
      </c>
      <c r="I28" s="81">
        <f t="shared" si="5"/>
        <v>5.8</v>
      </c>
      <c r="J28" s="79">
        <f t="shared" si="6"/>
        <v>90000</v>
      </c>
      <c r="L28" s="4"/>
      <c r="N28" s="51">
        <f>1/N25</f>
        <v>211.29846104578212</v>
      </c>
      <c r="O28" s="53">
        <f t="shared" ref="O28" si="8">1/O25</f>
        <v>845.99999999999989</v>
      </c>
    </row>
    <row r="29" spans="3:17" x14ac:dyDescent="0.25">
      <c r="C29" s="76" t="s">
        <v>31</v>
      </c>
      <c r="D29" s="78">
        <v>0</v>
      </c>
      <c r="E29" s="78">
        <v>0</v>
      </c>
      <c r="F29" s="78">
        <v>0</v>
      </c>
      <c r="G29" s="78">
        <v>0</v>
      </c>
      <c r="H29" s="89">
        <v>0</v>
      </c>
      <c r="I29" s="81">
        <v>0</v>
      </c>
      <c r="J29" s="79">
        <f t="shared" si="6"/>
        <v>0</v>
      </c>
      <c r="L29" s="4"/>
      <c r="N29" s="69"/>
      <c r="O29" s="69"/>
    </row>
    <row r="30" spans="3:17" ht="14.4" thickBot="1" x14ac:dyDescent="0.3">
      <c r="C30" s="76" t="s">
        <v>72</v>
      </c>
      <c r="D30" s="78">
        <v>37.5</v>
      </c>
      <c r="E30" s="89">
        <v>1.91</v>
      </c>
      <c r="F30" s="78">
        <v>2400</v>
      </c>
      <c r="G30" s="78">
        <v>1000</v>
      </c>
      <c r="H30" s="89">
        <f>(D30/100)/E30</f>
        <v>0.19633507853403143</v>
      </c>
      <c r="I30" s="81">
        <f t="shared" si="5"/>
        <v>5.0933333333333328</v>
      </c>
      <c r="J30" s="79">
        <f t="shared" si="6"/>
        <v>900000</v>
      </c>
    </row>
    <row r="31" spans="3:17" ht="16.8" thickBot="1" x14ac:dyDescent="0.3">
      <c r="C31" s="25" t="s">
        <v>25</v>
      </c>
      <c r="D31" s="14">
        <v>0</v>
      </c>
      <c r="E31" s="30">
        <v>0.9</v>
      </c>
      <c r="F31" s="14">
        <v>1800</v>
      </c>
      <c r="G31" s="14">
        <v>1000</v>
      </c>
      <c r="H31" s="58">
        <f t="shared" ref="H31" si="9">(D31/100)/E31</f>
        <v>0</v>
      </c>
      <c r="I31" s="35" t="e">
        <f t="shared" si="5"/>
        <v>#DIV/0!</v>
      </c>
      <c r="J31" s="26">
        <f t="shared" si="6"/>
        <v>0</v>
      </c>
      <c r="L31" s="47" t="s">
        <v>37</v>
      </c>
      <c r="M31" s="9" t="s">
        <v>20</v>
      </c>
      <c r="N31" s="47" t="s">
        <v>67</v>
      </c>
      <c r="P31" s="47" t="s">
        <v>77</v>
      </c>
      <c r="Q31" s="47" t="s">
        <v>79</v>
      </c>
    </row>
    <row r="32" spans="3:17" ht="17.399999999999999" thickBot="1" x14ac:dyDescent="0.3">
      <c r="L32" s="48" t="s">
        <v>38</v>
      </c>
      <c r="M32" s="46" t="s">
        <v>32</v>
      </c>
      <c r="N32" s="54" t="s">
        <v>40</v>
      </c>
      <c r="P32" s="48" t="s">
        <v>78</v>
      </c>
      <c r="Q32" s="54" t="s">
        <v>51</v>
      </c>
    </row>
    <row r="33" spans="3:17" ht="14.4" thickBot="1" x14ac:dyDescent="0.3">
      <c r="C33" s="1"/>
      <c r="L33" s="49">
        <v>20.3</v>
      </c>
      <c r="M33" s="55">
        <v>4.9000000000000004</v>
      </c>
      <c r="N33" s="70">
        <f>1/N36</f>
        <v>1.0053282396702522E-2</v>
      </c>
      <c r="P33" s="49">
        <v>583</v>
      </c>
      <c r="Q33" s="91">
        <f>1.204*1012*P33/1000</f>
        <v>710.35518399999989</v>
      </c>
    </row>
    <row r="34" spans="3:17" ht="16.2" x14ac:dyDescent="0.25">
      <c r="C34" s="1"/>
      <c r="N34" s="47" t="s">
        <v>68</v>
      </c>
    </row>
    <row r="35" spans="3:17" ht="14.4" thickBot="1" x14ac:dyDescent="0.3">
      <c r="C35" s="1"/>
      <c r="N35" s="54" t="s">
        <v>47</v>
      </c>
    </row>
    <row r="36" spans="3:17" ht="14.4" thickBot="1" x14ac:dyDescent="0.3">
      <c r="N36" s="71">
        <f>M33*L33</f>
        <v>99.470000000000013</v>
      </c>
    </row>
    <row r="38" spans="3:17" x14ac:dyDescent="0.25">
      <c r="J38" s="2" t="s">
        <v>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SHF06(Floor)</vt:lpstr>
      <vt:lpstr>SHF06</vt:lpstr>
      <vt:lpstr>SHF91-05</vt:lpstr>
      <vt:lpstr>SHF90</vt:lpstr>
      <vt:lpstr>SHF60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Utente</cp:lastModifiedBy>
  <dcterms:created xsi:type="dcterms:W3CDTF">2015-06-05T18:19:34Z</dcterms:created>
  <dcterms:modified xsi:type="dcterms:W3CDTF">2023-02-21T21:46:54Z</dcterms:modified>
</cp:coreProperties>
</file>