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ZMwLvN7wX5xBC50/+jV6jqmM3UBvZEQaDeW2r6D7gaM="/>
    </ext>
  </extLst>
</workbook>
</file>

<file path=xl/sharedStrings.xml><?xml version="1.0" encoding="utf-8"?>
<sst xmlns="http://schemas.openxmlformats.org/spreadsheetml/2006/main" count="7011" uniqueCount="2712">
  <si>
    <t>note</t>
  </si>
  <si>
    <t>auteur</t>
  </si>
  <si>
    <t>avis</t>
  </si>
  <si>
    <t>assureur</t>
  </si>
  <si>
    <t>produit</t>
  </si>
  <si>
    <t>type</t>
  </si>
  <si>
    <t>date_publication</t>
  </si>
  <si>
    <t>date_exp</t>
  </si>
  <si>
    <t>avis_en</t>
  </si>
  <si>
    <t>avis_cor</t>
  </si>
  <si>
    <t>avis_cor_en</t>
  </si>
  <si>
    <t>brahim--k-131532</t>
  </si>
  <si>
    <t xml:space="preserve">Meilleurs assurances, prix, solutions, écoute, rapidité, et je recommande cette compagnie pour vous 
Des prix attractif et services de qualité et rapidité </t>
  </si>
  <si>
    <t>Direct Assurance</t>
  </si>
  <si>
    <t>auto</t>
  </si>
  <si>
    <t>train</t>
  </si>
  <si>
    <t>06/09/2021</t>
  </si>
  <si>
    <t>01/09/2021</t>
  </si>
  <si>
    <t>bernard-g-112497</t>
  </si>
  <si>
    <t xml:space="preserve">je suis globalement satisfait , sauf que vous avez un problème avec votre site internet ,impossible de déclarer un sinistre en ligne après plusieurs tentatives déclaration faite par téléphone ou tout c'est très bien passé , interlocutrice compétente et très agréable </t>
  </si>
  <si>
    <t>03/05/2021</t>
  </si>
  <si>
    <t>01/05/2021</t>
  </si>
  <si>
    <t>virginie-t-107352</t>
  </si>
  <si>
    <t>Prix tres abordable plusieurs options s'offrent a nous comme le boitier connecter à la voiture, l'option tranquiliter et zero franchise ce qui est tout a fait plaisant</t>
  </si>
  <si>
    <t>21/03/2021</t>
  </si>
  <si>
    <t>01/03/2021</t>
  </si>
  <si>
    <t>boulain-f-116580</t>
  </si>
  <si>
    <t xml:space="preserve">je satisfait du service, une réponse très rapide de votre service .je vous en remercie, vous êtes une assurance la moins cher sur le marche, Cordialement. </t>
  </si>
  <si>
    <t>L'olivier Assurance</t>
  </si>
  <si>
    <t>10/06/2021</t>
  </si>
  <si>
    <t>01/06/2021</t>
  </si>
  <si>
    <t>ouaille31-51798</t>
  </si>
  <si>
    <t xml:space="preserve">Client depuis plus de 25 ans, très déçu de cette "mutuelle" qui n'a plus rien d'une Mutuelle, la recherche du profit immédiat est devenu leur priorité. à l'agence on ne sait que essayer de vous fourguer des contrats inutiles, on vous fait payer une protection juridique sur chaque contrat mais vous ne serez défendu qu'une fois!  dès qu'il y a le moindre sinistre il ne sont pas là pour vous défendre mais au contraire pour vous mettre d'office tous les tords pour faire descendre votre bonus qui est trop haut ! Bref ils n'ont plus qu'un seul but vous faire payer le plus possible. Hélas c'est maintenant le lot de tous les assureurs. Donc cherchez à payer le moins possible et surtout de ne pas avoir besoin d'eux !!! </t>
  </si>
  <si>
    <t>Matmut</t>
  </si>
  <si>
    <t>29/01/2017</t>
  </si>
  <si>
    <t>01/01/2017</t>
  </si>
  <si>
    <t>spam-62064</t>
  </si>
  <si>
    <t>Vente forcée par téléphone, prétextant des évènements graves pour mes proches, mais sans même connaître ma date de naissance !
Néoliane va dire que c'est la faute de la plateforme téléphonique au Magreb, mais ce démarchage est abusif et angoissant. De plus, je suis iscrit sur BLOCTEL
A fuir et à reporter aux services de répressions des fraude</t>
  </si>
  <si>
    <t>Néoliane Santé</t>
  </si>
  <si>
    <t>sante</t>
  </si>
  <si>
    <t>06/03/2018</t>
  </si>
  <si>
    <t>01/03/2018</t>
  </si>
  <si>
    <t>ludovic-b-135966</t>
  </si>
  <si>
    <t xml:space="preserve">Nouveau client satisfait du prix et des services.
Je ne donnerai pas plus d'avis car je suis nouveau client chez vous. J'espère que tout se passera bien merci  </t>
  </si>
  <si>
    <t>APRIL</t>
  </si>
  <si>
    <t>05/10/2021</t>
  </si>
  <si>
    <t>01/10/2021</t>
  </si>
  <si>
    <t>laetitia741-97523</t>
  </si>
  <si>
    <t>Un assureur m'a contacté par telephone pour me vendre cette assurance pour mon chiot en me vendant que les jolis détails, j'ai donc souscrit à l'assurance pour etre remboursée à 80%.
Je vais ensuite chez le vétérinaire pour vacciner mon chiot, et on me prescrit une pommade pour des boutons qu'il a, santé vet ne me la rembourse pas car il y a une carrence de 45 jours dont on ne m'avait pas parlé, ce détail passe encore.
 1 mois plus tard je fais le rappel du vaccin pour mon chiot (comme pour tous les chiots et achète des vermifuges), j'envoie donc une facture de 118 euros et la on me dit que l'on ne me rembourse pas car je n'ai droit qu'à 50 euros de frais par an (que l'on ne m'avait pas dis non plus sinon je n'aurais jamais souscrit, le but de l'assurance est d'etre remboursé)
J'appelle l'assurance pour résilier et la bien entendu on me dit que je dois attendre 1 an pour me rétracter chose qu'on ne m'avait jamais dite.
Fuyez cette assurance!!</t>
  </si>
  <si>
    <t>SantéVet</t>
  </si>
  <si>
    <t>animaux</t>
  </si>
  <si>
    <t>17/09/2020</t>
  </si>
  <si>
    <t>01/09/2020</t>
  </si>
  <si>
    <t>gbernard10-102485</t>
  </si>
  <si>
    <t>Je ne peux que rejoindre les nombreux avis négatifs. Je regrette même d'avoir dû mettre 1 étoile tant le service ET les remboursements sont inexistants. En attente de remboursements optique et ostéopathie depuis plus de 10 semaines maintenant et toujours le même discours bien rodé : "Nous avons du retard mais vos demandes vont être traitées avant la fin de semaine!". Compter en moyenne 45 minutes par appel pour enfin avoir un "conseiller" avec qui il faudra à nouveau reparcourir tous les dossiers ouverts (alors qu'ils sont sensés avoir pleine visibilité dans leur système). Le pire, leur site annonce des remboursements traités alors que ceux-ci n'ont toujours pas été crédités sur mon compte bancaire!</t>
  </si>
  <si>
    <t>Mercer</t>
  </si>
  <si>
    <t>12/01/2021</t>
  </si>
  <si>
    <t>01/01/2021</t>
  </si>
  <si>
    <t>rezo31-62544</t>
  </si>
  <si>
    <t>GENERALI ASSURANCES VIE PATRIMOINE Très mauvais service client, pas sérieux, mauvais payeur si on demande une avance sur son éparge Générali Vie</t>
  </si>
  <si>
    <t>Generali</t>
  </si>
  <si>
    <t>vie</t>
  </si>
  <si>
    <t>21/03/2018</t>
  </si>
  <si>
    <t>rod-90080</t>
  </si>
  <si>
    <t>c'est une honte totale. nous avons toutes nos assurances avec allianz. ils traitent notre réclamation avec incompétence, nous menaçons de les quitter, ils annulent néanmoins notre assurance à la fin de ce contrat. éviter!</t>
  </si>
  <si>
    <t>Allianz</t>
  </si>
  <si>
    <t>30/05/2020</t>
  </si>
  <si>
    <t>01/05/2020</t>
  </si>
  <si>
    <t>re-v-109323</t>
  </si>
  <si>
    <t>Totalement satisfaite de la qualité des prises en charge téléphoniques. Toujours bien comprise et avec des informations orales suivies d'effets réels.</t>
  </si>
  <si>
    <t>06/04/2021</t>
  </si>
  <si>
    <t>01/04/2021</t>
  </si>
  <si>
    <t>drivy619-77243</t>
  </si>
  <si>
    <t>L'interface téléphonique du service client est assez intuitive. Mon interlocutrice ( Erika ) à été très compréhensive et a su m'expliquer les démarches a suivre avec clarté. Je la remercie pour cela</t>
  </si>
  <si>
    <t>01/07/2019</t>
  </si>
  <si>
    <t>vas-m-117400</t>
  </si>
  <si>
    <t>Je suis très satisfait du service, des conseils et de l'écoute. La conseillère que j'ai eu par téléphone, aimable avec une très bonne qualité d'écoute.                                
Cordialement</t>
  </si>
  <si>
    <t>17/06/2021</t>
  </si>
  <si>
    <t>sophie-m-124360</t>
  </si>
  <si>
    <t xml:space="preserve">Bonjour,
Il est fort regrettable de ne pouvoir bénéficier d'une certaine souplesse sur les tarifs proposés, surtout lorsque l'on assure un véhicule supplémentaire et que nous n'avons jamais eu de sinistre ni de retard de paiement.
</t>
  </si>
  <si>
    <t>APRIL Moto</t>
  </si>
  <si>
    <t>moto</t>
  </si>
  <si>
    <t>23/07/2021</t>
  </si>
  <si>
    <t>01/07/2021</t>
  </si>
  <si>
    <t>youssef-n-109465</t>
  </si>
  <si>
    <t xml:space="preserve">Je suis satisfait de direct assurance neanmoins j'aurai voulu pouvoir modifier les titulaire du contrat si possible en ligne ce qui n'est pas le cas actuellement </t>
  </si>
  <si>
    <t>07/04/2021</t>
  </si>
  <si>
    <t>transparence06-77667</t>
  </si>
  <si>
    <t>ne prend pas en compte la résiliation même après avoir donner son accord à l'agent général - documenté</t>
  </si>
  <si>
    <t>Cegema Assurances</t>
  </si>
  <si>
    <t>16/07/2019</t>
  </si>
  <si>
    <t>marjan-n-139070</t>
  </si>
  <si>
    <t>Le prix magnifique. Je suis intéressé. Je le recommande pour chacun.
Il est plus simple et pratique.
Juste le vignette verte j'ai pas recu pour ma première voiture.</t>
  </si>
  <si>
    <t>05/11/2021</t>
  </si>
  <si>
    <t>01/11/2021</t>
  </si>
  <si>
    <t>chalnas-107782</t>
  </si>
  <si>
    <t xml:space="preserve">Services clients très professionnels, réponds aux demandes et apporte des réponses aussi clair que précise. À voir dans la durée et à la gestion des dossiers. </t>
  </si>
  <si>
    <t>24/03/2021</t>
  </si>
  <si>
    <t>didier56-62610</t>
  </si>
  <si>
    <t>nous attendons depuis plus d'un mois une réponse du service médical pour mon épouse, ils exigent d'abord que je souscrivent avant d'envoyer la proposition pour Madame.</t>
  </si>
  <si>
    <t>LCL</t>
  </si>
  <si>
    <t>credit</t>
  </si>
  <si>
    <t>23/03/2018</t>
  </si>
  <si>
    <t>moussa-s-115488</t>
  </si>
  <si>
    <t xml:space="preserve">Service impeccable, a la hauteur de nos attentes et plus encore.
Prix honnête, difficile de trouver mieux. 
Je recommande vivement a toutes et a tous.
</t>
  </si>
  <si>
    <t>g-104034</t>
  </si>
  <si>
    <t xml:space="preserve">Assurance  à éviter a tout prix !! prix excessivement cher, mais par contre dés qu'il y a le moindre problème, c'est le parcours du combattant !  Je me fais choqué la voiture sur le parking de mon lieux de travail (centre commercial...), petit enfoncement sur la porte, je déclare le sinistre à mon assurance, qui me demande un dépôt de plainte au commissariat + un constat rempli que d'une part, je m'exécute (demi journée de travail perdue à mes frais bien sur ! mon employeur s'en fou de mes histoires), suite a ça après avoir envoyé les docs, mon interlocuteur met en doute ma parole, super ça commence bien. Après discussion il me demande de faire un devis, j'en fais 3 ! encore du temps perdu et des allers retours garagistes (autre demi journée dans le c..). je présente les devis, réparation 600euro (sur laquelle j'ai une franchise de 400euro). Allianz ouvre mon dossier et me demande d'aller chez un garagiste avec qui ils bossent afin de bénéficier d'une expertise rapide etc.... (la dame au téléphone me conseille fortement voir même elle insiste en me sortant des histoires de garanties pièces etc, d'aller chez celui la et pas chez un garagiste de mon choix, autrement dis Peugeot), bon je trouve ça bizarre mais je le fait (encore 2 heures de perdues sur ma journée de travail pour aller, faire des photos, etc...). 2 semaines plus tard silence radio, je rappel ce garage, il avait oublié de transmettre mes photos aux experts, il finissent par le faire, et la, je reçois un appel de l'expert me disant que les photos ça ne va pas, il faut un rv !! tout ça pour une simple pliure sur une porte, pour une réparation qui coutera a mon assureur au final que a peine 100euro !! bon , je rappel l'expert, et a ma surprise, il me demande d'immobiliser le véhicule 1/2 journée ou de passer chez eux afin de faire une expertise. je leur explique que j'ai déjà asses perdu de temps comme ça et que je vais surement pas perdre encore 1/2 journée de travail pour passer chez eux, je leur demande de se déplacer tout simplement, étant pas loin de mon lieux de travail (ils sont a 3 min) ! c'est un Non catégorique. donc si je fais mon calcul, pour une réparation a 600e, avec 400e de franchise et mes 3 demi journée de travail perdues (200e de salaire) pour encore aller chez un expert et attendre une réponse qui pourrait être défavorable, non merci. Je lâche l'affaire, au final ça me coute plus avec tout ça que de payer la réparation entièrement moi même. Du coup je me pose la question a quoi sa sert de payer des assurances si chères tout risque, si tout est fait pour vous décourager pour une simple réparation, que serait-ce si le choc ou la réparations était plus conséquentes ? Dés que possible, je retire mes 2 véhicules de chez eux, franchement, très mauvaise expérience. C'est absurde... </t>
  </si>
  <si>
    <t>11/02/2021</t>
  </si>
  <si>
    <t>01/02/2021</t>
  </si>
  <si>
    <t>christian-t-125869</t>
  </si>
  <si>
    <t>Très bien , je suis content du prix en espérant que l’assurance suivra j’ai reçu que des éloges de cette assurance en ce qui concerne la couverture d’assurance ils ont un panel de couverture que aucune autre ne propose</t>
  </si>
  <si>
    <t>01/08/2021</t>
  </si>
  <si>
    <t>serclerat-c-138238</t>
  </si>
  <si>
    <t>ok bon deroulement du contrat et fluidite du site correcte et intuitive
tous les elements étaietn clairs et precis
je recommande cette assurance à mes proches</t>
  </si>
  <si>
    <t>25/10/2021</t>
  </si>
  <si>
    <t>eveildujour-133101</t>
  </si>
  <si>
    <t xml:space="preserve">Lors de mon renouvellement chez l'Olivier assurance, j'ai des interrogations sur ma nouvelle adresse postale et le délais d'envoi de ma carte verte. C'est compliqué d'arriver sur le numéro de service client, et surtout ce numéro n'est jamais accessible. Le manque d'échange, et le labyrinthe que cette société me fait vivre, elle ne respecte pas le service dû à sa clientèle. </t>
  </si>
  <si>
    <t>16/09/2021</t>
  </si>
  <si>
    <t>patrice-114867</t>
  </si>
  <si>
    <t>Adhérent AFER depuis plus de 20 ans je regrette aujourd'hui mon choix. L'AFER a été une idée remarquable à l'époque, mais aujourd'hui le service n'est absolument pas à la hauteur des frais de gestion. Certes le site Internet a été modernisé et est bien plus convivial qu'avant mais il m'est aujourd'hui impossible de faire un rachat partiel alors que mon compte dispose de la provision nécessaire. Le système informatique me renvoie un message me demandant de faire ma demande par La Poste à l'aide d'un imprimé introuvable sur le site ou de contacter mon "apporteur', une société locale souvent injoignable. 
Tant qu'au numéro de téléphone du GIE, c'est bienvenue dans le monde de la virtualité, version 0.0 car après divers détouts dans les sous-menus la seule aide que j'y ai trouvé est de contacter mon "apporteur". 
A tous ceux qui pourraient être tentés d'apporter leur épargne à l'AFER, soyez avertis des problèmes que vous rencontrerez, et comme il est impossible de transférer son épargne sans conséquences fiscales, il ne vous restera plus qu'à regretter votre choix. On est bien loin des nobles idéaux qui ont prévalu à la création de l'AFER.</t>
  </si>
  <si>
    <t>Afer</t>
  </si>
  <si>
    <t>26/05/2021</t>
  </si>
  <si>
    <t>halleldopa-100901</t>
  </si>
  <si>
    <t xml:space="preserve">Je déconseille vivement. On vient de se faire dégager sans délai (ou presque, 2 mois) pour trop de sinistre car par malchance on a eu 3 sinistres en 3 ans (dont 1 qu'il ne prenne pas en charge comme c'est de toutes façons hors contrat !) alors que rien du tout les  10 années précédentes. Même pas un coup de fil, juste une pauvre lettre hyper violente. Fuyez !
</t>
  </si>
  <si>
    <t>03/12/2020</t>
  </si>
  <si>
    <t>01/12/2020</t>
  </si>
  <si>
    <t>hytou-116661</t>
  </si>
  <si>
    <t xml:space="preserve">Ne surtout pas souscrire d'assurance chez eux,. Assuré chez eux depuis 11 ans maison et voiture de ma femme et un problème de prélèvement de 44 euros du à une erreur de la banque et on se retrouve résilié sans nous prévenir du jour au lendemain. Donc on les appels et il nous demande de régler la totalité de la somme sur une année ce qu'on fait et la magie on nous résilie le contrat malgré qu'on ai payé jusqu'en 2022 et on a rien à dire, on paye mais on a pas d'assurance. Ils prennent l'argent mais ne fournisse pas les prestations. Malgré plusieurs appel de notre banquière ainsi que le directeur d'agence et de nous même , ils ne veulent rien entendre. Il y a gros problème au sein de cette assureur, le directeur d'agence lui même reconnaît plusieurs problème avec pacifica avec plusieurs clients fuyez au plus vite vous trouverai bien mieux moin chère et surtout plus compétent chez la concurrence. </t>
  </si>
  <si>
    <t>Pacifica</t>
  </si>
  <si>
    <t>habitation</t>
  </si>
  <si>
    <t>virgou-52523</t>
  </si>
  <si>
    <t>Néoliane me couvre depuis 2 ans et malgrés une petite augmentation en Janvier 2017 ça reste la complémentaire la plus intéressante pour moi. Il est important de faire le comparatif chaque année car les économies sont au RDV et elles sont quand même conséquentes...</t>
  </si>
  <si>
    <t>17/02/2017</t>
  </si>
  <si>
    <t>01/02/2017</t>
  </si>
  <si>
    <t>leonor-71211</t>
  </si>
  <si>
    <t xml:space="preserve">Depuis Mai 2018 je ma bats pour me faire prendre en charge des verres correcteurs et une monture, seulement SwissLife ma fait 3 devis différents et surtout qui ne correspondent pas aux montants du contrat . impossible a ce jour d'avoir une personne pour régulariser la situation et je fais un constat nous sommes bcp. dans cette situation malheureusement. que du temps perdu , c'est pas une situation normale.
</t>
  </si>
  <si>
    <t>SwissLife</t>
  </si>
  <si>
    <t>prevoyance</t>
  </si>
  <si>
    <t>12/02/2019</t>
  </si>
  <si>
    <t>01/02/2019</t>
  </si>
  <si>
    <t>alain-c-96661</t>
  </si>
  <si>
    <t>bonjour, je suis passer par les furets.com, plusieurs proposition me sont apparus, mais april reste pour moi, simple, rapide et pas chers, 
niveau tarif je conseil .</t>
  </si>
  <si>
    <t>29/08/2021</t>
  </si>
  <si>
    <t>jp--101827</t>
  </si>
  <si>
    <t>DE BELLES PROMESSES à l’inscription mais en réalité des menteurs.
Un sinistre, une voiture collée derrière moi, je recule pour pouvoir me dégager, j’abime le pare choc de la voiture, la Maaf n’a pas voulu prendre en considération toutes les explications inscrites sur le constat et décide que je suis seul 
Responsable. Au tél une personne me dit que pour cette fois je ne serais pas malussé. 
Hors je reçois les avis d’échéance et bien je suis bel et bien malussé.
Tous nos contrats sont chez eux.
J’ai eu d’autres propositions d’agence local ou le contact est plus commercial, des secrétaires compétentes, aimables.
Donc les décisions vont être rapide</t>
  </si>
  <si>
    <t>MAAF</t>
  </si>
  <si>
    <t>24/12/2020</t>
  </si>
  <si>
    <t>yure-ramos-a-126507</t>
  </si>
  <si>
    <t>Je suis satisfait pour le service, et efficace quand on appelle au service rapidement prend le appel, je suis content pour été cliente chez ch ous, je vous dite merci</t>
  </si>
  <si>
    <t>04/08/2021</t>
  </si>
  <si>
    <t>julie-71440</t>
  </si>
  <si>
    <t>À fuir, assurance prévoyance lamentable.... Des délais de traitement plus que longs ! Ils vous réclament en permanence des documents que vous leurs avez déjà transmis; ils n’ouvrent certainement pas leurs emails, d’ailleurs ils n’y répondent jamais. Vous devez les appeler tout le temps, les relancer par téléphone et lorsque vous les avez, on vous dit que ça part en traitement alors que c’est complètement faux, vous les rappelez 15 jours plus tard vous en êtes toujours au même point c’est-à-dire nulle part ... c’est honteux de se moquer des gens comme ça et effectivement, pour encaisser il n’y a pas de problème, c’est bien réglé de ce côté là ! Personnellement, je suis déjà bien affectée par ma maladie et en plus, ils m’ajoutent un stress, une angoisse supplémentaire à me mettre dans une situation de précarité. 
Ils prônent l’excellence 2020 avec plus de 6500 collaborateurs... bah on se demande où ils sont ... à la cafétéria peut-être !!!
Et si j’avais pu mettre zéro étoile, je l’aurais fait ????????????</t>
  </si>
  <si>
    <t>09/12/2020</t>
  </si>
  <si>
    <t>michellon-f-111404</t>
  </si>
  <si>
    <t>très satisfait du service
bizarre le tarif ne correspondait pas trop aux simulations effectuées.
Sinon la souscription est rapide et facile.
Les documents sont reçues dans la minute</t>
  </si>
  <si>
    <t>23/04/2021</t>
  </si>
  <si>
    <t>claude-a-136957</t>
  </si>
  <si>
    <t>Je suis satisfait du service
les prix me conviennent
les garanties me suffisent pour l'instant
l'adhésion est rapide, simple efficace et pratique 
Bien sincèrement.</t>
  </si>
  <si>
    <t>11/10/2021</t>
  </si>
  <si>
    <t>baptiste-d-124886</t>
  </si>
  <si>
    <t xml:space="preserve">Un bon site pour les renseignements 
Simple, vite et rapide 
Je recommande fortement ce site pour les jeunes qui arrive dans le monde dès motard      </t>
  </si>
  <si>
    <t>26/07/2021</t>
  </si>
  <si>
    <t>hugo-f-117061</t>
  </si>
  <si>
    <t>Le prix est très avantageux, le service est réactif, il ni a pas 5 Etoiles car comme beaucoup d'assurance, ils y a plein de clause non comprise dans les forfaits malheureusement..
Globalement satisfait</t>
  </si>
  <si>
    <t>15/06/2021</t>
  </si>
  <si>
    <t>sasa-b-132267</t>
  </si>
  <si>
    <t>merci pour cette traitement rapide de mon dossier. ça fait plaisir : rapide, efficace et les tarifs toujours aussi intéressante. Je vous souhaite une très bonne journée</t>
  </si>
  <si>
    <t>10/09/2021</t>
  </si>
  <si>
    <t>conchita-i-128179</t>
  </si>
  <si>
    <t>Je suis satisfaite du site de Direct, les prix sont abordables et intéressants. en espérant qu'en cas de besoin, le service sera tout autant réactif et efficace.</t>
  </si>
  <si>
    <t>16/08/2021</t>
  </si>
  <si>
    <t>jimmy-c-116703</t>
  </si>
  <si>
    <t>Je suis satisfait du service et l'efficacité d'Internet pratique rapide merci de votre confiance je ferai part de votre site as les amis tarif avantageux.</t>
  </si>
  <si>
    <t>11/06/2021</t>
  </si>
  <si>
    <t>artquandciel-102341</t>
  </si>
  <si>
    <t>Bonne assurance auto. J'en suis satisfaite. 
En plus, ils ont baissé mon tarif cette année car je n'ai pas eu d'accident depuis longtemps. Je recommande.</t>
  </si>
  <si>
    <t>07/01/2021</t>
  </si>
  <si>
    <t>elo-81356</t>
  </si>
  <si>
    <t>Grosse déception, si j'avais su je serais directement passée par l'assureur quitte à payer un peu plus cher, c'est ce que je compte faire à échéance de mon contrat signé d'une manière bidon par téléphone.</t>
  </si>
  <si>
    <t>Solly Azar</t>
  </si>
  <si>
    <t>26/11/2019</t>
  </si>
  <si>
    <t>01/11/2019</t>
  </si>
  <si>
    <t>sylvie-104524</t>
  </si>
  <si>
    <t xml:space="preserve">J'attends depuis le 30 septembre un remboursement dentaire pour une dépense supérieure à 1000 euros. MERCER a reçu tous les justificatifs, envoyés plusieurs fois par internet et par courrier recommandé avec A/R et rien n'y fait. Aucun moyen de joindre qui que ce soit pour avoir une explication claire. </t>
  </si>
  <si>
    <t>20/02/2021</t>
  </si>
  <si>
    <t>philippe-s-106880</t>
  </si>
  <si>
    <t>je suis très satisfait du service client ainsi que des tarifs réguliers;
de plus en cas de sinistre; tout sait très bien passé;encore merci au       service client.</t>
  </si>
  <si>
    <t>17/03/2021</t>
  </si>
  <si>
    <t>christelle-b-127352</t>
  </si>
  <si>
    <t>je suis satisfait d'avoir l'attestation mais je trouve que tous vos prix sont chers et devoir payer piur le télétravail est est inadmissible du fait de ce que je paye pour l'année
je ne suis pas satisfaite d'avoir reçu le 30 juillet une offre promotionnelle pour le contôle technique de ma voiture alors que je l'ai fait le 21  juillet  et qu'il expirait le 24 juillet.</t>
  </si>
  <si>
    <t>GMF</t>
  </si>
  <si>
    <t>10/08/2021</t>
  </si>
  <si>
    <t>rodrigues-b-125385</t>
  </si>
  <si>
    <t xml:space="preserve">Je suis satisfait de vos services, du prix et de la réactivité de conseiller 
Rien a signaler pour le moment 
Je recommande l'olivier assurance à mes proches </t>
  </si>
  <si>
    <t>29/07/2021</t>
  </si>
  <si>
    <t>stephane-p-124527</t>
  </si>
  <si>
    <t xml:space="preserve">Très satisfait (assuré depuis longtemps chez AMV).
Tarifs corrects, difficile de trouver moins cher.
Site internet clair.
Assurer un nouveau véhicule est très rapide.
</t>
  </si>
  <si>
    <t>AMV</t>
  </si>
  <si>
    <t>24/07/2021</t>
  </si>
  <si>
    <t>mh-106919</t>
  </si>
  <si>
    <t>Excellente assurance quand on a pas besoin de leur service et que nous subissons un sinistre. Quant à l’accueil par téléphone, je ne suis pas tombé sur la bonne personne....</t>
  </si>
  <si>
    <t>idoubrahim-c-108478</t>
  </si>
  <si>
    <t>Trés simple et pratique : site trés bien réalisé
trés simple également au niveau de la souscription
rapide et pratique!!!
en espérant avoir des tarifs plus avantageux en souscrivant pour d'autres véhicules</t>
  </si>
  <si>
    <t>30/03/2021</t>
  </si>
  <si>
    <t>bagouni-68407</t>
  </si>
  <si>
    <t>Assuré chez direct assurance via avanssur, ma voiture n'est plus assurée depuis plusieurs mois sans que j'en sois informé !!!! Toujours aucunes nouvelles de ces personnes malgrès des mises en demeure...Saisie du tribunal.</t>
  </si>
  <si>
    <t>07/11/2018</t>
  </si>
  <si>
    <t>01/11/2018</t>
  </si>
  <si>
    <t>viorel-101032</t>
  </si>
  <si>
    <t>a fuir au plus vite
- les tariffs sont allechants la premiere annee, mais grimpent de facon substantielle chaque annee
- oui j'ai eu des sinistres, mais c'etait 3 bris de glace et un vol- sur 4 ans, toutes non responsable, et ils viennent de nous resilier - UN GRAND BRAVO, ca s'appele avoir le client au coeur de leur activite
donc un conseille - EVITER CET ASSUREUR, n'importe le quel est mieux que Direct Assurance.
c'est Direct, mais c'est direct a la poubelle</t>
  </si>
  <si>
    <t>gaetan-t-118043</t>
  </si>
  <si>
    <t>Contrat signé rapidement avec des tarif pour les options au top.
Les conditions sont explicites et toutes les informations nécessaire sont données. Si besoin l'appel d'un conseiller fonctionne bien</t>
  </si>
  <si>
    <t>23/06/2021</t>
  </si>
  <si>
    <t>matouille-70254</t>
  </si>
  <si>
    <t xml:space="preserve">Facturation de changement d'adresse alors que nous venions de faire assurer la maison chez eux dès notre achat. L'erreur venait de leur service qui n'avait pas fait le changement de facturation avec le nouveau contrat. De ce fait, mon contrat d'assurance voiture diminuait en tarifs mais la GMF refuse de rembourser </t>
  </si>
  <si>
    <t>15/01/2019</t>
  </si>
  <si>
    <t>01/01/2019</t>
  </si>
  <si>
    <t>yan-89331</t>
  </si>
  <si>
    <t>Aucun conseil, aucune communication
Demande des dossiers complémentaires sans arrêt pour au final ne pas rembourser.
Ne respecte pas ses engagements. Aucun remboursement suite à un arret de 30 jours pour une hernie inguinnale , on me demande de renseigner tous mes rendez vous chez le medecin depuis dix ans, alors que je n'ai jamais eu un seul arret de travail.
Il faut faire remplir un nouveau doc au medecin en pleine crise du covid, c'est lamentable</t>
  </si>
  <si>
    <t>CNP Assurances</t>
  </si>
  <si>
    <t>03/05/2020</t>
  </si>
  <si>
    <t>calou-56565</t>
  </si>
  <si>
    <t xml:space="preserve">Un prix attractif, certes. Puis au moment de concrétiser un contrat habitation, 20min d'attente au téléphone pour s'entendre dire que la MAAF refuse finalement d'assurer l'appartement que je vais louer parce que je n'y serai qu'en semaine et que je vais rentrer le weekend en Belgique. </t>
  </si>
  <si>
    <t>09/08/2017</t>
  </si>
  <si>
    <t>01/08/2017</t>
  </si>
  <si>
    <t>yass-65605</t>
  </si>
  <si>
    <t>Il sont très long pour les paiements lors d'un sinistre + 2 mois , de mauvaise foi, il n'hésite pas à raccrochez au nez des clients.</t>
  </si>
  <si>
    <t>19/07/2018</t>
  </si>
  <si>
    <t>01/07/2018</t>
  </si>
  <si>
    <t>schuss-54824</t>
  </si>
  <si>
    <t>Tarifs attractifs. Compagnie attrayante tant que l'on n'a pas de sinistre.
Dans mon cas, vol de ma moto. Evaluation de l'expert faite sur la base d'une mauvaise version (sans ABS), impossibilité de lui faire changer d'avis, malgré la production d'annonces démontrant que l'estimation a été sous-évaluée.
J'ai fini par accepter après plusieurs de démarches vaines et d'absence de réponses à les courriers. Préjudice de 1500 euros</t>
  </si>
  <si>
    <t>20/05/2017</t>
  </si>
  <si>
    <t>01/05/2017</t>
  </si>
  <si>
    <t>franck-76696</t>
  </si>
  <si>
    <t>Nouveau client chez l'olivier, je suis très déçu du suivi de dossier en cas de sinistre.
Pas de chance, au bout de 3 jours de contrat, une voiture m'accroche le pare choc et l'abime.je suis leur procédure...envoi du constat sur mon compte et sur un mail spécial sinistre.cela fait 2 semaines et pas de nouvelles, impossible de les joindre bpar téléphone.je crois que ça va mal finir pour eux. Je comprends les avis très défavorable.</t>
  </si>
  <si>
    <t>12/06/2019</t>
  </si>
  <si>
    <t>01/06/2019</t>
  </si>
  <si>
    <t>fleur33-67367</t>
  </si>
  <si>
    <t>Jamais vu ça la pire assurance que j'ai eut en vingt ans pendant la pandémie impossible de les joindre une expertise annulée m'est quand  même comptee de façon négative et l'expert s'est payé je vais peut être voir un avocat un scandale</t>
  </si>
  <si>
    <t>06/01/2021</t>
  </si>
  <si>
    <t>kamel-b-108579</t>
  </si>
  <si>
    <t xml:space="preserve">Je suis suffisant satisfait de vos prestations. Plus de dix ans chez vous et jamais de sinistres responsables malheureusement  mon bon comportement routier ne se reporte pas sur le prix des mes assurances. </t>
  </si>
  <si>
    <t>megane-c-129142</t>
  </si>
  <si>
    <t xml:space="preserve">Les plus petits prix que j’ai vu pour un jeune permis, pour l’assurance tout risques. Site très compréhensible et accessible. Bonne communication. Très bien.
</t>
  </si>
  <si>
    <t>23/08/2021</t>
  </si>
  <si>
    <t>lili-91367</t>
  </si>
  <si>
    <t xml:space="preserve">Je suis satisfaite du service , rapide efficace je recommande votre site internet et vos assurance auto qui sont dans des prix très convenable . Génial  </t>
  </si>
  <si>
    <t>18/06/2020</t>
  </si>
  <si>
    <t>01/06/2020</t>
  </si>
  <si>
    <t>hamza-m-123043</t>
  </si>
  <si>
    <t xml:space="preserve">je suis très content du prix et des garanties proposées. 
je recommande fortement avril car après plusieurs devis j'ai enfin trouver les garanties que je cherchais. </t>
  </si>
  <si>
    <t>10/07/2021</t>
  </si>
  <si>
    <t>zebra-80478</t>
  </si>
  <si>
    <t xml:space="preserve">Déplorable, assurée à la Maif depuis 10 ans sans avoir eu aucuns sinisitres, j'ai déchanté suite à un accident de voiture survenu le 21/06/2019, j'ai été transporté au urgence car en état de choc, c'était mon premier accident en 32 ans de conduite. très mal renseignée par la Maif, du coup alors que pompier et gendarme présents ont conclu à 50/50, je me suis retrouvée à 100 en tort car la Maif m'a mal renseigné pour l'établissement du constat et par contre très bien informée l'autre partie également à la Maif Fila. résultat des courses je résilie sous peu la totalité de mes contrats chez eux !
</t>
  </si>
  <si>
    <t>MAIF</t>
  </si>
  <si>
    <t>28/10/2019</t>
  </si>
  <si>
    <t>01/10/2019</t>
  </si>
  <si>
    <t>jo-111049</t>
  </si>
  <si>
    <t>J'ai souscris une assurance emprunteur par le biais de la Société Générale je bataille depuis 5 mois systématiquement il me demande le même dossier que j ai déjà envoyé 5 fois.... Aucun contact téléphonique car personne ne répond.. À fuir</t>
  </si>
  <si>
    <t>Sogecap</t>
  </si>
  <si>
    <t>20/04/2021</t>
  </si>
  <si>
    <t>legrand-a-135790</t>
  </si>
  <si>
    <t>Je suis satisfaite du service. 
Conseiller au téléphone m'a très bien renseigner et guider pour la mise en route du contrat. Les prix de cette assurance sont correct</t>
  </si>
  <si>
    <t>04/10/2021</t>
  </si>
  <si>
    <t>david-m-109237</t>
  </si>
  <si>
    <t>très satisfait sauf pour le paiement avec renseignement de carte. je préfére les paiements du type Cdiscount ou Ali express par carte paylib ou paypal</t>
  </si>
  <si>
    <t>mohamed-z-125984</t>
  </si>
  <si>
    <t xml:space="preserve">Je sui satisfait du service,  les prix sont abordable et resonable, je souhaite à l'avenir proche conseiller mon entourage de souscrire avec directe assurance  parce qu'il sont les meilleurs </t>
  </si>
  <si>
    <t>02/08/2021</t>
  </si>
  <si>
    <t>van-moorleghem-j-123478</t>
  </si>
  <si>
    <t>Très satisfait. Facile et interlocuteur agréable. Très bonnes explications. Le contrat est clair. Je ne sais pas quoi dire d'autre! Je recommande cette assurance</t>
  </si>
  <si>
    <t>15/07/2021</t>
  </si>
  <si>
    <t>faf2705-55656</t>
  </si>
  <si>
    <t xml:space="preserve">Très déçue!! Je suis assurée chez eux depuis 3 mois et is viennent de me résilier car je n'ai pas signer électroniquement le contrat, alors que j'avais reçu un mail lors de mon inscription me disant que "mon dossier était complet". Aucune relance, ni par mail, ni par courrier, ni par téléphone. Je suis dépitée. Après les avoir appelé plusieurs fois, aucun moyen de revenir sur cette résiliation. J'ai payé mes cotisations, envoyé tous les documents nécessaires,  je trouve cela scandaleux. A moi maintenant de trouver une nouvelle assurance qui acceptera de m'assurer malgré ma résiliation sans que cela ne m'a "coûte un bras"!!
S'ils m'avaient envoyé un courrier (comme pour ma résiliation) j'aurai bien entendu pu signer ce contrat.
Quel etait mon intérêt de ne pas le faire?
</t>
  </si>
  <si>
    <t>27/06/2017</t>
  </si>
  <si>
    <t>01/06/2017</t>
  </si>
  <si>
    <t>faiz-109152</t>
  </si>
  <si>
    <t>Les informations ne sont pas communiquer de façon clair. Des éléments ne vous sont communiquer qu'aprés souscriprion et validation du paiement, temps d'attente extrêmement long et conseiller incompétents assurance a FUIRE ABSOLUMENT</t>
  </si>
  <si>
    <t>05/04/2021</t>
  </si>
  <si>
    <t>manu--124809</t>
  </si>
  <si>
    <t>A fuir ! me résilie pour un retard de paiement que je comprend 
alors que la somme de remboursement qu'ils me doivent dépasser de loin ce qu'il me réclame. 
Jamais les mêmes informations à fuir !!:!!</t>
  </si>
  <si>
    <t>Harmonie Mutuelle</t>
  </si>
  <si>
    <t>fanou13-95160</t>
  </si>
  <si>
    <t xml:space="preserve">Bonjour à tous
Depuis le 17 décembre 2019, jour de mon accident sur le périphérique parisien, ma moto étant désormais une épave, je ne suis donc plus assuré à la mutuelle des motards. Cependant, cette assurance a continué de me prélever mensuellement. Malgré plusieurs appels de ma part, ou quand j'avais quelqu'un, on me disait que cela allait être régularisé, nous sommes aujourd'hui le 25 juillet 2020 et je n'ai toujours pas été remboursé. Ma lettre recommandée est restée sans réponse, les mails aussi. J'ai donc fait opposition aux prélèvements sur mon compte, chose que j'aurai dû faire dès le 18 décembre 2019, le lendemain de mon accident. Et puis la-dessus, le Covid 19 s'est répandu et à la Mutuelle des Motards, il faut croire que cela a été plus tragique qu'ailleurs car pendant trois mois, plus question d'avoir quelqu'un au téléphone. On nous disait d'aller sur le site ou on pouvait soi-disant tout faire et que sur demande, on pouvait même ce faire rappeler. C'est ce que j'ai fait à de nombreuses reprises. J'attends toujours. Aujourd'hui, j'ai acheté une nouvelle moto et bien entendu, je l'ai assuré ailleurs. La Mutuelle des Motards est bien loin de l'esprit motards qu'elle se prétend défendre et représenter.  </t>
  </si>
  <si>
    <t>Mutuelle des Motards</t>
  </si>
  <si>
    <t>25/07/2020</t>
  </si>
  <si>
    <t>01/07/2020</t>
  </si>
  <si>
    <t>jean-jacques-p-115820</t>
  </si>
  <si>
    <t>Bonjour, je vous écris pour mon assurance Marque : RENAULT CAPTUR Puissance fiscale : 5 CV Mise en circulation : 09/2018 Etablissement de la carte grise : 27/09/2018 Propriétaire du véhicule : Jean Jacques PISSON Immatriculation : FA-702-RZ Je vais partir en vacances le 5 Juin avec cette voiture et avec une attache remorque et un porte 2 vélos à l'arrière du véhicule, je souhaite être assuré pour ce porte vélo avec 2 vélos que je vais transporter. Ma question suis je assuré dans ces conditions ci-dessus ou dois payer un supplément d'assurance. Cordialement Mr PISSON Jean Jacques</t>
  </si>
  <si>
    <t>03/06/2021</t>
  </si>
  <si>
    <t>geoffroy-m-106451</t>
  </si>
  <si>
    <t>en deux ans le prix de l'assurance a bien augmenté alors que je n'ai pas eu d'accident.... avec un pouvoir d'achat en berne je suis obligé de reconsidérer mon contrat ....</t>
  </si>
  <si>
    <t>13/03/2021</t>
  </si>
  <si>
    <t>sylvain-74-135795</t>
  </si>
  <si>
    <t>ATTENTION
Prix assez attractif mais dès que vous modifier votre contrat (pour un changement d'adresse par exemple) on vous facture 15€ alors que c'est vous qui faites tout sur votre espace.</t>
  </si>
  <si>
    <t>cyrille-g-132795</t>
  </si>
  <si>
    <t>Souscription par téléphone rapide.
L'interlocuteur m'a aidé au téléphone tout au long de la démarche de A à Z, ce qui était très agréable et rassurant.</t>
  </si>
  <si>
    <t>14/09/2021</t>
  </si>
  <si>
    <t>patrice-c-130460</t>
  </si>
  <si>
    <t xml:space="preserve">Satisfait du service, en revanche, l'envoi de la carte verte seulement à l'adresse du stationnement du véhicule, est un peu embêtant pour ceux en résidence secondaire. 
</t>
  </si>
  <si>
    <t>31/08/2021</t>
  </si>
  <si>
    <t>stall-79917</t>
  </si>
  <si>
    <t xml:space="preserve">Étant en train d'acheter un nouveau scooter, le concessionnaire me demande l'attestation de l'assurance prouvant que j'ai bien conduit un 125cm3 en 2006 et 2011 comme la loi le demande. La Macif ne me l'a jamais fourni et lorsque j'appelle, ils me répondent qu'ils ne peuvent pas car cela est trop ancien. Je suis en train de perdre mon acompte. Incapable de taper un simple attestation et en plus, ils me disent de passer la formation de 7h alors que je n'en ai pas besoin. Irréaliste ! Vraiment très déçu et après presque 30 ans chez eux, j'envisage d'aller voir ailleurs pour mes 2 véhicules. Le discours au téléphone était hallucinant. La personne me mettait en attente pour allez à la pêche au informations. Un simple papier spécifiant mon passé d'assuré pour un 2 roues sous prétexte que c'était trop ancien !!! Elle m'a répondu qu'elle ne pouvait pas remonter entre 20 et 30 ans. Nous sommes en 2019 et la durée demandée est comprise entre 2006 et 2011. Si je n'obtient pas ce document pourtant demandé par les forces de l'ordre, je stop mes adhésions. </t>
  </si>
  <si>
    <t>MACIF</t>
  </si>
  <si>
    <t>10/10/2019</t>
  </si>
  <si>
    <t>dylan-b-110204</t>
  </si>
  <si>
    <t xml:space="preserve">Je suis satisfait du service et des conseillers toujours clairs et rapide au traitement des demande je remercie l’équipe pour l’intérêt qui porte à c’est client </t>
  </si>
  <si>
    <t>13/04/2021</t>
  </si>
  <si>
    <t>aurelien-95695</t>
  </si>
  <si>
    <t>Bonjour 
Attention vous payez 1/3 de l'assurance   avant  la souscription finalisé  pour ensuite des modalités qui ne sont pas  indiqués clairement  vous résilie !!!   
Elle m'a coûté 120E pour 2 semaines 
bien-sure elle  ne vous rembourse pas 
assurance a fuir !!! !!</t>
  </si>
  <si>
    <t>Eurofil</t>
  </si>
  <si>
    <t>30/07/2020</t>
  </si>
  <si>
    <t>benjamin-d-129338</t>
  </si>
  <si>
    <t xml:space="preserve">Rapide et claire, les services ont l'air tres interessant par rapport a la concurances surtout par rapport au assurance physique, 
Assurance conseiller par deux collegues de travail </t>
  </si>
  <si>
    <t>24/08/2021</t>
  </si>
  <si>
    <t>jean-louis-g-108106</t>
  </si>
  <si>
    <t>Très rapports et réactivité
Prise en charge rapide
Je suis particulièrement satisfait de mes contrats auto et habitation, très bonne couverture
Les contacts téléphoniques sont très courtois et la réactivité par rapport aux problèmes accompagné d'explications très claires</t>
  </si>
  <si>
    <t>26/03/2021</t>
  </si>
  <si>
    <t>edith-h-132742</t>
  </si>
  <si>
    <t xml:space="preserve">service rapide et à bon prix
la souscription par internet est bien détaillée, les étapes sont précises.
je conseille pour une assurance moto les tarifs sont très correctes.
j'ai 2 motos assurées </t>
  </si>
  <si>
    <t>quanzhou-97025</t>
  </si>
  <si>
    <t xml:space="preserve">Je n’ai pas eu de sinistre durant le temps ou j’étais chez active assurance mais au renouvellement j’ai eu la surprise de la voir augmenter relativement à ses concurrent. Ils ont été incapable de négocier sur une base raisonnable, en fait la différence était si importante que j’ai du partir en espérant que la prochaine assurance ne fasse pas la même erreur. </t>
  </si>
  <si>
    <t>Active Assurances</t>
  </si>
  <si>
    <t>04/09/2020</t>
  </si>
  <si>
    <t>ced-67123</t>
  </si>
  <si>
    <t xml:space="preserve">Je me suis fait résilier pour ne pas avoir envoyer la copie de la carte grise selon leur explication. 
Comme je l'ai envoyé par courrier simple et non par recommander je ne peux rien prouvé et il mon laissé roulé 2mois sans me prévenir </t>
  </si>
  <si>
    <t>AXA</t>
  </si>
  <si>
    <t>26/09/2018</t>
  </si>
  <si>
    <t>01/09/2018</t>
  </si>
  <si>
    <t>raphael-r-117165</t>
  </si>
  <si>
    <t xml:space="preserve">correct au niveau des prix
assistance téléphonique bien
espace client internet bien 
agence bien au niveau relationnel et horaire.
que dire d'autre que tout est bien à la gmf.
</t>
  </si>
  <si>
    <t>fan8484848-62586</t>
  </si>
  <si>
    <t>C'est lors du sinistre que vous allez comprendre l'incompétence de cette assureur. De plus, les agents n'appliquent pas les tarifs que vous pouvez voir sur Internet.</t>
  </si>
  <si>
    <t>22/03/2018</t>
  </si>
  <si>
    <t>lw-139215</t>
  </si>
  <si>
    <t>NULLISSIME !
On va de bourdes en bourdes... En dépit des documents contractuels, les mensualités sont prélevées sur mon compte perso et les indemnités versées sur mon compte pro. Une première demande : rien n'est fait. Une deuxième : on résout le problème uniquement pour le plan retraite (en m'assurant que les changements seront faits pour la prévoyance et la santé). Une troisième demande : on résout uniquement le problème pour la prévoyance. Une quatrième demande : les mouvements sur les comptes sont ENFIN juste pour les trois contrats.
On me fait comprendre que c'est ma faute, je m'énerve, on me répond que les contrats dépendent de différents services qui ne se transfèrent pas les mails (les demandes étaient pourtant faites via le portail en ligne pour CHAQUE contrat).
Evidemment, chaque demande prend un temps considérable...
Aujourd'hui j'ai besoin d'un relevé de situation et le service est momentanément indisponible... depuis 48 heures. Personne ne répond au téléphone, il faut dire qu'il est 18h02...
FUYEZ !</t>
  </si>
  <si>
    <t>08/11/2021</t>
  </si>
  <si>
    <t>neajeriam-80229</t>
  </si>
  <si>
    <t>Mon fils essaie depuis 4 mois d'encaisser un contrat d'assurance vie ouvert à son nom par sa Gd mère pour acheter  un appartement . L'agence SG en charge Mon agence SG n'obtient pas de réponse de la SOGECAP ;C'est inadmissible .</t>
  </si>
  <si>
    <t>19/10/2019</t>
  </si>
  <si>
    <t>edwige49-58360</t>
  </si>
  <si>
    <t>A FUIR !!!
ne prends pas compte les résiliations et mentionne des sinistres imaginaires. Jamais la même personne nous réponds, les courriers envoyés au siège doivent finir directement à la poubelle</t>
  </si>
  <si>
    <t>25/10/2017</t>
  </si>
  <si>
    <t>01/10/2017</t>
  </si>
  <si>
    <t>misteraudi-60413</t>
  </si>
  <si>
    <t>entre l'offre faite sur le site d'assurland et la propo que l'on vous fait il y a une différence de tarif importante.On vous dit au téléphone que l'offre internet est faite pour appâter le nouveau client et que l'année d'après le tarif sera le même que celui que l'on me propose</t>
  </si>
  <si>
    <t>12/01/2018</t>
  </si>
  <si>
    <t>01/01/2018</t>
  </si>
  <si>
    <t>carbonnel-i-124192</t>
  </si>
  <si>
    <t>Très bonne réactivité et accompagnement tout le long de la procédure d’inscription. Conseillère très à l’écoute et réceptive et service rapide et efficace</t>
  </si>
  <si>
    <t>22/07/2021</t>
  </si>
  <si>
    <t>jcc-99974</t>
  </si>
  <si>
    <t>On critique toujours  quand ca ne va pas mais pour une fois je suis tellement satisfais que je ne peux pas laisser critiquer une assurance dont les conseils m ont sauvés la mise . déjà a la signature de mon contrat j ai été extrêmement bien conseillé (mais je ne le savais pas encore) .je m en suis aperçu lors du vol de mon véhicule . traumatise par ce vol j ai contacte plusieurs fois la GMF et ses services a Besançon  j ai eu plusieurs interlocuteurs qui ont tous été très agréables  et très compréhensibles. après toutes les démarches et les procédures obligatoires La GMF m as remboursé entièrement sans aucun problème dans des délais très raisonnables .De ce fait j ai racheté un autre véhicule et par respect pour ces personnes j ai repris mon assurance chez eux . et encore une fois , conseillé par une correspondante super compétente.
je voulais aussi dire que j avais déjà comparé les tarifs avec plusieurs assurances.et les différences étaient vraiment infimes. comme quoi , des fois même si elle sont parfois plus chères (ce qui n était pas le cas pour moi )on évite parfois de gros soucis qui ne sont pas les bienvenus lorsque l on a un sinistre 
Merci au personnel de la GMF</t>
  </si>
  <si>
    <t>10/11/2020</t>
  </si>
  <si>
    <t>01/11/2020</t>
  </si>
  <si>
    <t>samra-91894</t>
  </si>
  <si>
    <t>Au vu des commentaires que j'ai pu lire, j'espère vivement que la transmission ultérieure du récépissé de la casse aboutira à une fin de prélèvement immédiatement sans un dernier prélèvement pour la route histoire de renflouer...
J'ai aussi eu droit à une hausse tarifaire la deuxième année ainsi qu'une autre, après un déménagement avec stationnement sur voie publique lors de la quatrième année,  aussi importante que la deuxième année !!! Ils ont fait un geste et selon mes constatations j'ai simplement eu droit à une tarification dans la continuité de mon ancienneté. L'année suivante, actuellement, également.
Ce serait un comble si je devais faire opposition et être accablée par des frais de pénalité de retard accompagné d'un fichage pour non-paiement. 
Même s'il y a une date sur le document et une date d'envoi de ce document, on ne sait jamais, la régularisation de ce type de problème pourrait prendre un certain temps.
Les garanties inclus dans mon contrat n'équivaut pas les garanties supérieures chez "un" autre assureur pour quelques centaines moins cher !!!</t>
  </si>
  <si>
    <t>09/07/2020</t>
  </si>
  <si>
    <t>fr3-96491</t>
  </si>
  <si>
    <t xml:space="preserve">Attention, la perte ou le vol de clés n'est pas couvert. J'ai pourtant pris la totalité des garanties existantes (tout risque et pack Sérénité)... 
Malheureusement, j'ai perdu mes clés dans un lac en vacances, et je me suis entendu dire que se n'était pas couvert par mon contrat. Je me suis retrouvé à 500 km de chez moi sans clés, voiture fermé, en famille sans assistance...
Bref, insatisfait et je quitte cette assurance le plus vite possible. Avec direct assurance, c'est moins cher mais on sais pourquoi. </t>
  </si>
  <si>
    <t>20/08/2020</t>
  </si>
  <si>
    <t>01/08/2020</t>
  </si>
  <si>
    <t>do-carmo-duarte-d-108285</t>
  </si>
  <si>
    <t>Je suis très satisfait du service de l'olivier assurance aussi bien au niveau des tarifs que du service client. Tout est plutôt simple d'une manière générale.</t>
  </si>
  <si>
    <t>27/03/2021</t>
  </si>
  <si>
    <t>dave116-90948</t>
  </si>
  <si>
    <t xml:space="preserve">Cela va faire bientôt 2 ans que je suis chez direct Assurance. Je suis plutôt satisfait, je n’ai jamais eu de problème avec eux. La gestion des contrats est très bonne et notre espace client nous permet de faire beaucoup de choses en autonomie. Je recommande vivement direct assurance. </t>
  </si>
  <si>
    <t>15/06/2020</t>
  </si>
  <si>
    <t>rosunally-f-133751</t>
  </si>
  <si>
    <t xml:space="preserve">Tres satisfait du prix et le contacte telephonique excellent explication tres claire a recommander a mes proche et mon entourage. Je vous remerci d'avance </t>
  </si>
  <si>
    <t>21/09/2021</t>
  </si>
  <si>
    <t>oliver-64201</t>
  </si>
  <si>
    <t>Dégât des eaux : 01/03/2018
Visite de l'expert : 02/05/2018
Compte rendu  Expert : 14/05/2018
Faut pas être pressé.
L'expert a minutieusement démonté les devis des entreprises durant la visite. Axa demande des infos très précises mais leur rapport d'expertise renvoie une évaluation à la louche, très sous-estimée. Le service sinistre est nul, c'est moi qui leur ai expliqué comme il fallait interpréter le rapport d'expertise.</t>
  </si>
  <si>
    <t>25/05/2018</t>
  </si>
  <si>
    <t>01/05/2018</t>
  </si>
  <si>
    <t>riviere-a-130975</t>
  </si>
  <si>
    <t>Bon rapport qualité prix, bonne réactivité, bon contact avec les chargés de clientèle. L'assurance l'olivier a su être réactif en cas de sinistre. RAS</t>
  </si>
  <si>
    <t>02/09/2021</t>
  </si>
  <si>
    <t>gui-75130</t>
  </si>
  <si>
    <t>Le service travaux est incapable de réparer mon carreau cassé et mon volet suite à mon cambriolage du 6 mars. Vivre dans le noir pendant 6 semaines avec la crainte d'un nouveau cambriolage merci la MAAF !!!</t>
  </si>
  <si>
    <t>16/04/2019</t>
  </si>
  <si>
    <t>01/04/2019</t>
  </si>
  <si>
    <t>zouzou-67918</t>
  </si>
  <si>
    <t xml:space="preserve">a évite largement je souscrit une assurance aujourd'hui
je ne peux pas télécharge l'attestation sur leur site car le site et en bêta impossible de me connecte sur mon compte j'ai appelle le service client surprise on ne peux pas vous envoyé l'attestation par mail car c'est samedi si vous pouvez pas pourqoui accepte un client un samedi du coup je ne peux pas allez travaille une journee de travail perdu en l'appelle trop cher 0.80 centime la minute  j'ai reste 30 mn en attente c'est du vol je porte plainte pour le moteur de recherche les furets.com aussi car c'est lui le responsable  </t>
  </si>
  <si>
    <t>20/10/2018</t>
  </si>
  <si>
    <t>01/10/2018</t>
  </si>
  <si>
    <t>rebecca-99204</t>
  </si>
  <si>
    <t xml:space="preserve">Impossible de les joindre par telephone, attente interminable. espace client ne marche pas, donc impossible d’avoir une validation de devis. juste l’horreur. Numéro payant en plus! </t>
  </si>
  <si>
    <t>25/10/2020</t>
  </si>
  <si>
    <t>01/10/2020</t>
  </si>
  <si>
    <t>david-d-133789</t>
  </si>
  <si>
    <t>Satisfait super service client assurance pas cher parfait je suis satisfait de direct assurance c'est une très bonne assurance je vous remercie de votre réactivité je suis entièrement satisfait</t>
  </si>
  <si>
    <t>nico77310-123804</t>
  </si>
  <si>
    <t>Assureur présent pour ramasser la cotisation mais absent quand vous avez besoin de lui.
Si vous aimez attendre 30 min sur des disques vocaux pour vous faire raccrocher au nez ou ne jamais avoir de réponses à vos mail alors souscrivez Sogessur, vous serez servis.
A part ça, assureur pas sérieux, à fuir absolument.</t>
  </si>
  <si>
    <t>Sogessur</t>
  </si>
  <si>
    <t>19/07/2021</t>
  </si>
  <si>
    <t>hortense22-56611</t>
  </si>
  <si>
    <t>JE PAYE CHAQUE ANNEE MA FACTURE D'ASSURANCE ET SUIS EN BONUS. j'entends souvent dire que AXA est mauvais payeur, également pr les assurances Incendie-Vol, mais ne l'ai pas vérifié. Je suis également assuré chez AXA pour mon assurance Incendie-Vol et RC Familiale police 811 577 017 et je remarque que la concurrence actuellement est moins chère et suis en train de mettre mes choix en question.
 J'ai fait des placements d'argent aussi chez AXA.</t>
  </si>
  <si>
    <t>11/08/2017</t>
  </si>
  <si>
    <t>william95-54781</t>
  </si>
  <si>
    <t xml:space="preserve">Assurance de plus en en plus naze....
Je demande un renseignement savoir si j'achète un véhicule et que plus tard je le donne à ma fille jeune permis, c'est possible.
LA jeune femme me répond avec agacement que non suite à UN sinistre grave jeune permis, ça ne se fait plus chez eux et que si je compte faire ça, je ne serais plus assuré chez eux car je vais leur faire perdre du temps administrativement :)
Alors c'est simple, je vais trouver une assurance jeune permis et je vais virer mes contrats eurofil
Content eurofil, un client de 10 ans en moins </t>
  </si>
  <si>
    <t>18/05/2017</t>
  </si>
  <si>
    <t>camille-89881</t>
  </si>
  <si>
    <t xml:space="preserve">Cruel manque de professionnalisme et de communication entre conseillers. 
Assurance auto souscrite le 07/05 résiliée par l'assureur le 09/05. 
J'ai passé 1h30 au téléphone en expliquant au conseiller que je souhaitais assurer mon véhicule pour des déplacements professionnels, celui - ci m'a assuré que c'était faisable. Deux jours après, L'Olivier me rappelle pour résilier mon assurance car ils ne couvrent pas ce type de trajets. 
Sauf que, j'ai payé la totalité lors de ma souscription soit pratiquement 400 euros. L'Olivier refuse de me rembourser la totalité (il s'agit pourtant d'un manque de professionnalisme de leur part, je n'y suis pour rien...) et en plus de ça, j'apprends que j'ai également payé des frais d'ouverture à hauteur de 36 euros dont je n'étais pas au courant ET qui ne me seront pas non plus remboursés. 
Donc, pour avoir été "assurée" chez eux 2 jours, je paie 50 euros. 
J'appelle ça : du vole. </t>
  </si>
  <si>
    <t>23/05/2020</t>
  </si>
  <si>
    <t>raphael-b-125952</t>
  </si>
  <si>
    <t xml:space="preserve">Prix très correct par rapport aux autres compagnies d'assurance, avec les mêmes garanties. Conseiller rapide et efficace. Je recommande pour les motards. </t>
  </si>
  <si>
    <t>fredmount-105074</t>
  </si>
  <si>
    <t xml:space="preserve">Très content de axa jusqu’à maintenant,mais aujourd’hui j’ai quelques doutes  en effet plusieurs petits détail qui viennes de survenir me contraigne à devenir plus vigilant a de petit détail sur axa
1) je viens de réaliser l’achat d’un scooter électrique 125 dans une concession de moto électrique facture à l’appui ,je joins mon assureur qui depuis 20 ans n’as quasiment jamais entendu parler de moi,lui demande une Assurance temporaire de déplacement de ce dis véhicule jusqu’au Vendeur et CONSTRUCTEUR du véhicule (20 km de trajet être assuré temporairement 1h  afin d’y réaliser un contrôle strict )avant de l’assurée définitivement (je travaille chez le CONSTRUCTEUR du véhicule proprement dis au postes monteur opérateur en véhicule électrique) il m’as fallu quasiment 1 semaine pour réussir à prouvé m’as bonne foi ,réunir les documents demandés et au bout de 5 e-mail obtenir enfin le sésames tant espéré sachant que j’ai déjà un scooter 125 assuré chez eux 
2)de ce faite n’étant pas de bonne volonté à mettre chez axa la simplicité itinérante à ma fidélité de 20 ans je leur ai quand même demandé un devis sachants (je travaille dedans) qu’un véhicule électrique coûte deux fois moins chère en assurance chez quasiment tout les assureurs de France et bien NON chez axa il s’en foutes je suis quand même 50 euro plus chère que mon assurance de scooter thermique 
donc vous vous imaginez bien ce que je peux penser de ce genre de pratique commerciale 
Par pur plaisir de vous répondre je vous joins mon adresse mail au cas où vous auriez quelques doutes sur différentes affirmations que j’ai put évoquer 
Amicalement 
</t>
  </si>
  <si>
    <t>02/03/2021</t>
  </si>
  <si>
    <t>tnyz13-69232</t>
  </si>
  <si>
    <t>Bientôt 2 mois que j attend un remboursement, les mails sont sans sans suite.
J ai téléphoné 3 fois, 3 fois qu ils me disent qu ils s en occupe mais rien.
Je pensais me réinscrire chez eux une fois mon contrat terminé mais là ça va être compliqué.</t>
  </si>
  <si>
    <t>Ag2r La Mondiale</t>
  </si>
  <si>
    <t>07/12/2018</t>
  </si>
  <si>
    <t>01/12/2018</t>
  </si>
  <si>
    <t>fortes-gomes-j-117541</t>
  </si>
  <si>
    <t xml:space="preserve">Je suis satisfait du service les prestations proposées sont très intéressantes, la conseillère a été très bien et m'a tout bien expliqué je recommanderais. </t>
  </si>
  <si>
    <t>18/06/2021</t>
  </si>
  <si>
    <t>mohamed-ali--s-134806</t>
  </si>
  <si>
    <t xml:space="preserve">Bonjours Je suis satisfais de vos service pour l’instant  me faite pas changer d’avis le prix et correcte le reste je vais le découvrir et j’espère ne pas être déçu </t>
  </si>
  <si>
    <t>28/09/2021</t>
  </si>
  <si>
    <t>nina06-96937</t>
  </si>
  <si>
    <t xml:space="preserve">Impossible de joindre cette mutuelle   
Quelle idée d avoir adhéré a cette ste qui ne remplit vraiment pas ses devoirs ! 
Pas de remboursement et celui qui m a fait mon contrat est aux abonnés absents ! </t>
  </si>
  <si>
    <t>02/09/2020</t>
  </si>
  <si>
    <t>isabelle-a-130772</t>
  </si>
  <si>
    <t xml:space="preserve">satisfaite des services et facilité de contact/ gestion 
clarté des conditions 
tarifs compétitifs// aux autres offres 
 sollicitation des conseillers bienveillante et non intrusive  </t>
  </si>
  <si>
    <t>red-100775</t>
  </si>
  <si>
    <t xml:space="preserve">Toujours pas rembourser depuis 8 mois pour un simple accrochage sur ma classe A . Dont je ne sui pas en tort, le garage m’a débiter le montant de 3900€ est allianz tjr rien j’engage une procédure avec domage et intérêt je vous conseil de ne surtout pas souscrit chez eux . </t>
  </si>
  <si>
    <t>30/11/2020</t>
  </si>
  <si>
    <t>robert-76458</t>
  </si>
  <si>
    <t>lamentable, incompétent ! votre numéro de contrat est inconnu au bout de 15 ans ! impossible de régler par CB ! le moyen-âge et encore ! leur numéro de tel sur l'avis d'échéance habitation est celui des sinistres auto ! des vrais charlots !! en cas de sinistre je n 'ose même pas y penser ! et le service réclamation sur le site est en panne ! un comble ! allianz est une panne !!</t>
  </si>
  <si>
    <t>04/06/2019</t>
  </si>
  <si>
    <t>alan-s-128651</t>
  </si>
  <si>
    <t xml:space="preserve">Souscription très rapide, les informations sont succintes mais claires. Réponse d'un conseiller efficace dans les minutes qui ont suivi mon devis. J'ai pu souscrire pour prise d'effet immédiat.
</t>
  </si>
  <si>
    <t>19/08/2021</t>
  </si>
  <si>
    <t>sogorb-p-114915</t>
  </si>
  <si>
    <t>Excellent rapport qualité/prix et le service client est rapide et performant. J'espère que cet avis sera confirmé si d'aventure, un sinistre devait arriver.</t>
  </si>
  <si>
    <t>alan--m-124302</t>
  </si>
  <si>
    <t xml:space="preserve">Nickel et rapide je recommande vivement cette assurance je les trouvais grâce un forum de recherche et j'ai déjà été assuré au par avant et je nes jamais eu aucun soucis </t>
  </si>
  <si>
    <t>anto-72126</t>
  </si>
  <si>
    <t>Une mutuelle avec des démarcheurs peu scrupuleux des résiliations impossibles un service néant fuyez ces gens tant qu'il n'est pas trop tard car ce sera un parcours du combattant pour les quitter sans qu'ils ne vous aient depouillés de peu d'argent qu'il vous reste</t>
  </si>
  <si>
    <t>13/03/2019</t>
  </si>
  <si>
    <t>01/03/2019</t>
  </si>
  <si>
    <t>jessy-m-124207</t>
  </si>
  <si>
    <t>Compagnie d'assurance à fuir absolument,
Si vous voulez des Malus sans aucune raison valable et sans aucune expertise, foncez là-bas.. 
Aucune écoute de leurs clients.
Dommages, 5 souscriptions d'assurance chez eux. 
Mais la qualité de service et le professionnalisme ne sont pas des valeurs qu'ils connaissent visiblement.
Après plusieurs entretiens téléphoniques avec d'autres compagnies d'assurance, je me demande pourquoi je ne suis pas parti plutôt de la Maaf..
À bon entendeur,
Jessy</t>
  </si>
  <si>
    <t>carolinee92-78703</t>
  </si>
  <si>
    <t>Cet assureur laisse vraiment à désirer. vous pensez être assuré jusqu'à ce que vous ayez réellement besoin d'eux et là c'est une autre histoire. pour la petite histoire j'ai déclaré un sinistre (460950656), j'ai découvert en stationnement ma voiture avec la porte amochée et sans savoir ce qui s'était passé je pense à quelqu'un qui m'est rentré dedans en stationnement... l'expert passe et dit que j'ai raclé peut-être sans m'en rendre compte
Résultat: plutôt que de me mettre un malus, l'assurance n'a pas voulu prendre en charge ce sinistre et je dois prendre totalement à ma charge un sinistre alors que je suis assuré tout risque et que je les ai moi-même appelé pour leur dire de respecter ce que l'expert a dit et me mettre le malus. Je trouve cette situation inacceptable et j'espère que ce commentaire dissuadera les futurs clients d'aller chez cet assureur. Parfois il vaut mieux payer légèrement plus cher et être VRAIMENT assuré</t>
  </si>
  <si>
    <t>26/08/2019</t>
  </si>
  <si>
    <t>01/08/2019</t>
  </si>
  <si>
    <t>pinto-m-107361</t>
  </si>
  <si>
    <t>Pour le moment satisfait, je ne peux en dire plus car c est la première inscription à votre assurance
Encore merci. En espérant ne pas avoir à vous solliciter</t>
  </si>
  <si>
    <t>nicolas-j-136606</t>
  </si>
  <si>
    <t>je suis assez satisfait du tarif; j'aurais apprécié un effort tarif à la signature du contrat (1 mois gratuit)surtout que j'ai déjà 3 motos dans le contrat.</t>
  </si>
  <si>
    <t>08/10/2021</t>
  </si>
  <si>
    <t>georges-m-129372</t>
  </si>
  <si>
    <t>simple  et rapide .prix.le fait de payer mensuellement. l'offre casse mécanique.j'aimerai savoir si vous avez un bureau en savoie ou haute savoie.Cordialement.</t>
  </si>
  <si>
    <t>25/08/2021</t>
  </si>
  <si>
    <t>cbucciol-106990</t>
  </si>
  <si>
    <t>Mutuelle employeur obligatoire : 
Toujours en attente de remboursement depuis le mois d octobre!! Inadmissible !! Une honte!! Je suis toujours en train de quémander mon dû, par contre ils n oublient pas de prélever les échéances tout les mois. Un conseil fuyez, passez votre chemin. ??</t>
  </si>
  <si>
    <t>18/03/2021</t>
  </si>
  <si>
    <t>littleb63-105369</t>
  </si>
  <si>
    <t xml:space="preserve">Mon opinion sur cette mutuelle est, à l'instar de la la majorité de celles exprimées sur le site : déplorable ! ! !
Le niveau de cotisation était déjà très élevé (augmentation systématique tous les ans !) mais cette année, dans le contexte actuel, l'augmentation à l'échéance 2021/04 est tout bonnement indécente !
Cet avis est rédigé par un motard "averti" qui roule, bon an mal an 15000 km/an (un peu moins les années de confinement - LOL) et cela sans interruption depuis 1970.
PS : cher "camarade" mutualiste, il est inutile de me contacter pour essayer de justifier ces augmentations tarifaires "indexées sur le coût de la vie" ; ma pension de retraite, elle, n'ayant pas bougée depuis 10 ans ! </t>
  </si>
  <si>
    <t>03/03/2021</t>
  </si>
  <si>
    <t>opinion-79063</t>
  </si>
  <si>
    <t>Très cher . 
service client peu fiable
plus de 4 mois pour prendre en compte la naissance de mon enfant (après 4 courriers et 3 appels). difficile de faire pire une une simple démarche.</t>
  </si>
  <si>
    <t>Mgen</t>
  </si>
  <si>
    <t>09/09/2019</t>
  </si>
  <si>
    <t>01/09/2019</t>
  </si>
  <si>
    <t>adam-c-116470</t>
  </si>
  <si>
    <t xml:space="preserve">Je suis satisfait du services, les prix sont honorables merci bcp April moto. Je vais conseiller cette assurance à mon entourage, je vais ensuite la conseiller également à mon amie qui a le même 2 roues que moi . </t>
  </si>
  <si>
    <t>09/06/2021</t>
  </si>
  <si>
    <t>paulvar-63475</t>
  </si>
  <si>
    <t>J avais un peu  d'appréhension de souscrire en ligne pour l'assurance de ma 407, la différence m a convaincu. On ne connait la valeur quand on a sinistre, et l'olivier m'a agréablement lorsque j'ai eu un léger accrochage. La conseillère a été de très bon conseil et le remboursement s'est fait en une semaine</t>
  </si>
  <si>
    <t>22/04/2018</t>
  </si>
  <si>
    <t>01/04/2018</t>
  </si>
  <si>
    <t>coillard-b-139621</t>
  </si>
  <si>
    <t>Tarifs parmi les meilleurs du marché, simplicité de la procédure par internet, plus qu'à voir pour la prise en charge en cas de sinistre. pour l'instant que du +</t>
  </si>
  <si>
    <t>15/11/2021</t>
  </si>
  <si>
    <t>divies-t-138040</t>
  </si>
  <si>
    <t>Le service est satisfaisant, les conseillées sont à l'écoute et on pu répondre à mes problématiques sans problèmes et ceci dans les plus bref délais. Merci.</t>
  </si>
  <si>
    <t>22/10/2021</t>
  </si>
  <si>
    <t>valounette02-76041</t>
  </si>
  <si>
    <t>A FUIR Résilié en 30 secondes pour une simple question, rien ne vaut le petit assureur du quartier, avoir un vrai humain en face de soi de nos jours ça n'a pas de prix</t>
  </si>
  <si>
    <t>18/05/2019</t>
  </si>
  <si>
    <t>01/05/2019</t>
  </si>
  <si>
    <t>el-jabri-raviele-l-121241</t>
  </si>
  <si>
    <t>je suis satisfe du service et du prix tout au moment est bien passe on attemde de avoir l assurance en facon definitive.encore merci pour la qualite du service</t>
  </si>
  <si>
    <t>25/06/2021</t>
  </si>
  <si>
    <t>e2634-56831</t>
  </si>
  <si>
    <t>Bonjour,
Ma voiture a été défoncée pendant la nuit du 28 Juillet 2017 lors de mes vacances en Corse.
la personne a prit la fuite Cela fait maintenant 26 jours et je n'ai toujours pas récupéré ma voiture qui est toujours en Corse. Direct assurance refuse pour l'instant de la rapatrier malgré  l'article 5.3.7 des conditions générales et l'article 41.2 de mon pack option sérénité.
Je suis désepéré, j'ai besoin de ma voiture pour aller travaille et l'on me réponds que mon dossier prends du temps ..... un temps que je n'ai plus.
C'est lamentable je trouve</t>
  </si>
  <si>
    <t>23/08/2017</t>
  </si>
  <si>
    <t>renata-c-123990</t>
  </si>
  <si>
    <t>Je suis satisfaite du prix proposer.
Le conseiller est a mon ecoute.
Maintenant reste plus qu  a croiser les doigts pour que tout se passe bien en cas d imprevu qui je l espere n arrivera jamais. :)</t>
  </si>
  <si>
    <t>Zen'Up</t>
  </si>
  <si>
    <t>20/07/2021</t>
  </si>
  <si>
    <t>maxoue-102886</t>
  </si>
  <si>
    <t xml:space="preserve">Viré au bout de 32 années à la GMF, pour le motif suivant : altération de la relation commerciale, oui vous avez bien lu…Mon fils, ma fille, mon gendre étant sociétaires auprès s de la GMF. Je suis un ancien de l’association nationale des sociétaires (bénévole), aucune communication, aucun appel téléphonique, aucune explication. La direction régionale située sur Aix n’a déniée nous contacter, le mutualisme à bel et bien disparu… Assurément humains, ils devraient avoir honte de résilier des sociétaires et non clients comme ils le font en période d’épidémie en 2021, le service relation client à fini par recevoir notre contestation, et à fini par enfin nous écouter, heureusement la loi Hamon est là pour mieux protéger des clients ou sociétaires de ces grands groupes d’assurances, qui ne font que s’enrichir surtout en période d’épidémie…leurs silence d’ailleurs en dit long.
</t>
  </si>
  <si>
    <t>19/01/2021</t>
  </si>
  <si>
    <t>chouchou-60818</t>
  </si>
  <si>
    <t>Etant à mon compte, je contracte un contra axa avizen pro. Je tombe en arrêt maladie pour une période d'un mois. 15 jours de carences, ça je suis au courant. A l'heure actuelle mon arrêt de travail est terminé et bien je n'ai toujours pas été indemnisée.  Ma conseillère de l'époque m'as indiqué que mon contrat couvrait également les frais professionnel et question posée au centre axa "nous ne pouvons intervenir, vous n'avez pas souscrit cette garantie". J'ai contracté cette prévoyance pour me prémunir en cas de soucis de santé et bien là je suis gâtée. J'envoie ma lettre de résiliation dès aujourd'hui !</t>
  </si>
  <si>
    <t>25/01/2018</t>
  </si>
  <si>
    <t>tala-104749</t>
  </si>
  <si>
    <t xml:space="preserve">Prix défiants toute concurrence,  interlocuteurs très agréables et super réactifs. Ça fait plaisir de voir une entreprise qui sait travailler avec autant d'efficacité. </t>
  </si>
  <si>
    <t>24/02/2021</t>
  </si>
  <si>
    <t>thibaut69100-81654</t>
  </si>
  <si>
    <t>Service client 0. Aucun suivi, des personnes incompétentes ou des process clients défaillants.
Quelle manque de professionnalisme je n'ai jamais vu cela. Et le problème est non toujours non réglé.
Erreur dans mon nom de la part de l'assureur dès l'ouverture de mon compte: 3 mails au service client, sans retour de leur part. 1 autre mail pour signaler mon agacement après réception de la carte verte caduque. 3 semaine plus tard aucun changement. 2 appels pour mettre à jours tout cela, toujours le même résultat. Le service client est incompétent. Je regrette d'avoir rejoints cet assureur bien que ses prix soient attractifs.</t>
  </si>
  <si>
    <t>05/12/2019</t>
  </si>
  <si>
    <t>01/12/2019</t>
  </si>
  <si>
    <t>helene-u-106024</t>
  </si>
  <si>
    <t>nous sommes plutôt satisfait du service qui est plutôt rapide. merci beaucoup . très accessible visuellement en plus de cela. étant dans l'accessibilité numérique ca me fait plaisir.</t>
  </si>
  <si>
    <t>09/03/2021</t>
  </si>
  <si>
    <t>bernard-75171</t>
  </si>
  <si>
    <t>FACILE D ACCES POUR S ASSURER, PUIS CASSE TETE CHINOIS UNE FOIS SIGNE. TOUJOURS DES PROBLEMES DE BONUS ACCIDEN T RESPONSABLE OU NON. POUR FINIR ILS VOUS METTENT UNE AUGMENTATION D UNE CENTAINE D EUROS.</t>
  </si>
  <si>
    <t>17/04/2019</t>
  </si>
  <si>
    <t>java-72445</t>
  </si>
  <si>
    <t>Sociétaire depuis plus de 20 ans, je n'ai jamais, jamais, obtenu aucun dédommagement de la MACIF pour les sinistres déclarés. Chaque fois, je suis comme par hasard en "dehors du cadre" des prises en charge ou ne suis pas assurée pour les situations déclarées. Tout cela sans qu'aucun conseil ne m'ait été apporté sur la pertinence de ma couverture par rapport à mes besoins. J'ai demandé à avoir ces conseils mais sans résultats. Ras-le-bol ! Il est temps de changer de crèmerie !</t>
  </si>
  <si>
    <t>25/03/2019</t>
  </si>
  <si>
    <t>aurelbro-55479</t>
  </si>
  <si>
    <t>Dépitée !!!cliente depuis 2014 aucun pb je change de véhicules au moi de novembre donc comme d'habitude hop hop hop on me prend des frais pour le changement puis augmentation de la cotisation normal c'est pas le même véhicule donc au final je passe de 64€ à 69€ par mois jusque là pas de soucis je prend le prélèvement qui n'est pas gratuit et génère des frais pour être tranquille et la j'arrive au mois de mai je demande une carte d'assurance avec vignette à jour et on me dit votre dossier à été bloqué depuis janvier on a pas reçu votre carte grise ! 
J'ai envoyer cette carte grise mais quand bien même on est en juin et j'ai aucun mail aucun message aucun courrier qui me stipule que mon dossier et bloquer ! 
Résultat je dois payer en une ou deux fois les sommes de février mars avril mai juin et juillet je leurs dit que c'est pas possible qu'il faut trouver un arrangement car ce n'est pas de ma faute si ils ne préviennent pas et qu'il bloque mon dossier comme ça 
Je leurs demande de payer février mars avril donc 69€multiplier par 3 je trouve 207€ on me dit non 219€ Il y'a des frais de changement frais déjà payer en décembre du coup je m'agace la dame me dit qu'elle a changer mon dossier et que c'est plus 69€/mois mais 95€/mois maintenant ! 
ABUSÉ !!!!
Du coup mon dossier et encore bloqué je n'ai plus accès à rien en attendant qu'ils daignent me reconctater pour gérer le conflit ! Je sais même pas si je suis assurer ou non ! SERVICE mail je leur fait part du problème et ils me renvoient un mail me disant qu'ils ont essayer de me joindre mais que j'ai pas décroché j'ai jamais eu aucun appel de leurs part et il me demande de rappeler le SERVICE client qui ne sert à rien bref on tourne en rond limite quand on les appel on les fait ch.....
DEgouté</t>
  </si>
  <si>
    <t>19/06/2017</t>
  </si>
  <si>
    <t>coco-104606</t>
  </si>
  <si>
    <t xml:space="preserve">Très déçue 30 ans de cotisations
Le sinistre an 2 mots 
Antenne tv qui tombe suite à un coup de Vent le samedi 20 février 
Il y a eu un séisme le mercredi sur vannes 
Malgré ces 2 éléments ils ne prennent pas en charge le sinistre 
Ce n était pas un vent de 100 km heure nous a t on dit 
Je pense changer toutes les assurances actives chez pacifica 
</t>
  </si>
  <si>
    <t>22/02/2021</t>
  </si>
  <si>
    <t>ploufi-76048</t>
  </si>
  <si>
    <t>Assurance qui m'a toujours donné entière satisfaction depuis près de 40 ans. Les prix sont parfaitement justifié au regard de la qualité de la garantie.</t>
  </si>
  <si>
    <t>vandedard-70126</t>
  </si>
  <si>
    <t>Intervention supprimée à la demande de l'internaute.</t>
  </si>
  <si>
    <t>17/01/2019</t>
  </si>
  <si>
    <t>bb35-133762</t>
  </si>
  <si>
    <t xml:space="preserve">Je suis satisfaite du montant payer pour les 5 personnes de mon foyer. Un contrat adapté à chaque membres de la famille en fonction des besoins et évolutifs si les besoins changes.
Un commerciale pour la mise en place du contrat très à l'écoute et réactif, des téléconseillers au top à chaque appel (à l'écoute, aimables, souriants, répondant au question et réactifs).
</t>
  </si>
  <si>
    <t>MGP</t>
  </si>
  <si>
    <t>tbahriti-m-108450</t>
  </si>
  <si>
    <t xml:space="preserve">Simple et rapide . Je valide. Au top , le prix est un peu chère mais ça va . J’espère une bonne et longue collaboration. 
Il devrait avoir une appli pour être parfait </t>
  </si>
  <si>
    <t>29/03/2021</t>
  </si>
  <si>
    <t>julie-90809</t>
  </si>
  <si>
    <t xml:space="preserve">Les prix sont raisonnables, bon rapport qualité prix pour les proposition faite . Initiative de you drive plutôt satisfaisante et facile pour faire des économies </t>
  </si>
  <si>
    <t>14/06/2020</t>
  </si>
  <si>
    <t>belgacem-f-105552</t>
  </si>
  <si>
    <t xml:space="preserve">Le contact est rapide et facile
par contre les tarifs sont un peu plus cher  que chez les concurrents 
acces aux documents facile  via l application
</t>
  </si>
  <si>
    <t>05/03/2021</t>
  </si>
  <si>
    <t>anne-112416</t>
  </si>
  <si>
    <t>Le jour de mon accident le numéro inscrit sur ma carte verte était "exceptionnellement fermé" donc assurance injoignable ! Par la suite mon dossier a été suspendu donc aucune voiture de prêt, et à ce jour malgré mes relances je ne sais tjs pas pourquoi. Enfin cela fait plus d un mois que ma voiture est déclarée épave, lorsque j appelle avec mon numéro le service est fermé, avec un autre numéro le service est ouvert. Je ne pensais pas que ce genre de pratique était possible, je suis malheureusement impuissante. Des procédés totalement abusifs, vraiment fuyez !</t>
  </si>
  <si>
    <t>02/05/2021</t>
  </si>
  <si>
    <t>nicolas-w-134898</t>
  </si>
  <si>
    <t>AMV est une très bonne assurance qui indemnise rapidement. De plus, le site est clair. je reste donc fidèle à la société.
Et comme toute assurance, c'est toujours trop cher!</t>
  </si>
  <si>
    <t>didier-c-105742</t>
  </si>
  <si>
    <t>je suis satisfait du service mais les prix augmentent trop tous les ans et ne tiennent pas compte de la fidélité des clients 
il est également difficile de communiquer par téléphone avec la plateforme : personnel formaté recitant sa leçon et coupure fréquentes sans rappel.
cordialement</t>
  </si>
  <si>
    <t>07/03/2021</t>
  </si>
  <si>
    <t>boulaire-j-114622</t>
  </si>
  <si>
    <t>Plutôt simple et pratique 
Bonne assurance pour un jeune conducteur, je suis satisfait mais peut être que les 150 caractères sont un peu trop élevés .</t>
  </si>
  <si>
    <t>23/05/2021</t>
  </si>
  <si>
    <t>lolia-91007</t>
  </si>
  <si>
    <t xml:space="preserve">Mon père est décédé il y a 4 mois.
Depuis ma mère est prélevée pour 2 personnes malgré mes nombreux appels et mails.
Ma mère n a pas reçu sa carte et les professionnels ne sont plus remboursés.
Sa situation financière devient très délicate.
</t>
  </si>
  <si>
    <t>16/06/2020</t>
  </si>
  <si>
    <t>mnl-61624</t>
  </si>
  <si>
    <t>Je viens de recevoir une mise en demeure de leur part par e-mail car ils n'ont pas reçu mon chèque de paiement pour l'assurance de notre SKODA, envoyé il y a un mois, mais pas à la bonne adresse. L'adresse obligatoire n'est pas indiquée sur l'avis d'èchéance - il y a trois adresses pour Direct Assurance sur ce document, à Lille, Suresnes et Nanterre. On n'explique pas qu'il faut envoyer des chèques à Lille au lieu de Suresnes, par exemple. J'imagine que mon chèque est à Suresnes quand même mais on s'en fout de l'encaisser car ce n'était pas envoyé à la bonne adresse et alors un tas de problèmes suit. Après maintes essais de voir avoir eux comment payer, je suis obligée d'envoyer un deuxième chèque de Singapour où je travaille pour l'instant, dans un délai impossible d'ici. Pas de compréhension, pas de flexibilité, malgré le fait qu'on est client depuis cinq ans, sans sinistre, qui paie toujours ponctuellement. Si le deuxième chèque ne les atteint dans le délai impossible, ils vont retenir le paiement et annuler le contrat, apparamment. Mais je suis obligée de le risquer quand même. On a refusé ma suggestion de faire un virement directement à leur compte bancaire et je n'ai pas de carte bancaire française, donc je ne peux règler que par chèque et puisque je me trouve à Singapour, le délai est trop court même si j'envoie le chèque de suite. J'ai parlé à quatre personnes aujourd'hui, pour trouver une solution, mais je suis toujours coincée.</t>
  </si>
  <si>
    <t>21/02/2018</t>
  </si>
  <si>
    <t>01/02/2018</t>
  </si>
  <si>
    <t>spicher-c-126383</t>
  </si>
  <si>
    <t>Très bon accueil téléphonique a chaque fois .Très bien renseigné,toujours très bien dirigé dans nos démarches avec de bonnes et claires explications .</t>
  </si>
  <si>
    <t>rdd-99852</t>
  </si>
  <si>
    <t>J'apprecie le réseau de ses agences , l'accueil et le professionnalisme des interlocuteurs concernant les différents contrats et leur expertise et efficacité concernant les sinistres.</t>
  </si>
  <si>
    <t>08/11/2020</t>
  </si>
  <si>
    <t>jeunehommecolere-65343</t>
  </si>
  <si>
    <t xml:space="preserve">Bonjour,
A tous et a toutes. Voila je suis fonctionnaire territorial en congé longue maladie pendant 2 ans et demie bientôt. j'ai prit une assurance complément de salaire a Intérial pour pouvoir continuer a payer mes factures. Quand j'ai prit le contrat, ça disais que il fallait une carence de 6 mois pour pouvoir bénéficier du complément de salaire. J'ai souscrit a l'assurance le 28 août 2015 et je me suis mit en congé maladie le 26 Octobre 2015. Hors, Interial a commencer a me payer au bout de 3 mois de carences. Aussi ça dit sur ma feuille de calcul de prestation que la date de déclaration est le 1 Novembre 2016. Maintenant il me demande que je l'ai repaye les 10 00 euros qu'ils m'ont verser et refuse de me payer mon complément de salaire. Moi j'ai penser que si j'ai commencer a être payer, ça voulais dire que j'avais respecter le contrat ou que le délais de carence avais changé. Hors ils ont attendu 3 ans et demie pour se rendre compte que le délais de carence n'avais pas étais respecter. Qu'elle recours puis je avoir?.
merci d'avance,
Thomas
</t>
  </si>
  <si>
    <t>Intériale</t>
  </si>
  <si>
    <t>08/07/2018</t>
  </si>
  <si>
    <t>jacwar-61584</t>
  </si>
  <si>
    <t xml:space="preserve">A fuir! Devis en ligne: 560e puis au téléphone : 630e sans explication, je décide de souscrire quand même. Puis après l'étude du dossier : 730e qui est débité directement sur votre compte car vous avez autorisé à faire des prélèvements. L'augmentation est du à un bris de glace que j'avais pourtant mentionné par téléphone...  et aussi dans la simulation. </t>
  </si>
  <si>
    <t>20/02/2018</t>
  </si>
  <si>
    <t>joss-90046</t>
  </si>
  <si>
    <t>Gros litige avec AXA après avoir résilier mon contrat Multi professionnels sur une remorque food truck avec documents à l'appui de la chambre des commerces comme quoi mon entreprise était bien arrêtée. Ils ont laissé le contrat professionnel sur mon véhicule tracteur de cette remorque avec un surcoût de 30 € par mois pendant 24 mois. Quand je me suis rendu compte du litige J'ai appelé tout de suite l'assurance qui m'a répondu que je devais surveiller mes comptes et ne pas changer Trop souvent de travail . Donc bien évidemment ils n'ont pas voulu me rend Boursé le trop-perçu. J'ai donc envoyé une réclamation à AXA Paris qui a fait suivre cette réclamation à mon assureur qui m'a rappelé aussitôt pour en premier temps modifier les 30 € en 20 € et me proposer la petite somme de 150 € pour fermer ma bouche. Faites le calcul 24 × 30 on n'y est pas du tout. Je demande le remboursement intégral. Si Monsieur Dominique sur ce forum veux bien communiquer avec moi Ce sera avec grand plaisir</t>
  </si>
  <si>
    <t>29/05/2020</t>
  </si>
  <si>
    <t>momo-85445</t>
  </si>
  <si>
    <t>Bonjour,
Après des années passée a la maif sans aucun sinistre a 50% de bonus depuis 3 années consécutive, surprise pour 2020 encore une augmentation de 20eur pour année 2020.
Pour une clio tiers simple je suis a actuellement a 335eur. Trop chère vue mon bonus de 50% a 40ans.
Concurrence assur carrefour sont a 180eur, au révoir la maif.</t>
  </si>
  <si>
    <t>03/01/2020</t>
  </si>
  <si>
    <t>01/01/2020</t>
  </si>
  <si>
    <t>laguna-34635</t>
  </si>
  <si>
    <t>Chapeau bas à Mélanie et Hélène de l'agence Matmut proche Gare de Bayonne. Accueil impeccable,compréhension des attentes et adéquation des offres , professionnalisme remarquable, sourire (non forcé) et zeste d'humour appréciable ,patience....ça réconcilie avec le milieu de l'assurance</t>
  </si>
  <si>
    <t>26/09/2019</t>
  </si>
  <si>
    <t>millet-c-131035</t>
  </si>
  <si>
    <t>Très satisfaite du service commerciale, Mme NASSIMA a été très agréable , à su me conseiller à la perfection et répondre à chacune de mes questions, merci pour ses conseils.</t>
  </si>
  <si>
    <t>03/09/2021</t>
  </si>
  <si>
    <t>emilie84200-104688</t>
  </si>
  <si>
    <t xml:space="preserve">Une assurance toujours à l’écoute 
Les démarches sont rapide 
Nous ne sommes pas un numéro de client mais une personne propre 
Je recommande cette assureur 
Merci pour votre professionnalisme </t>
  </si>
  <si>
    <t>cgorgi-46264</t>
  </si>
  <si>
    <t xml:space="preserve">Je n'ai qu'un reproche à faire à Axa , c'est celui de ses tarifs car même en étant au tiers , c'est cher pour les garanties contractées. Sinon pas de problèmes pour la prise en charge des sinistres </t>
  </si>
  <si>
    <t>olici54-108074</t>
  </si>
  <si>
    <t>Victime d un accident de voiture. Les réparations sur ma voiture ont été minorés après le passage d un deuxième expert. Il y a eut une panne électrique avec cour circuit en 2020 pendant le confinement dans mon grenier.  Aucune aide de la macif, ils n ont trouvé aucun artisans. La personne que j ai eu au téléphone m a dit de mettre en sécurité la maison en débranchant le circuit. J ai quitté la macif cette année pour la maaf, il y avait une promo de 200 euros pour l'ouverture assurance auto et maison.</t>
  </si>
  <si>
    <t>alex-v-101989</t>
  </si>
  <si>
    <t xml:space="preserve">Je suis satisfait du service de Zen'Up, où les agents sont disponibles. Les prix annoncés sont corrects. Je pourrai recommander volontiers à mon entourage. </t>
  </si>
  <si>
    <t>29/12/2020</t>
  </si>
  <si>
    <t>morgane-b-134829</t>
  </si>
  <si>
    <t>Je suis satisfait !! Les prix sont très intéressants !!
Rapide et efficace. Très contente du service à voir sur du long terme mais je suis satisfait pour l’instant .</t>
  </si>
  <si>
    <t>mc86-63217</t>
  </si>
  <si>
    <t>Politique de l’assurance AXA : augmenter de plus de 20% la cotisation annuelle de l’assurance habitation ou bien encore de résilier les contrats de ses clients dès qu’il y a un sinistre!</t>
  </si>
  <si>
    <t>12/04/2018</t>
  </si>
  <si>
    <t>zeineddine-b-123042</t>
  </si>
  <si>
    <t>Je suis très satisfait de la proposition qui m'a été faites.
La transaction a été rapidement conclue et je suis très satisfait de l'accueil de la personne qui m'a reservé !</t>
  </si>
  <si>
    <t>gilles-115287</t>
  </si>
  <si>
    <t>J'étais bénéficiaire chez Cocoon depuis janvier 2016 d'un contrat séjour hospitalisation permettant 20€ quotidiens de remboursement, En 2019 et 2020, j'ai subi 93 jours d'hospitalisation. Cocoon a lambiné 3 mois en 2021 pour clore mon dossier.
C'est à ce moment, en mai 2021, que j'ai appris que Génération ignorait l'existence de mon contrat. 5 ans plus tard !
Maintenant, à moi de refaire un gros dossier complet alors qu'il a été envoyé à la demande à Génération, à Quimper.
Voilà de quoi décourager tout assuré, ce qui est sans doute le but. Serai-je remboursé un jour ?
Gilles Petit</t>
  </si>
  <si>
    <t>Génération</t>
  </si>
  <si>
    <t>29/05/2021</t>
  </si>
  <si>
    <t>yassaoues-62200</t>
  </si>
  <si>
    <t xml:space="preserve">Apres 2 sinistres a 7 jours d’intervalle (1er sinistre un vandalisme voiture complètement rayé par une clé , 2eme sinistre marche arrière et leger choc sur la voiture derrière) j’ai vu mon contrat se résilier ... dommage , mon père était chez eux pendant 50 années , mis a part cette grande déception c’est un assureur très compétent je recommande </t>
  </si>
  <si>
    <t>11/03/2018</t>
  </si>
  <si>
    <t>doraeole-110529</t>
  </si>
  <si>
    <t>La MAIF est une assurance qui prône la solidarité. MAIF, assureur militant...
Où est la solidarité quand les assurés les plus pauvres, qui ne peuvent régler leur assurance en une seule fois se voient proposer différentes solutions de paiement en plusieurs fois, mais sans toujours préciser que il s’agit là d’un crédit avec intérêt. Un « effort financier »  corrige le conseiller que j’ai en ligne! Ainsi ce sont donc les plus pauvres qui doivent faire un « effort financier ». Jolie démonstration de solidarité! Assureur militant? Pour quelle cause?!!!</t>
  </si>
  <si>
    <t>15/04/2021</t>
  </si>
  <si>
    <t>caro21-53309</t>
  </si>
  <si>
    <t>sinistre non résolu datant  de juillet 2016</t>
  </si>
  <si>
    <t>16/03/2017</t>
  </si>
  <si>
    <t>01/03/2017</t>
  </si>
  <si>
    <t>alexandre-h-105796</t>
  </si>
  <si>
    <t>je suis satisfait de votre service . merci.les tarifs proposés d’assurances me semblent attractif. Me Hazera alexandre 1940 Avenue de toulouse 33140 cadaujac</t>
  </si>
  <si>
    <t>08/03/2021</t>
  </si>
  <si>
    <t>emmanuel-f-123055</t>
  </si>
  <si>
    <t>je suis satisfait du service et des prix tres competitifs. A voir dans le temps en foction d'eventuels incidents pour voir la prise en charge. Pas d'agence tout par telephone point negatif.</t>
  </si>
  <si>
    <t>sadoun-d-131191</t>
  </si>
  <si>
    <t>simple et pratique je suis satisfait j'aimerai juste une petite ristourne de temps en temps . 
en tout cas votre réactivité est exemplaire bravo je vous recommande.</t>
  </si>
  <si>
    <t>04/09/2021</t>
  </si>
  <si>
    <t>isabelle95-53010</t>
  </si>
  <si>
    <t xml:space="preserve">Bonjour 
Je me permets de poster un commentaire pour faire part de mon mécontentement concernant cardif
Suite à un cancer du sein en 2011 j ai été mise en invalidité 2 catégorie reconnu inapte par la médecine du travail donc j ai perdu mon emploi et reconnu par la MDPH
À la suite de ça en 2013 je suis de nouveau tombé malade sarcome utérin suivie de chimiothérapie radiothérapie curiethérapie (actuellement toujours en traitement et Kine 2 fois par semaine) qui me laisse aujourd'hui de très grosses séquelles 
j ai une prothèse de hanche gauche depuis 2012 et dans l attente de l opération de la hanche droite quand mon état de santé me le permettra je suis très handicapé pour les tâches du quotidien 
En janvier 2017 après 5 ans d indemnisation concernant le remboursement de mon prêt immobilier ils ont décidé de ne plus me prendre en charge je suis dans l incompréhension totale 
1 cancer en 2011 
1 cancer en 2013
Une prothèse de hanche gauche 
Dépression 
Toujours en soins liés aux séquelles des cancers perte de mon emploi pour inaptitude professionnel 
Reconnaissance MDPH
Je suis épuisée par toute ces démarches et suis très en colère je ne baisserais pas les bras 
Un courrier vient de partir par AR et je vais me battre </t>
  </si>
  <si>
    <t>Cardif</t>
  </si>
  <si>
    <t>05/03/2017</t>
  </si>
  <si>
    <t>fadu27-102981</t>
  </si>
  <si>
    <t>Bon tarif facile à faire évoluer pour une moto. Tout ce fait via le site internet qui est plutôt ergonomique et facile d’utilisation.
Manque plus que la fidélité et la bonne conduite récompensée pour être complètement satisfait.</t>
  </si>
  <si>
    <t>20/01/2021</t>
  </si>
  <si>
    <t>valentin-jourdan-94005</t>
  </si>
  <si>
    <t>Devis pratique, facile et rapide. Toutefois les aides disponibles à chaque champs à remplir ne sont d’aucunes aides (pas de description précise) et redondantes.
Cdt,</t>
  </si>
  <si>
    <t>13/07/2020</t>
  </si>
  <si>
    <t>bono-86419</t>
  </si>
  <si>
    <t xml:space="preserve">Je me suis assuré MACIF. Sans faire attention la 3ème année ils m'ont ajouté une prévoyance sans que je le demande... Je paye ma cotisation en pensant payer que l'habitation... Et le tour est joué... </t>
  </si>
  <si>
    <t>04/02/2020</t>
  </si>
  <si>
    <t>01/02/2020</t>
  </si>
  <si>
    <t>marlene-d-107438</t>
  </si>
  <si>
    <t>Je suis satisfaite du service et des tarifs proposés. Les échanges sont clairs et les démarches sont simplifiées. Je ne peux encore juger de la qualité de l'assurance en revanche.</t>
  </si>
  <si>
    <t>22/03/2021</t>
  </si>
  <si>
    <t>ben-80675</t>
  </si>
  <si>
    <t>A fuir je vous déconseille car le jour que vous aurez qu'un seul sinistre le contrat sera résilié lis nous prennent pour des vaches à lait,.......................................................</t>
  </si>
  <si>
    <t>04/11/2019</t>
  </si>
  <si>
    <t>step-71774</t>
  </si>
  <si>
    <t xml:space="preserve">Un assureur pas sérieux, je envoie tout le documents par mail et jusqu'à aujourd'hui pas de carte verte, je paye pour un service très mauves, service client sont pas au net au téléphone. Je conseille tout le monde ne pas signe contrat chez ce assureur, problème sont programme, un fois quand vous avez paye l'argent est partir, contra résilie et pas de remboursement. ATTENTION !! </t>
  </si>
  <si>
    <t>jeremy-f-112981</t>
  </si>
  <si>
    <t xml:space="preserve">tres pratique, facile rapide, a voir à l'utilisation si le service est au rendez-vous, si c'est le cas je parrainerai d'autre clients  et d'autre vehicules </t>
  </si>
  <si>
    <t>07/05/2021</t>
  </si>
  <si>
    <t>perrin-m-131939</t>
  </si>
  <si>
    <t>Très bien ! La conseillère était rapide et efficace, très claire et le contrat proposé adapté à nos attentes. Nous avons une autre voiture a assuré prochainement nous ferons appel à l’olivier .</t>
  </si>
  <si>
    <t>08/09/2021</t>
  </si>
  <si>
    <t>brigitte-92801</t>
  </si>
  <si>
    <t>Scandaleux ! je souscris une assurance habitation chez direct assurance le 03/06/2020 pour un appartement situé dans un immeuble neuf en cours de livraison, à une adresse temporairement attribuée.
Le cadastre ayant déterminé le numéro définitif, je demande le 30/06/2020 à Direct Assurance la seule modification sur mon contrat du n° de l'immeuble , et qu'elle n'est pas ma surprise de voir le montant de mon assurance augmentée de 25 euros rétroactifs car considéré comme un nouveau contrat ! J'ai pris contact avec le service client par mail et par téléphone pour revenir aux termes du contrat initialement accepté. .. rien n'y a fait, on m'a sorti des arguments irrecevables, comme si on voulait me faire gober que modifier le nom d'une rue faisait changer le risque de sinistre; Aucun geste commercial alors que nous avons plusieurs contrats chez eux ... ça n'est pas pour la somme mais pour le principe ! c'est  un abus totalement scandaleux ... Je ne suis pas d'accord pour qu'on nous prenne pour des pigeons et je vous demande de partager cet avis.</t>
  </si>
  <si>
    <t>30/06/2020</t>
  </si>
  <si>
    <t>karam-n-122641</t>
  </si>
  <si>
    <t>Le reste à améliorer. Le conseiller ne respecte pas ses engagements (il est convenu qu'il appelle avant 18h00 piur valider mon contrat le 06/07/2021, il n'a pas fait. J'ai raté mon achat à cause de lui....)</t>
  </si>
  <si>
    <t>07/07/2021</t>
  </si>
  <si>
    <t>mohammed-nadhir-i-111623</t>
  </si>
  <si>
    <t xml:space="preserve">Je suis satisfait merci beaucoup c'était vraiment rapide 
J'ai d'autres véhicules je vais sûrement assurer chez vous c'est absolument parfait  
Merci beaucoup </t>
  </si>
  <si>
    <t>26/04/2021</t>
  </si>
  <si>
    <t>natty-50540</t>
  </si>
  <si>
    <t>ne veut pas transférer l'assurance sur le véhicule de courtoisie du garage - donc pas de prêt de véhicule possible - assurance est passée de 30€/mois à 46€/mois en 2 ans</t>
  </si>
  <si>
    <t>21/12/2016</t>
  </si>
  <si>
    <t>01/12/2016</t>
  </si>
  <si>
    <t>nad-123954</t>
  </si>
  <si>
    <t>Je remercie Widad pour son amabilité à répondre à mes différentes demandes de façon claire et précise. Très professionnelle et de plus avec un ton souriant/agreablecest toujouts un plus??.</t>
  </si>
  <si>
    <t>Santiane</t>
  </si>
  <si>
    <t>madly-125284</t>
  </si>
  <si>
    <t xml:space="preserve">Très mauvaise mutuelle ! à fuir absolument !
Toujours un problème pour se faire rembourser.
Je viens de me voir refuser le remboursement du tiers payant pour des visites de rhumatologues et de Kiné. C'est inadmissible. Hâte de voir la fin du contrat pour me diriger vers une mutuelle digne de ce nom.
</t>
  </si>
  <si>
    <t>28/07/2021</t>
  </si>
  <si>
    <t>laeti-96110</t>
  </si>
  <si>
    <t xml:space="preserve">Assurée pour auto et habitation + prêt immo. Bon assureur mais jamais d'offre de baisse de prix malgré une demande il y a 1 an suite à ma fidélité.  Ce qui est regrettable et me pousse à voir ailleurs étant une bonne assurée. Il y a la concurrence qui est présente.  </t>
  </si>
  <si>
    <t>09/08/2020</t>
  </si>
  <si>
    <t>bruno-h-129631</t>
  </si>
  <si>
    <t>Je suis très satisfait du service client de zen up 
Bon suivi de dossiers du début a la fin de la souscription 
Très bon rapport qualité prix je recommande</t>
  </si>
  <si>
    <t>26/08/2021</t>
  </si>
  <si>
    <t>david--c-126716</t>
  </si>
  <si>
    <t xml:space="preserve">Simple et efficace j'espère ne pas être déçu, surtout quand j'aurais besoin de service suite à une panne ou accident. Ce que je ne souhaite pas du tout </t>
  </si>
  <si>
    <t>05/08/2021</t>
  </si>
  <si>
    <t>maxence-g-108362</t>
  </si>
  <si>
    <t>Je suis très satisfait de la compétence de mon conseiller et de sa rapidité d'agir . C'est tellement bon d'avoir affaire à des personnes qui connaissent leur travail sur le bout des doigts .</t>
  </si>
  <si>
    <t>rasys-71829</t>
  </si>
  <si>
    <t>Bonjour,
J'ai subi un prejudice suite au vol de mon vehicule en debut janvier 2019.
L'expert en charge de mon dossier m'a confirme par ecrit que la valeur de mon vehicule apres sinistre etait de 500 euros TTC. 
Aujourd'hui malgre mes demarches (en agence et téléphone) on me repete en boucle qu'un gestionnaire me contactera. Pff ca fait 2 mois bientot que j'attend.
En cas de sinistre vous n'êtes plus intéressant. Mais pour arroser continue a me prélever mon assurance auto et a m'envoyer mon avis d'échéance. Ils sont trop fort !!! pour vous casser le moral..
Quelqu'un a t il vecu un sinistre et obtenu satisfaction...
A vous lire,</t>
  </si>
  <si>
    <t>04/03/2019</t>
  </si>
  <si>
    <t>titou-67211</t>
  </si>
  <si>
    <t>Mon fils a eu un dégât des eaux importants dans sa maison et je peu vous dire qu' ils ont été formidable  expert le lendemain  et mise en route  pour faire la mise en état merci son pere</t>
  </si>
  <si>
    <t>30/09/2018</t>
  </si>
  <si>
    <t>corinne-l-122275</t>
  </si>
  <si>
    <t>les prix sont raisonnables ainsi les offres très nombreuses le client est bien aiguiller toujours aimables et à l'écoute au téléphone et des remises sont tjrs faite quand on a une bonne conduite</t>
  </si>
  <si>
    <t>03/07/2021</t>
  </si>
  <si>
    <t>roland-87112</t>
  </si>
  <si>
    <t>Je souhaite résilié mon contrat mais je ne peut pas me connecter sur mon compte et au téléphone les conseillers ne veulent rien savoir</t>
  </si>
  <si>
    <t>13/02/2020</t>
  </si>
  <si>
    <t>karine-r-112959</t>
  </si>
  <si>
    <t>Je suis satisfaite du service, de la réactivité et de la disponibilité des agents. 
Les tarifs sont très corrects.  Le service en ligne est clair et efficace.</t>
  </si>
  <si>
    <t>eva-128351</t>
  </si>
  <si>
    <t xml:space="preserve">assurance pas sérieuse, j'ai contracté un contrat qui démarre en janvier 2022, au téléphone il était convenu qu'ils résiliaient mon assurance actuelle et que je n'aurai pas de délais de carence mais sur le contrat 6 mois de délai de carence j'ai essayé de téléphoner mais personne ne m'a contacté, j'ai donc résilié par lettre recommandée avec AR .Aujourd'hui enfin on m'appelle mais pour me dire que ma résiliation n'est pas acceptée j'ai dépassé les 14 jours de rétractation et je vais devoir payer une assurance que je ne veux pas pendant un an </t>
  </si>
  <si>
    <t>Eca Assurances</t>
  </si>
  <si>
    <t>17/08/2021</t>
  </si>
  <si>
    <t>franck--g-125801</t>
  </si>
  <si>
    <t xml:space="preserve">Je suis satisfait des services de cette assurance 
Rapide et efficaces et pas chère j espère ne pas être déçu en cas de sinistre mais je com pas on avoir </t>
  </si>
  <si>
    <t>31/07/2021</t>
  </si>
  <si>
    <t>nathanael--94170</t>
  </si>
  <si>
    <t xml:space="preserve">Relativement satisfait du service et des choix mis à disposition, après contact avec un conseiller il est probable que je recommande cette assurance à mon entourage 
</t>
  </si>
  <si>
    <t>15/07/2020</t>
  </si>
  <si>
    <t>pasmaaf-54702</t>
  </si>
  <si>
    <t xml:space="preserve">Accident Renault Zoé </t>
  </si>
  <si>
    <t>15/05/2017</t>
  </si>
  <si>
    <t>gohan-104309</t>
  </si>
  <si>
    <t>J'avais espoir d'un juste retour d'une mutuelle à ces sociétaires après une année aussi particulière (confinement ect) et à l'usage très faible des véhicules (j'en ai 2 en tous risques toute l'année). Je constate sur l'avis d'échéance que non. 
En plus de n'avoir aucune baisse ou forfait de rétrocession comme d'autres assureurs, certains contrats ont même augmentés comme la moto ou le corporelle, un comble.
Se justifiant en donnant à des associations ou œuvres c'est bien mais le retour direct à vos sociétaires qui vous font vivre, aurait été encore mieux. J'espère au moins que vous ferez bénéficier à vos employés des économies via vos primes annuelles.
Je ne critique cependant pas le service client qui est pour le moment satisfaisant.</t>
  </si>
  <si>
    <t>16/02/2021</t>
  </si>
  <si>
    <t>balapou-62203</t>
  </si>
  <si>
    <t xml:space="preserve">Propriétaire d'un bouvier bernois, j'ai contracté un contrat alors qu'il était âgé de 3 ans. Il est tombé gravement malade, alors que le délai de carence n'était atteint que depuis 24 h; tous les examens et soins  ont été pris en charge selon les clauses du contrat  sans question (scan, coloscopie, IRM)
Fin 2017, il est à nouveau tombé très gravement malade, et bien qu'il ait fait de nombreux examens et traitements, les vétérinaires n'ont pas pu le sauver. A nouveau, les remboursements ont été rapides. J'étais très attristée de cette perte, aussi je n'ai prévenu SantéVet que quelques semaines après son décès; j'ai été remboursée du trop perçu sans même avoir du le demander. </t>
  </si>
  <si>
    <t>christophe-b-106517</t>
  </si>
  <si>
    <t>Bonjour, je viens de recevoir mon nouvel échéancier et de découvrir 11% d'augmentation pour la prochaine année.  Je ne suis pas prêt à accepter cette augmentation qui ne se justifie pas pour une inflation 2020 en France de 0.5%, en tout cas aucune explication n'est fournie par Direct Assurance justifiant de cette augmentation. Bonne journée.</t>
  </si>
  <si>
    <t>14/03/2021</t>
  </si>
  <si>
    <t>jenathanquevous-108055</t>
  </si>
  <si>
    <t xml:space="preserve">Assurance mutuelle injoignable, ne répondent pas au mail, pas téléphone... sauf par lettre (a l'ere du numérique), cherche le petit détail pour ne pas vous rembourser, assurance de mauvaise foi.
Perte de temps, de timbres, d'argent...
</t>
  </si>
  <si>
    <t>25/03/2021</t>
  </si>
  <si>
    <t>cali86-115749</t>
  </si>
  <si>
    <t>A fuir !!!! Mon mari a eu la covid dès le 1er confinement donc pas confirmé par prise de sang mais vu les symptômes aucun doute. Il a mis + de 6 mois à s'en remettre. Caci n'a jamais voulu l'indemniser, il y a toujours quelque chose qui manque. Dernièrement c'est le justificatif d'arrêt de travail de 2007  !!!! De qui se moque-t-on???  Résultat on change d'assurance !</t>
  </si>
  <si>
    <t>02/06/2021</t>
  </si>
  <si>
    <t>gt-113330</t>
  </si>
  <si>
    <t>Globalement, la mutuelle des motards me donnait satisfaction mais force de constater que maintenant c est l inverse mutuelle injoignable  d ou leur nouveau slogan "si vous n avez pas besoin de nous appellez nous"</t>
  </si>
  <si>
    <t>11/05/2021</t>
  </si>
  <si>
    <t>taty-114825</t>
  </si>
  <si>
    <t xml:space="preserve">Je suis à cette mutuelle depuis Janvier 2021, très déçu, pas du tout les critères que j'avais demandé, mauvaise surprise lors des remboursements et quand on les obtient.......,
Je fais des démarches pour une autre mutuelle plus compétente,de plus quand on demande une explication, ils ont l'audace de nous dire que nous sommes de mauvaise foi </t>
  </si>
  <si>
    <t>25/05/2021</t>
  </si>
  <si>
    <t>boutoille-f-117075</t>
  </si>
  <si>
    <t>Bonjour,
Je suis déçu, vous ne voulez pas m'assurer à cause de trois bris de glaces dont je ne suis pas responsable !
Difficile d'éviter un gravillon que l'on ne voit pas arriver, sur des routes nouvellement gravillonnées. 
Cordialement</t>
  </si>
  <si>
    <t>fabien-l-129967</t>
  </si>
  <si>
    <t>Simple facile et pratique.
Prix corrects malgré une légère volonté d'adhésion aux options.
Pas possible de lier un adhérent existant afin de faire bénéficier ce dernier du parrainage.</t>
  </si>
  <si>
    <t>28/08/2021</t>
  </si>
  <si>
    <t>thuillier-c-107118</t>
  </si>
  <si>
    <t>J'ai souscrit chez vous car vous êtes les moins cher du marché.
Je désirai une assurance avec vol &amp; incendie, et vous êtes les seuls à me proposer ce prix pour ces garantis.</t>
  </si>
  <si>
    <t>19/03/2021</t>
  </si>
  <si>
    <t>sabine--102864</t>
  </si>
  <si>
    <t xml:space="preserve">Très difficile à joindre. Ne répondent jamais aux mails. Beaucoup de retard dans le traitement des demandes de prises en charge pour une complémentaire santé solidaire.  Mais les facturent alors qu'on n'est pas pris en charge. 3 semaines pour effectuer le traitement d'un règlement par chèque. Et quand on les appelle, ça ne répond jamais. J'ai vu les appeler 8 fois avant d'avoir un interlocuteur et encore... C'est déplorable !!! </t>
  </si>
  <si>
    <t>loic-a-137227</t>
  </si>
  <si>
    <t>Je suis satisfait de la procédure, maintenant a voir dans le temps si en cas de problème vous serez réagir à la situation. venu grâce à un ami qui m'a recommandé</t>
  </si>
  <si>
    <t>12/10/2021</t>
  </si>
  <si>
    <t>jattend-57740</t>
  </si>
  <si>
    <t>Délai de remboursement de rachat partiel incroyable ! Demande envoyée le 22/11 pour bénéficier de l'abattement. Malgré plusieurs appels qui confirment tous que tout est en ordre, le virement n'est toujours pas là le 3/01. Avantage fiscal perdu pour l'année. Jamais vu ça ! J'étudie les recours...</t>
  </si>
  <si>
    <t>03/01/2018</t>
  </si>
  <si>
    <t>stanrose-56286</t>
  </si>
  <si>
    <t>A fuir au plus vite ! trouve toujours la petite faille pour ne pas rembourser des prestations. Bien lire les petites lignes des conditions générales et le tableau des garanties avec une loupe ! très difficile à résilier...</t>
  </si>
  <si>
    <t>26/07/2017</t>
  </si>
  <si>
    <t>01/07/2017</t>
  </si>
  <si>
    <t>nicolas-b-123278</t>
  </si>
  <si>
    <t>On trouve toujours les prix trtop chers, mais pour le moment ça va. Je ne sais pas trop quoi rajouter, mais le service client par téléphone est très gentil.</t>
  </si>
  <si>
    <t>13/07/2021</t>
  </si>
  <si>
    <t>asma-101007</t>
  </si>
  <si>
    <t>Direct assurance est la pire des assurances non seulement c'est cher mais le service client est déplorable, les conseillers parlent mal français et ne tiennent pas compte de vos demandes en gros a fuir !!</t>
  </si>
  <si>
    <t>05/12/2020</t>
  </si>
  <si>
    <t>mandrea-p-121828</t>
  </si>
  <si>
    <t xml:space="preserve">Parfait je recommande   Le
Conseille a été très
Clair dans ses explications .
Tout est
Parfait
?? 
</t>
  </si>
  <si>
    <t>30/06/2021</t>
  </si>
  <si>
    <t>boulain-a-114349</t>
  </si>
  <si>
    <t>TOP MILLE MERCI appel pro , tarif top, gentillesse et compréhension de Samantha merci pour tout bonne continuation à vous je recommanderais vos services, bien à vous</t>
  </si>
  <si>
    <t>20/05/2021</t>
  </si>
  <si>
    <t>jpsandri-126257</t>
  </si>
  <si>
    <t>Un dégât des eaux suite à une fuite de conduite au ras de la dalle de béton a été pris en charge avec efficacité. Un expert est venu pour sonder aux ultra-sons et détecter que la fuite courait dans le vide sanitaire. Une intervention s'est déroulée dans la foulée à quelques jours d'intervalle et notre installation est maintenant saine sans aucune perte financière. Nos papiers peints ont été changés par des professionnels. Aucune critique à formuler. Seule inconnue, l'augmentation de la prime à la prochaine échéance.</t>
  </si>
  <si>
    <t>03/08/2021</t>
  </si>
  <si>
    <t>sandanom-s-121986</t>
  </si>
  <si>
    <t xml:space="preserve">Je suis satisfaites de la rapidité que ça m’a pris pour faire une assurance... les prix sont bien car je ne paye pas chère ... Simple et pratique ça va très vite </t>
  </si>
  <si>
    <t>antimatmut-81498</t>
  </si>
  <si>
    <t xml:space="preserve">A fuir    
Assurance habitation et voiture  
Même si le prix est correcte il ne correspond pas du tout au remboursement  quand vous avez un pépin ..   
Mon dossier c 'est un roman  je déconseille fortement cette assurance   ils vous  font tourner en bourique  .. en commençant avec l installateur  qui fait le forcing pour mettre n' importe quoi et pas l équivalent  ... </t>
  </si>
  <si>
    <t>25/08/2020</t>
  </si>
  <si>
    <t>mick-102562</t>
  </si>
  <si>
    <t>Tarif intéressant pour une assurance auto au tiers.
Il est très simple de souscrire.
Le site est très agréable et intuitif et les échanges via l'espace perso sont faciles.</t>
  </si>
  <si>
    <t>13/01/2021</t>
  </si>
  <si>
    <t>scottie-79981</t>
  </si>
  <si>
    <t>Énorme mensonge.
Prix d'appel intéressant il ya 1 an (50%Bonus depuis plus de 12 ans.)
Cette année Bris de glace lunette triangulaire arrière. 105 euros de franchise à payer.
Nouvelle prime AUGMENTEE DE PLUS DE 60% sans explication???? Pour cause de sinistralité ?
50% bonus à vie et non responsable??? Ça veut dire quoi au juste ?</t>
  </si>
  <si>
    <t>12/10/2019</t>
  </si>
  <si>
    <t>frappart-m-131117</t>
  </si>
  <si>
    <t xml:space="preserve">Très satisfaite par les prix ainsi que la qualité de l’appel, l’assureur était très aimable et à l’écoute lors de notre appelle et à très bien expliqué les différents points du contrat </t>
  </si>
  <si>
    <t>zazou75-122986</t>
  </si>
  <si>
    <t>En 20 ans seulement deux sinistres : petite fuite toilettes et paire de lunettes enfant. 7000 euros cela fait cher payé pour 2 m2 de lino et une paire de lunettes. J'ai changé d'assureur récemment et ai divisé par 3 ma cotisation pour exactement les mêmes garanties. Tout est dit. La MAIF fuyez !!!!</t>
  </si>
  <si>
    <t>09/07/2021</t>
  </si>
  <si>
    <t>eric-p-109172</t>
  </si>
  <si>
    <t>bonne assurance par telephone facilite d acces simple et pratique disponibilite des agents. bon service en general
bonne lisibilite du contrat avec option de changement</t>
  </si>
  <si>
    <t>aline-k-138768</t>
  </si>
  <si>
    <t xml:space="preserve">Je suis satisfaite prix très abordables, inscription ultra rapide je recommande vraiment cette assurance et surtout ils sont vraiment très réactif quand on a un problème </t>
  </si>
  <si>
    <t>02/11/2021</t>
  </si>
  <si>
    <t>orangepressee-55158</t>
  </si>
  <si>
    <t>Service client impossible à joindre par téléphone. 3 fois que je tente ma chance à différents moment de la journée, à chauqe fois 40 minutes d'attente, mais au final jamais de conseiller au téléphone!</t>
  </si>
  <si>
    <t>06/06/2017</t>
  </si>
  <si>
    <t>agnes-51332</t>
  </si>
  <si>
    <t>peu de négociation possible pour les tarifs des contrats
opacité des informations sur les contrats
réactivité lors des accidents ou panne véhicule
service de prise en charge d'urgence efficace</t>
  </si>
  <si>
    <t>15/01/2017</t>
  </si>
  <si>
    <t>christelle-a-109583</t>
  </si>
  <si>
    <t>Je souscris une assurance auto avec Direct assurance avec "prêt de volant" et ensuite lorsque je prête mon volant et qu'il y a un sinistre on me prend 1500€ de franchise.. Bien évidemment vous vous gardez bien de spécifier qu'il s'agit d'un "prêt de volant avec désignation obligatoire" et ensuite vous venez me dire que c'est écris dans le contrat, noyé par des dizaines de lignes...
Donc bientôt je vous dis bye bye !</t>
  </si>
  <si>
    <t>08/04/2021</t>
  </si>
  <si>
    <t>dupont-m-128483</t>
  </si>
  <si>
    <t>Satisfaite par la relation téléphonique avec le conseiller qui a su m'expliquer en détail l'objet du contrat automobile qu'il me proposait. Le contrat est fiable</t>
  </si>
  <si>
    <t>18/08/2021</t>
  </si>
  <si>
    <t>riri64-86049</t>
  </si>
  <si>
    <t xml:space="preserve">Voilà je suis assuré à l'olivier assurances et j'ai eu un sinistre non-responsable le 10/12/2019 le constat a été rempli signé par les 2 parties et envoyé le lendemain. J'ai fait tou mon possible pour que mon dossier soit pris en charge ( multiples appels, mails...) en vain. Aujourd'hui 17/01/2020 statut -quo aucune réponse de leur part, ma voiture n'a toujours pas été vue par l'expert et je continue à payer mes échéances en revanche.Alors je me suis déplacé à "UFC que choisir" et malgré l'appel de la conseillère de l'asso rien ne bouge et je commence rééllement à perdre mon sang-froid, c'est une honte cette assurance!! Vous cherchez une assurance, si l'on vous propose L'olivier assurances, un conseil: Fuyez!!! </t>
  </si>
  <si>
    <t>17/01/2020</t>
  </si>
  <si>
    <t>fatiha-52841</t>
  </si>
  <si>
    <t>Groupama n'est peut être pas très cher mais dès que vous avez un problème ils vous laissent crevé. hallucinant les échanges que j'ai eu avec leurs services. ils ne parle que des conditions. rien d'humain. à fuir.</t>
  </si>
  <si>
    <t>Groupama</t>
  </si>
  <si>
    <t>28/02/2017</t>
  </si>
  <si>
    <t>barberini-c-115260</t>
  </si>
  <si>
    <t>Bien pour jeune chauffeur pas cher pour etre sans souci avec prime par an de 508 euros supe merci il y a pas de souci d inscription meme tres rapide et sans souci de contrat</t>
  </si>
  <si>
    <t>cedric-b-124189</t>
  </si>
  <si>
    <t xml:space="preserve">je suis satisfait du service, les tarifs sont convenables et l'application est simple d'utilisation, il est parfois difficile de joindre un conseiller </t>
  </si>
  <si>
    <t>virginie-d-136743</t>
  </si>
  <si>
    <t xml:space="preserve">Bien pour l interface pour april et facile pour remplir les cases. Il est ludique simple.  Pas de besoin de se poser trop de question et rien qui le laisse le doute </t>
  </si>
  <si>
    <t>09/10/2021</t>
  </si>
  <si>
    <t>boris-c-113617</t>
  </si>
  <si>
    <t>Rapide, reste à voir à l'usage. Mais les démarches internet sont pratiques et simples. Néanmoins, garanties limitées en rapport avec le tarif, si on cherche un bon rapport QUALITE/PRIX, ne pas hésiter !</t>
  </si>
  <si>
    <t>13/05/2021</t>
  </si>
  <si>
    <t>louis66-95889</t>
  </si>
  <si>
    <t>J'avoue que je ne comprends pas très bien les avis négatifs. J'ai fait appel 3fois à leurs services en 2 ans : pour un devis des dents j ai eu la reponse par mail dans 2jours , le virement de remboursement pour la facture de mes dents a été fait sur mon compte dans les 48h. J'ai également fait appel à eux pour régler des honoraires de mon avocate pour une intervention auprès des Prud'hommes (garantie assistance juridique) et le règlement a été fait très rapidement à mon avocate.et la 3eme fois pour les honoraires de mon chirurgien j ai jamais eu des problemes avec neoliane je recommande vivement</t>
  </si>
  <si>
    <t>04/08/2020</t>
  </si>
  <si>
    <t>girondel-r-138063</t>
  </si>
  <si>
    <t xml:space="preserve">Je suis très satisfaite de mon expérience 
Tous la bien été expliquer clairement 
Personne sympathique , accueillante et à l’écoute 
Bien accompagné au téléphone </t>
  </si>
  <si>
    <t>adam-66848</t>
  </si>
  <si>
    <t>En cas de sinistre meme si on est pas responsable ils utilisent tres bien la loi avec eux et ils dédommagent au bout de 2 ans afin que l on puissent pas retourner contre eux</t>
  </si>
  <si>
    <t>14/09/2018</t>
  </si>
  <si>
    <t>emile-s-112002</t>
  </si>
  <si>
    <t>prix impeccable pour jeune conducteur, merci pour votre confiance et rapidité! la solution parfaite pour démarrer le contrat de confiance. Site très bien fait.</t>
  </si>
  <si>
    <t>28/04/2021</t>
  </si>
  <si>
    <t>erulaye-115577</t>
  </si>
  <si>
    <t>Une prise en charge hospitalière demandée le 10 avril pour une opération urgente du 14  avril n'est aujourd'hui toujours pas prise en charge et il est impossible de les joindre !</t>
  </si>
  <si>
    <t>kamel-a-108692</t>
  </si>
  <si>
    <t xml:space="preserve">les prix sont intéressant et les garantie aussi très inintéressante
pour les véhicule en tout cas pour la maison c'etait pas plus intéressant que ce que j'ai actuellement </t>
  </si>
  <si>
    <t>31/03/2021</t>
  </si>
  <si>
    <t>zeze-93264</t>
  </si>
  <si>
    <t xml:space="preserve">Décembre 2018 dégâts des eaux dans mon local commercial une avance ma été faite il y à 2 mois après des coups de téléphone et visites à l'agence régulièrement. Toujours pas indemnisé sur la totalité 17 mois après très en colère après la macif. A fuir absolument </t>
  </si>
  <si>
    <t>06/07/2020</t>
  </si>
  <si>
    <t>stepheric62-62268</t>
  </si>
  <si>
    <t xml:space="preserve">client 289411. très déçu par le service client, proche de l'inexistant. constituer le dossier a été extrêmement complexe, avant de constante demande de document supplémentaires. envoie de nombreux devis qui augmentaient a chaque fois en s'appuyant sur des infos venant de document fournis dés le début. aucune réponse aux différents mails, le numéro de tel fournit pour le client ne donne aucune info et nous renvois sur le numéro surtaxé pour avoir une éventuelle réponse. après 15MN de communication soit plus de 12€, le dossier est enfin finalisé et surtout ils ont retrouvé les sommes déjà versées.l'on règle le dernier versement demandé.nous devons avoir un mail nous donnant le code pour valider le dossier et recevoir la carte verte....et depuis l'accès au compte client n'est plus possible, et toujours pas de mail....pour ce qui est des infos par téléphone....ils ne savent pas, peut être que demain cela va marcher....top comme réponse...par contre personne n'est capable malgré le règlement de toute les sommes demandées et de l'envoi par mail du devis de me faire parvenir ma carte verte.
Inadmissible ! cela ne donne absolument pas confiance et pour tout dire, l'on se demande si nous avons a faire a une véritable compagnie d'assurance.
comment rouler sans carte verte
</t>
  </si>
  <si>
    <t>14/03/2018</t>
  </si>
  <si>
    <t>pierre-63581</t>
  </si>
  <si>
    <t xml:space="preserve">Lamentable !
Pas d'échange numérisé : une pièce manquante : il vous adresse un courrier papier pour vous la demander !!!!!
(Au fou, en 2018 !!!!!)
 Vous retournez cette pièce IMMÉDIATEMENT en PDF mais le dossier n'avance pas !
 la seule réponse : "il nous faut 3 semaines pour traiter votre demande..."
Vous n’êtes pas tenu au courant de l'avancement du dossier !!!!!
Résultat des courses : 3 mois que suis chez eux et j'attends toujours mon premier remboursement !
</t>
  </si>
  <si>
    <t>03/05/2018</t>
  </si>
  <si>
    <t>animask-37031</t>
  </si>
  <si>
    <t>Bonjour, pourquoi ECA ne rembourse pas les consultations ou honoraires comme stipulé sur le contrat ? Lorsque l'on en fait la demande et relance par mail, on reçoit sciemment une réponse à coté parlant des frais qui ont été pris en charge, comme si la question n'était pas comprise... Tout comme les fameux mois gratuits promis lors de l'adhésion ?????</t>
  </si>
  <si>
    <t>20/03/2019</t>
  </si>
  <si>
    <t>mohamed-55381</t>
  </si>
  <si>
    <t>- Difficilement joignable, une galère ! car manque d'organisation dans les transfert des appels. 
- Leur niveau de prix est supérieur au marché contrairement à ce qu'ils annoncent dans les PUB.</t>
  </si>
  <si>
    <t>15/06/2017</t>
  </si>
  <si>
    <t>ju-85889</t>
  </si>
  <si>
    <t>Tout le monde est injoignable, j'attend le transfert de la succession de ma grand-mère mais il ne se passe rien, le transfert d'argent ne se fait pas, personne ne répond aux mails ou au téléphone. 
Y a t-il quelqu'un à l'Afer qui pourrait m'expliquer ce qui se passe ?</t>
  </si>
  <si>
    <t>14/01/2020</t>
  </si>
  <si>
    <t>bob-53666</t>
  </si>
  <si>
    <t>Délai de traitement des demandes excessivement long: ils mettent 3 à 4 jours pour répondre à un simple mail. Les opérations que vous faites en quelques clics chez les autres chez l'olivier ça peut prendre des mois.</t>
  </si>
  <si>
    <t>28/03/2017</t>
  </si>
  <si>
    <t>honorine-c-128942</t>
  </si>
  <si>
    <t xml:space="preserve">Je suis satisfaite du service les tarifs me conviennent, le service à l’air rapide et sérieux. Je recommande fortement cette assurance. Le niveau des prix est vraiment abordable.
</t>
  </si>
  <si>
    <t>21/08/2021</t>
  </si>
  <si>
    <t>gabin-d-105011</t>
  </si>
  <si>
    <t>Les prix proposés restent un peu élevés même s'ils sont nettement inférieur à ceux que peuvent proposer les concurrents pour les mêmes garanties. Globalement satisfait</t>
  </si>
  <si>
    <t>mimi-70088</t>
  </si>
  <si>
    <t>Afer société a fuir. Aucun suivi de dossier aucune réponse aux questions, délai pas possible pour récupérer son argent. Ce sont des piques sous ni plus ni moins. Adhérente depuis octobre je n'ai eu que des problèmes avec afer. Je ne conseille pas du tout cette société</t>
  </si>
  <si>
    <t>10/01/2019</t>
  </si>
  <si>
    <t>isabelle-51408</t>
  </si>
  <si>
    <t>Sinistre non traité  (porte cassé après effraction)après deux mois et demi Aucun courrier de traitement de la part de la gmf même après ma relance.Proposition apres le passage d'un expert de déposer la porte pendant une journée pour la réparer en atelier (sans la remplacer )avec une température extérieure de -5 et deux enfants à la maison!proprement honteux et en contradiction complète avec la campagne assurément humain....</t>
  </si>
  <si>
    <t>18/01/2017</t>
  </si>
  <si>
    <t>sam89-51896</t>
  </si>
  <si>
    <t>Je trouve le service client très médiocre car depuis 1mois, je n'ai toujours pas réussi à avoir un interlocuteur pouvant répondre à mes interrogations sur le rachat de mon crédit par une autre banque!!!
Depuis plusieurs semaines, j´essaye d´avoir quelqu´un capable de m´apporter des réponses.
Voilà les actions menées depuis fin décembre:
- Envoi de mail pour avoir des informations 26/12/2016
- Réponse à ma demande le 04 janvier 2017
en m'orientant vers le 04 72 36 75 01
- Appel au 04 72 36 75 01 le 11 janvier, le 17 janvier, le 18 janvier, le 20 janvier, le 23 janvier
Impossible d´avoir une personne (Durée d´attente au moins 15mn)! Etant une personne qui travaille, je ne peux pas passer ma vie à écouter votre répondeur...
- Appel du 04 72 36 75 01 le 30 janvier
On me demande de contacter une nouvelle fois le 04 72 36 75 01 et de demander une personne précise (sans savoir pourquoi)
- Je demande donc cette personne, on me demande cette fois d´appeler le 09 74 50 20 20
J'appelle ce numéro et PAF! Personne!! On me demande de s'orienter vers l´espace assuré!!!! Incompréhensible l'organisation.
- Du coup, je contacte le 04 26 29 36 48
On me demande de rappeler car pas de conseiller de disponible!!!
Simplement incroyable! depuis quasiment 1 mois, je n´arrive pas à avoir quelqu´un en mesure de répondre à mes questions???
Si cela continue ainsi, il est très simple pour moi, j´arrête de payer mon contrat d´assurance de prêt et je vais voir ailleurs!
Je commence sérieusement à perdre patience.
C´est inacceptable de fournir un service aussi médiocre (sans compter le temps perdu)!!
Si vous ne souhaitez pas me servir, dans ce cas il suffit de le dire! Il n´est pas compliqué d´aller ailleurs....</t>
  </si>
  <si>
    <t>31/01/2017</t>
  </si>
  <si>
    <t>cousto-91580</t>
  </si>
  <si>
    <t xml:space="preserve">Mutuelle peu compétente, remboursements tardifs, peu d infid sur les remboursements, les interlocuteurs sont peu compétents, connaissent à peine les dossiers, à quoi faire confiance à ce genre du mutuelle. </t>
  </si>
  <si>
    <t>19/06/2020</t>
  </si>
  <si>
    <t>musicos-61210</t>
  </si>
  <si>
    <t>Suite à un changement de vue très important, je demande si il y aura une prise en charge (compte tenu du fait que j'ai changé mes verres depuis moins de 24 mois)
8 semaine après, aucune réponse, sinon un mail et un appel téléphonique pour me dire que l'on a bien reçu ma demande. Attitude classique dans ce type de structures (banque, assurances etc....) 
Un conseil pour les jeunes qui débutent leur carrière professionnelle. Ne pas adhérer à une mutuelle santé, mais placer chaque mois le montant de la cotisation sur un compte spécial. Vous constaterez que cela représente très rapidement une somme importante qui vous permettra de couvrir les frais non remboursés par la sécu.</t>
  </si>
  <si>
    <t>07/02/2018</t>
  </si>
  <si>
    <t>legrand-l-126005</t>
  </si>
  <si>
    <t>Je trouve étrange de demander un avis avant même le démarrage du contrat.
La souscription est impeccable, pour le reste, laissez moi le temps de voir ce qu'il en est.
Merci</t>
  </si>
  <si>
    <t>jack-60711</t>
  </si>
  <si>
    <t>Victime d'un dégât des eaux sur le plafond de l'entrée et du salon en 2014( explosion d'un radiateur à l'étage supérieur) je signale mi 2016 que la réparation faite après long délai de séchage,n'a pas tenu dans l'entrée.Le réparateur agréé revient à l'automne et me dit qu'il verra cela avec la Maif ; je lui fais remarquer que le résultat au salon est aussi fort laid.Sans aucune nouvelle , je contacte la maif (en juin 2017) qui m'apprend que le dossier est clos; ce dont je m'étonne ;  en octobre, après avoir insisté, la maif me confirme que le réparateur m'aurait dit que c'était structurel et qu'il n'y avait plus rien à faire. Mon courrier suivant en octobre rappelle à la maif que je suis assuré militant et ( BIEN)cotisant depuis un demi siècle,sans souci majeur ; et, que le réparateur agréé a été payé pour travail inefficace. En novembre, on m'écrit que mon dossier sera réexaminé. Depuis silence. En résumé: je suis assuré (!?) depuis 50 ans, je suis victime, l'agent agréé a été payé et le crépi de mon plafond est défoncé. Ma situation est donc celle d'un non assuré. Il y a un réel problème...Quant à mon militantisme d'assuré maifien, il n'ira plus bien loin!!!</t>
  </si>
  <si>
    <t>22/01/2018</t>
  </si>
  <si>
    <t>beraly-58253</t>
  </si>
  <si>
    <t xml:space="preserve">manque de clarté dans les exclusions dont mon chie a fait partie maladie congénitale dépense 2000 euros remboursement 0.j aurai mieux fait de placer les mensualités sur un compte cela aurait été largement plus avantageux. je tente une autre assurance qui propose un gps La race des chow chow est fugueuse  </t>
  </si>
  <si>
    <t>Assur O'Poil</t>
  </si>
  <si>
    <t>21/10/2017</t>
  </si>
  <si>
    <t>marc-k-109111</t>
  </si>
  <si>
    <t xml:space="preserve">Tout est parfait. Juste les conditions pour un véhicule de remplacement non adapté au type de panne et d'immobilisation du véhicule.
L'éventail des loueurs agréés est faible en zone rurale. </t>
  </si>
  <si>
    <t>04/04/2021</t>
  </si>
  <si>
    <t>clement-g-121148</t>
  </si>
  <si>
    <t xml:space="preserve">Belles options et prix compétitifs
Modifications des options appréciables pour s'adapter à nos besoins
10%AIPP apprécié également
La garantie de remboursement valeur ARGUS +15% peut être appréciable
</t>
  </si>
  <si>
    <t>marco-89991</t>
  </si>
  <si>
    <t xml:space="preserve">Prévoyance non payé depuis le 8 mars 2020 ils prennent excuse de ne pas avoir les documents relatifs à mon arrêt y compris un papier covid qui n'a pas lieu d'être car je suis en arrêt depuis le 30/12/20. Tous les documents ont été envoyé à la fois par mes soins et mon employeur mais bien sûr leur site ne vous envoi aucun accusé et ne laisse aucune trace ça les arrange bien. Ça va finir au tribunal prochaine étape LRAR. </t>
  </si>
  <si>
    <t>27/05/2020</t>
  </si>
  <si>
    <t>domi-137211</t>
  </si>
  <si>
    <t xml:space="preserve">j ai eu une conseillere qui se prénomme WIDAD personne trés aimable qui m a bien renseigné avec beaucoup de gentillesse et de très bonnes explications nettes et précises le l en remercie </t>
  </si>
  <si>
    <t>brunogeay83-81166</t>
  </si>
  <si>
    <t>Ne tient pas ses engagements ni les délais légaux de remboursement. Je suis en conflit avec eux et j'ai recours à un avocat spécialisé en droit des assurances avec sans doute une procédure à la clef donc des frais importants</t>
  </si>
  <si>
    <t>20/11/2019</t>
  </si>
  <si>
    <t>cortot-j-137565</t>
  </si>
  <si>
    <t>je suis plus ou moins satisfaite mais un peu cher niveau tarif le service client rien a dire parfait on verra au niveau accident si le service est compétent</t>
  </si>
  <si>
    <t>16/10/2021</t>
  </si>
  <si>
    <t>tribudefab-123734</t>
  </si>
  <si>
    <t>J’ai été assuré à la Maaf 11 années sans sinistres , j ai vendu ma moto et de ce fait résilier mon assurance il y a 3 ans et 2 mois .
La semaine dernière je les contacte pour un devis .
Suite à ce devis, jeréserve ma moto et les recontacte pour contracter l’assurance, ceci la veille de récupérer ma moto.
Je tombe sur un interlocuteur qui me laisse entendre que la première personne a fait une erreur et qu’il ne peuvent plus m’assurer .
Que mon bonus est gardé pendant 3 ans et que vu que les 3 ans sont écoulés ils basculent sur mon bonus auto et comme celui ci est à 1,08 , ils ne peuvent me proposer quelque chose .
Je n’ai pas pu acheter ma moto à cause de leur erreur et j’ai perdu mon acompte.
Quel manque de sérieux, très décevant .</t>
  </si>
  <si>
    <t>18/07/2021</t>
  </si>
  <si>
    <t>bibi3008-59076</t>
  </si>
  <si>
    <t>Suite à mon post du 27 novembre a 2 h 11 bibi3008 je vous signale que j ai eu gain de cause confirmé  par mail de Santiane le courtier qui annule contrat et me rembourse des sommes versées soit depuis juin 2017. Merci à opinion assurances qui m a bien aidé dans mon litige</t>
  </si>
  <si>
    <t>28/11/2017</t>
  </si>
  <si>
    <t>01/11/2017</t>
  </si>
  <si>
    <t>rcn-86101</t>
  </si>
  <si>
    <t>avec 7 contrats, 6 sont et furent entachés gravement - remboursement non intégral , intérêts légaux oubliés, contrat ouvert et fermé on ne sait toujours pas pourquoi, taux de rendement avancés non tenus (début 4,25 fin 1,25), capital spolié de 50%</t>
  </si>
  <si>
    <t>20/01/2020</t>
  </si>
  <si>
    <t>laurent--102977</t>
  </si>
  <si>
    <t>Assureur A FUIR ABSOLUMENT , aucune réactivité....
Tout va bien jusqu'au sinistre ???? Sinistre non responsable. Porte de garage accès maison cassé par un tiers responsable. 1 mois après expert toujours pas passé !!!! Et mon accès maison n est pas protégé. Ils sont très bons pour facturer et pas du tout professionnel pour remplir leur mission
LAMENTABLE !!! ??????????
????????      SUITE      ????????
Voilà 3 mois que nous nous battons pour avoir le remboursement total du devis pour le remplacement de notre porte de garage . Après plusieurs relances de notre part nous sommes ignorés , ils font  «  la sourde d oreilles « !!!!!! LAMENTABLE la considération qu la Maaf envers ses sociétéres  victimes !!!! ????    
Vont ils enfin résoudre notre situation... À SUIVRE</t>
  </si>
  <si>
    <t>youly-105230</t>
  </si>
  <si>
    <t xml:space="preserve">Direct assurance très décevante en terme de gestion de sinistres. Assez efficace pour vous faire souscrire un contrat, mais à oublier en cas de sinistre. Cela fait un mois que j'attends une reponse, pas de voiture de prêt alors c'est une clause du contrat, expertise faite par leur expert designé mais impossible de joindre l'expert (malgré une dizaine d'appels) et son avis est soit disant en étude par le service dédié de Direct assurance qui me demande de patienter (après une dizaine d'appels aussi) . Donc cela fait 28 jours que j'attends sans voiture. Les prix paraissent attractifs mais au final très chers pour un service inexistant en cas de besoin. Pour préciser, je suis chez eux depuis 2014, jamais d'accident avant ce sinistre. </t>
  </si>
  <si>
    <t>tatoon-30300-100410</t>
  </si>
  <si>
    <t>J'ai eu un sinistre avec un professionnel, sinistre reconnu et prouvé et MMA me dit d'assigner ce professionnel au tribunal et bien sûr refuse de prendre en charge le sinistre avec des arguments fantaisistes. Cette assurance ne sert à rien, puisque elle me dit d' envoyer son assuré au tribunal et elle ne respecte pas le contrat. Détail savoureux, le professionnel est "assuré" mais en réalité c'est le client qui paye pour un service non rendu : cette assurance est à fuir, pourtant elle nous est imposée. J'ai fait faire dernièrement une expertise pour la vente d'une maison et l'expert est encore assuré à cette fake assurance et je n'ai pas eu le choix ! J'ai un véhicule assuré chez eux et je vais me faire le plaisir de les virer. PS: je repose mon avis car je ne le vois pas (je ne m'étais pas identifié)</t>
  </si>
  <si>
    <t>MMA</t>
  </si>
  <si>
    <t>responsabilite-civile-professionnelle</t>
  </si>
  <si>
    <t>jm260-90177</t>
  </si>
  <si>
    <t xml:space="preserve">Adhérent depuis plus de 30 ans, je suis satisfait des prestations de cette mutuelle et des remboursements. Récemment, il m'a été donné de contacter la mutuelle par téléphone, il m'a été proposé d'être rappelé car le temps d'attente était trop long, j'ai été rappelé dans les 10 minutes par une conseillère très pro qui a répondu à mes attentes. </t>
  </si>
  <si>
    <t>03/06/2020</t>
  </si>
  <si>
    <t>mimi-53766</t>
  </si>
  <si>
    <t>Avis d'échéance non envoyé, pas de rappel mai un recommandé expédié avec mise en demeure majoré  d'une taxe. Après un contact auprès d'un interlocuteur aucuns arrangement possible celui-ci étant visiblement coutumier de ce genre de réclamation et affirmant des faîtes qu'il ne peut prouver n'ayant aucun justificatif en sa possession.</t>
  </si>
  <si>
    <t>abdallah-a-131993</t>
  </si>
  <si>
    <t>Les prix me conviennent et j'avais des retours positives de la part de mon entourage qui m'ont recommandé Direct Assurance.
De plus j'ai trouvé la promos showroom</t>
  </si>
  <si>
    <t>09/09/2021</t>
  </si>
  <si>
    <t>nathie-104574</t>
  </si>
  <si>
    <t>Même si le tarif mutuelle est quand-même assez conséquent si l'on veut un remboursement satisfaisant, la qualité de service des interlocuteurs est satisfaisante et les prestations correctes.</t>
  </si>
  <si>
    <t>diche-123812</t>
  </si>
  <si>
    <t>Amv l'assurance qui n'est pas au courant sur la conduite d'un scooter 3 roues. 
Dispense de la formation:
Avoir obtenu le permis B avec équivalence A1 avant mars 80.
C'est drôle c'est mon cas et je suis tombé sur une dame qui apparemment  n'est pas au courant.
Il serait temps de former les agents d'assurance de cette cie</t>
  </si>
  <si>
    <t>pierro-66541</t>
  </si>
  <si>
    <t>Courriers qui se perdent, Dossier perdu, document non reçu. Obligé d'envoyer les courriers et les dossiers avec LRAR. Traitement des paiements long et difficiles.</t>
  </si>
  <si>
    <t>maud34-78048</t>
  </si>
  <si>
    <t>J'ai tous mes contrats d'assurance chez DA depuis plusieurs années. Je n'ai jamais rien eu à redire... jusqu'à aujourd'hui. Je viens d'acheter une maison dans las Yvelines, et là une opératrice m'annonce qu'ils ne peuvent pas assurer cette zone géographique... La seule chose qu'elle a pu me répondre c'est c'est comme ca, voyez chez quelqu'un d'autre. Elle m'a sorti la liste écrite des catastrophes naturelles et technologiques... Première personne, notaire compris, à estimer que cette zone présente un risque!</t>
  </si>
  <si>
    <t>02/10/2021</t>
  </si>
  <si>
    <t>goldenleaves-99484</t>
  </si>
  <si>
    <t>Pour nous, Merci à la Matmut :
Nous avons eu un sinistre en voiture avec carrosserie abîmée et pilier d'un mur détruit en partie.
La Matmut nous a fait cadeau de la franchise véhicule : 405 Euros et n'a compté que la franchise du pilier 150 Euros.
Nous n'avions jamais eu de sinistre en voiture depuis 15 ans, mais nous étions bien contents !!! L'agence de Courbevoie nous a bien soutenus.</t>
  </si>
  <si>
    <t>so-85636</t>
  </si>
  <si>
    <t xml:space="preserve">Sans prévenir hausse importante de la cotisation et aucune possibilité de discuter. Service client désastreux, et si vous avez le moindre souci, soyez certains qu'il ne sera pas pris en compte. </t>
  </si>
  <si>
    <t>08/01/2020</t>
  </si>
  <si>
    <t>ljilja-m-100406</t>
  </si>
  <si>
    <t xml:space="preserve">J’ai acheté un véhicule à 4780 euros il y a un an avec  lequel je me rends au travail tous les jours . J’ai  eu un accident non responsable le 8 septembre 2020 avec une moto qui m’a percuté a 90 kilomètres /h par l’arrière alors que j’étais arrêter sur des bouchons à un feu sur une sortie d’autoroute . Premièrement l’expert de l’assurance a estimé mon véhicule à 3500 euros ce qui est faible vu combien je l’ai payé il y a pas si longtemps mais bon j’ai été obligé d’accepté en espérant que ca irait plus vite si je ne demande pas de contre expertise . Deuxièmement j’ai du attendre plus d’un mois pour que le procès verbale de l’accident soit envoyée à mon assurance . Entre ce labs de temps j’ai du prendre des décisions comme céder mon véhicule en VEI à la Macif pour destruction pour une somme misérable d’un peu plus de 400 euros (valeur résiduelle) . Troisièmement ce véhicule était mon moyen de transport pour aller travailler pendant un an et je continu de payer le crédit qui m’a permis de l’acheter . Quatrièmement je dois attendre que l’assurance du tiers Allianz réponde à la demande  de prise en charge de mon préjudice matériel faite par la Macif depuis un mois . Honnêtement les soit disant dédommagement fait en 2 jours après réception des documents c’est faux . Je me tâte à engager un avocat pour demander des dédommagements supplémentaires dûs a ma situation actuelle . Bon courage à tous ceux qui sont victimes d’accident et qui se retrouvent à attendre plusieurs mois avant d’être indemnisés . Quand il s’agit de payer ils nous prélèvent à des dates précise mais quand il faut se charger de se charger de victimes ça mouline clairement . </t>
  </si>
  <si>
    <t>21/11/2020</t>
  </si>
  <si>
    <t>llucas-71724</t>
  </si>
  <si>
    <t>Bonjour,
J'ai souscrit à un contrat Arpèges Allegro il y a de cela un an dans l'agence de Villiers sur Marne. Insatisfait des taux de rendements et du profil d'épargne qui ne répondait pas à mon profil en terme de risque, j'ai exigé que l'on arbitre l'ensemble de mon argent vers un fonds en Euro (par courrier avec AR). Cela n'a jamais été pris en compte, malgré mes relances actives. J'ai donc exigé un rachat total de cette assurance vie par courrier avec AR. Voilà presque deux mois dans quelques jours et mon argent ne m'a toujours pas été versé. Si les délais légaux ne sont pas respectés je serai contraint de donner des suites judiciaires. Je ne recommande pas du tout cette agence si vous souhaitez ouvrir une assurance vie. Dommage car on est bien accueilli pour les autres produits !</t>
  </si>
  <si>
    <t>27/02/2019</t>
  </si>
  <si>
    <t>cilluffo-d-138085</t>
  </si>
  <si>
    <t xml:space="preserve">Je suis satisfait par le prix merci beaucoup je reste à votre disposition pour toute information supplémentaire concernant l'envoi de la carte grise. Cordialement Cilluffo Domenico. </t>
  </si>
  <si>
    <t>toto-117014</t>
  </si>
  <si>
    <t>Suite a 1 accident ou je n etais absolument pas en tort la matmut a refuser de m indemniser mon véhicule car ils l ont jugé trop vieux et avec trop de kms.moi je gagne le smic et dois me lever a 4h le matin et j ai 3 enfants.malgré son age et ses kms elle me permettait d aller bosser et amener mes enfants a l ecole.
N allez pas a la matmut ils sont que bon a prelever apres aucun suivi et aucune defense de leurs assurés</t>
  </si>
  <si>
    <t>14/06/2021</t>
  </si>
  <si>
    <t>mysa-67246</t>
  </si>
  <si>
    <t>recontacté par un conseil ,explications claires</t>
  </si>
  <si>
    <t>ludovic-b-107666</t>
  </si>
  <si>
    <t>N'importe quoi en terme de prix (190€/mois) . De plus, on me met un malus sur 1,12 sans vraiment comprendre la situation.... Du grand n'importe quoi... Je change tres vite d'assureur</t>
  </si>
  <si>
    <t>23/03/2021</t>
  </si>
  <si>
    <t>diloun44-68296</t>
  </si>
  <si>
    <t>Pour le dépannage km 0,  je ne vois pas ce qui pourrait se faire de mieux. Ma voiture ne voulait pas démarrer, j'ai appelé le dépannage Axa et en 48 h tout à été réglé : prise en charge dépanneuse, dépôt au garage , taxi et prêt d'un véhicule.</t>
  </si>
  <si>
    <t>02/11/2018</t>
  </si>
  <si>
    <t>maximebur-100628</t>
  </si>
  <si>
    <t>Bonjour,
Cette assurance a résilié tous mes contrats sans me prévenir pour un retard de paiement de 15 jours, j'étais assuré chez eux  depuis le 1er avril 2014.aucun sinistre depuis 10 ans
de ce fait je n'étais plus assuré sans le savoir du 21/10 au 20/11 soit un mois pendant lequel
il aurais pu m'arriver une catastrophe, je suis complétement sous le choc et je ne conseille à personne cette compagnie . M BURIEZ</t>
  </si>
  <si>
    <t>26/11/2020</t>
  </si>
  <si>
    <t>da-103842</t>
  </si>
  <si>
    <t>Cette mutuelle présente de gros dysfonctionnements. Ses employés vous demandent plusieurs fois les mêmes justificatifs. A croire qu'ils ne veulent pas vous rembourser. Il  a fallu plusieurs mois, alors que j'étais au chômage et que j'avais droit à la portabilité, pour qu'enfin celle-ci soit reconnue. Ensuite, j'ai des refus de remboursements pour un de mes ayants-droits, prestations auxquelles il a pourtant droit et qui attendent depuis des mois. Il s'agit d'une complémentaire santé au rabais. Il s'agit d'un groupe américain qui ne sais pas ce que couverture santé veut dire. Avant nous avions Génération qui était beaucoup mieux mais on nous a obligé de changer sans que l'on ne nous demande notre avis.</t>
  </si>
  <si>
    <t>08/02/2021</t>
  </si>
  <si>
    <t>vinchon-c-138217</t>
  </si>
  <si>
    <t xml:space="preserve">Victime d'un défaut d'information, je n'ai pas eu d'autre choix que de resigner avec vous prenant 72€ de frais de dossier + 10% d'augmentation des frais d'assurance </t>
  </si>
  <si>
    <t>laurine-d-124768</t>
  </si>
  <si>
    <t xml:space="preserve">site très intuitif, au top
système très rapide, le prix est imbattable (pour les mêmes garanties je payais presque 900eur ...)
plus qu'à attendre d'être bien confirmée chez vous </t>
  </si>
  <si>
    <t>domi-78159</t>
  </si>
  <si>
    <t>accueil, disponibilité, explications très "pros", niveau du prix pas plus cher qu'ailleurs .... !</t>
  </si>
  <si>
    <t>02/08/2019</t>
  </si>
  <si>
    <t>florain-a-138622</t>
  </si>
  <si>
    <t xml:space="preserve">Un peut près 168 euros part mois pour une assurance jeune conducteur pour 120cheveau je trouve sa vraiment cher pour le plus pas ( tier  ) même pas assurancer pour le vole ... </t>
  </si>
  <si>
    <t>30/10/2021</t>
  </si>
  <si>
    <t>freddy-v-115466</t>
  </si>
  <si>
    <t>JE SUIS SATISFAITE DE LA RAPIDITE DU SERVICE 
CONSEILLER TRES PROFESSIONNEL ET EFFICACE
JE RECOMMANDE A 100 %
TARIFS VRAIMENT COMPETITIFS A COUVERTURE EQUIVALENTE</t>
  </si>
  <si>
    <t>31/05/2021</t>
  </si>
  <si>
    <t>amal--f-125755</t>
  </si>
  <si>
    <t xml:space="preserve">Excellente bien pensée efficace j apprécie beaucoup c est une assurance que je conseille à tt l monde les tarifs sont les meilleurs les garantie excellente je vais la conseiller à ma famille </t>
  </si>
  <si>
    <t>azerty75-58037</t>
  </si>
  <si>
    <t>Lorsque vous avez du bonus en deux roues les prix sont moins intéressant et c'est compliqué de résilié.</t>
  </si>
  <si>
    <t>13/10/2017</t>
  </si>
  <si>
    <t>duchemin-s-132620</t>
  </si>
  <si>
    <t xml:space="preserve">Je suis satisfaite conseiller à l'écoute et patient, il nous conseille très bien par rapport au site qui est un peu plus compliquer. Prix très satisfaisant. Je recommande cette assurance. </t>
  </si>
  <si>
    <t>13/09/2021</t>
  </si>
  <si>
    <t>philippe-s-109119</t>
  </si>
  <si>
    <t>satisfait ?? pour  la rapidité  de  votre  part  et  dans  l' attente  des  derniers  documents  pour  finaliser cette  assurance  automobile. 
A bientot</t>
  </si>
  <si>
    <t>gomis-b-114756</t>
  </si>
  <si>
    <t xml:space="preserve">Pas d’avis pour l’instant. Je viens de d’assurer mon nouveau véhicule.  A voir pas la suite et surtout le jour où il y aura un problème. Mais prix correct comparé à d’autres. </t>
  </si>
  <si>
    <t>moi-112727</t>
  </si>
  <si>
    <t xml:space="preserve">Cardif m'a ouvert une assurance vie par l'intermédiaire de la BNP 3 mois après ce placement n'a toujours pas été crédité de la somme de souscription donc pour le moment la somme est bloquée et ne me rapporte rien .
Je lis les avis  1,2 sur 5 !!! 
Au téléphone c'est n'importe quoi: "oui oui on s'occupe  de votre cas" cas !!! Ça fait peur 
Et mon conseiller BNP cestpas mieux </t>
  </si>
  <si>
    <t>05/05/2021</t>
  </si>
  <si>
    <t>sammmmm39-53232</t>
  </si>
  <si>
    <t xml:space="preserve">Je suis chez april entreprise prevoyance je me suis fais opérer de la myopie le 12 janvier 2017. A ce jour, malgré plusieurs lettres recommandées et de mails, je n'ai reçu aucun remboursement ni de réponses. </t>
  </si>
  <si>
    <t>13/03/2017</t>
  </si>
  <si>
    <t>idriss-g-108670</t>
  </si>
  <si>
    <t xml:space="preserve">Prix attractif et toutes les démarches de résiliation sont faites pour vous auprès de l’ancien assureur, à voir maintenant en cas de sinistre si c’est aussi efficace. </t>
  </si>
  <si>
    <t>catounette-64697</t>
  </si>
  <si>
    <t>Suite à un litige avec un artisan, un expert a été mandaté par mon assurance et il s'est moqué de moi tout au long de l'expertise. Cet expert m'a vraiment prise pour une imbécile ! Je suis chez eux depuis 20 ans mais je change d'assurance !</t>
  </si>
  <si>
    <t>12/06/2018</t>
  </si>
  <si>
    <t>01/06/2018</t>
  </si>
  <si>
    <t>mamido-98751</t>
  </si>
  <si>
    <t>Suite à un devis, je n ai pas opté pour votre mutuelle et je ne le regrette pas car je n apprécie pas que vos employés raccroche au nez des gens, simplement parce qu’on est pas d accord avec eux. Je trouve ce principe intolérable et irrespectueux envers le client</t>
  </si>
  <si>
    <t>14/10/2020</t>
  </si>
  <si>
    <t>marc-d-123931</t>
  </si>
  <si>
    <t xml:space="preserve">Je suis satisfait de la rapidité de prise en charge. concernant les tarifs il y a moins d'écart qu'avant .  vous ne sortez pas systématiquement premier dans les comparateurs </t>
  </si>
  <si>
    <t>bernard-75090</t>
  </si>
  <si>
    <t>Prennent votre argent mais surtout n'ayez aucun problème,vous jettez votre argent par la fenêtre avec cette assurance mieux vos ne pas vous assurer le résultat sera le même et vous gagnerez de l'argent</t>
  </si>
  <si>
    <t>15/04/2019</t>
  </si>
  <si>
    <t>emilie-l-114454</t>
  </si>
  <si>
    <t>accompagnement client téléphonique très performant
geste commercial inexistant avec des cotisations en hausse malgré le bon comportement des conducteurs fidèles</t>
  </si>
  <si>
    <t>21/05/2021</t>
  </si>
  <si>
    <t>mgase-125844</t>
  </si>
  <si>
    <t>Depuis avril 21,  j'essaie vainement de changer de compte bancaire de prélèvement, et d'obtenir une copie de mon contrat.
- j'ai eu 8 échanges téléphoniques avec des opérateurs. Leurs promesses ne sont JAMAIS suivies d'effet.
- j'ai adressé 6 courriers, dont deux recommandés. J'ai obtenu un retour, ne répondant absolument pas aux questions posées.
METLIFE n'écoute pas ses clients !</t>
  </si>
  <si>
    <t>MetLife</t>
  </si>
  <si>
    <t>gomez-s-129029</t>
  </si>
  <si>
    <t>Bonjour c’est pour vous informé que Je suis satisfait de vos services et aussi satisfait de vos prix me convient je vous remercie cordialement merci .</t>
  </si>
  <si>
    <t>22/08/2021</t>
  </si>
  <si>
    <t>mich-47903</t>
  </si>
  <si>
    <t xml:space="preserve">déçu par mon expérience à l'olivier assurance , au début tarif très alléchants ,par contre les années suivantes ... augmentation importante (sans aucuns sinistres déclarés  ) , de plus j'ai fait deux demandes de devis pour la même voiture avec des infos identiques et les tarifs sont différents du jour au lendemain et avec des écarts importants , on ce croirait à la bourse et on à l'impression de ce faire avoir ,à chaque fois que vous faite une petite transformation c'est 15 euros de frais d'écriture , vraiment pas sérieux. c'est bien la première année mais après il faut changer sinon on tombe au même tarif que la concurrence ... pas intérressant   . </t>
  </si>
  <si>
    <t>delliot-l-116827</t>
  </si>
  <si>
    <t>Simple et pratique à voir au niveau de la suspension durant lé prochaine hiver ou lors de la résiliation si c’est aussi simple que pour s’assurer, je verrais bien</t>
  </si>
  <si>
    <t>12/06/2021</t>
  </si>
  <si>
    <t>stephanie-r-136564</t>
  </si>
  <si>
    <t>Je suis satisfaite du service, les options proposées sont adaptées à ce que je souhaitais , les démarches sont faciles , je recommanderai cette assurance</t>
  </si>
  <si>
    <t>jean-54177</t>
  </si>
  <si>
    <t>MÉTHODE AXA AXA A TRANSMIS MON MAIL PERSO A UNE SOCIÉTÉ DE RECOUVREMENT DEPUIS C'EST UN HARCÈLEMENT CONTINUEL ET RÉPÉTITIF DE LA PART DE EFFICO MANDATER PAR AXA POUR RÉCUPÉRER DES MENSUALITÉS SUR UN CONTRAT RÉSILIÉ PAR A.R . JE DIS BRAVO !!</t>
  </si>
  <si>
    <t>20/04/2017</t>
  </si>
  <si>
    <t>01/04/2017</t>
  </si>
  <si>
    <t>nelson-c-133422</t>
  </si>
  <si>
    <t xml:space="preserve">Simple et pratique un peu cher pour un premier conducteur 
A voir par la suite les prestations complètes 
Moyennement satisfait la démarche est tout de même rapide </t>
  </si>
  <si>
    <t>18/09/2021</t>
  </si>
  <si>
    <t>nathalie-55092</t>
  </si>
  <si>
    <t>il est préférable de payer un tout petit peu plus cher et d'avoir des gens compétents en ligne et surtout éviter les mauvaises surprises que ce soit pour l'assurance auto et habitation (1/2 heure au telephone pour aucun resultat, 3 factures differentes pour 1 meme dossier, personne ne vous rappelle;;;bref, incompétents et irrespectueux!)</t>
  </si>
  <si>
    <t>02/06/2017</t>
  </si>
  <si>
    <t>mandi-e-114849</t>
  </si>
  <si>
    <t>Je suis satisfaite mais très élevés comme prix pour l'assurance tiers confort mais sa passe en vrai simple et efficaces merci pour l'accueil très bien aussi</t>
  </si>
  <si>
    <t>nono-59690</t>
  </si>
  <si>
    <t>Je suis couvert en mutuelle Santé par le niveau confort.Il y a quelques jours je soumets un devis pour une prothèse dentaire. Pensant être bien couvert  sur une base de 250% je pensais recevoir un remboursement correct. Mais.... après deux appels téléphoniques je me rends compte que les conseillers ne sont pas fichus de vous expliquer un calcul de de remboursement. La troisième personne arrive avec difficulté à décrypter le système de calcul.Il me signale donc que , écrit en tout petit dans le haut du " résumé des garanties " que les plafonds indiqués incluent le remboursement de la SS. Ce qui change tout.Une prothèse est remboursée  70 % de la base SS. Ce qui signifie que le taux retenu n'est pas 250 % mais 250% moins 70 %, c'est à dire 170 %. Donc le joli tableau vous fait croire à un remboursement correct alors qu'il est nettement inférieur. Je pense que je vais signalé ce fait à la DGCCRF pour signaler cet abus et pourquoi pas engager une action de groupe si d'autres usagers veulent bien se joindre à moi.</t>
  </si>
  <si>
    <t>14/12/2017</t>
  </si>
  <si>
    <t>01/12/2017</t>
  </si>
  <si>
    <t>ilano-60844</t>
  </si>
  <si>
    <t>Ne vous assurer surtout pas à direct assurance !!!!il assurer tout risque plus ,il ne veulent pas me rembourser suite à un vol ,alors que les conseiller mon stipuler que j'allais etre rembourser il avait la copie de plainte ci joint ,il leur fallait que le certificat de non Gage et selon eux dans la semaine qui suit je reçois le chèque de remboursement.des réception de ce document je leur ai envoyer etv1?semaine plus tard par lettre simple je reçois un refus.conseiller vraiment pas professionnel et prise en charge bâcler je vous déconseille cette assureur ,fuyer...</t>
  </si>
  <si>
    <t>26/01/2018</t>
  </si>
  <si>
    <t>christophe-c-130585</t>
  </si>
  <si>
    <t>Simple et pratique
Inscription rapide efficace, site internet ludique et professionnel.
Tarif attractif, les documents sont transmis rapidement
Parfait</t>
  </si>
  <si>
    <t>qalisa2-100492</t>
  </si>
  <si>
    <t>De mauvaise foi lorsqu'on demande à comprendre une telle augmentation. Et lorsque l'on appelle pour une éventuelle résiliation, ces derniers ne cherchent pas à vous écouter et vous RACCROCHENT AU NEZ. Tarification = ZERO. Service client = ZERO. Contrairement au client dans votre spot TV, nous ne m'aurez pas. Ciao les robadores.</t>
  </si>
  <si>
    <t>23/11/2020</t>
  </si>
  <si>
    <t>val-92631</t>
  </si>
  <si>
    <t xml:space="preserve">Cet assureur m 'a radié car il n'ont jamais reçu mes avenants, résultat je ne peux m'assurer nulle part à part chez eux car ils sont incapables de rajouter le motif sur ma résiliation. Comment êtes pris en otage !!! Lamentable ! </t>
  </si>
  <si>
    <t>29/06/2020</t>
  </si>
  <si>
    <t>natha-128340</t>
  </si>
  <si>
    <t>Pas sympas avec le client. Prix augmentant sans raison valable au vu de mon contrat... A des pratiques mensongères. Un employé de cette boite m'a menti au téléphone. Malgré les enregistrements des appels (donc preuve à l'appui), j'ai abandonnée les poursuites pour obtenir gain de cause auprès d'eux, car rien ne bougeait...très mécontent !</t>
  </si>
  <si>
    <t>jessica-j-132322</t>
  </si>
  <si>
    <t xml:space="preserve">Je suis satisfaite du prix,de la rapidité,du contrat.on me l’avais conseiller et je ne le regrette pas.je recommande cette assurance .
Beaucoup de pack pas chère </t>
  </si>
  <si>
    <t>dr-bonnet-96735</t>
  </si>
  <si>
    <t>Je suis Chirurgien-Dentiste. J'ai posé une dent en urgence sur le dentier d'une patiente de 81 ans. Je précise 81 ans. Le prix est de 80€. Grâce au tiers payant je me suis fait réglé 15€ directement par la sécu. La patiente a envoyé à Harmonie Mutuelle 3 fois la facture certifiant que j'avais été réglé par la sécu de 15€ avec ma signature et mon tampon. Harmonie exige le bordereau de règlement de la sécu. J'ai téléphoné à Harmonie qui me dit que la procédure, c'est la procédure. Donc si vous cherchez une mutuelle à l'écoute des adhérents, vous avez compris.</t>
  </si>
  <si>
    <t>27/08/2020</t>
  </si>
  <si>
    <t>jonathan-m-128967</t>
  </si>
  <si>
    <t>Les prix son correcte le choix des options est claire et on vois le prix de la cotisation augmentée en temps réelle. En quelques minutes on dispose d'une carte vert temporaire d'un mois c'est top</t>
  </si>
  <si>
    <t>charly-66226</t>
  </si>
  <si>
    <t xml:space="preserve">Demande de remboursement par mail et Tph car ils m'ont prélevé pour toute l'année. Délai donnée de 24 à 72 h actuellement ça fait 10j toujours pas remboursé ! J'ai rappelé et ils sont incapable de me dire quand est ce que je vais être remboursé ! Plus qu'à faire avec moins 430 e sur le salaire ce mois ci  ! Commence bien cette assurance. </t>
  </si>
  <si>
    <t>16/08/2018</t>
  </si>
  <si>
    <t>01/08/2018</t>
  </si>
  <si>
    <t>froehly-l-121907</t>
  </si>
  <si>
    <t>je viens de souscrire ..les pris sont correct...je peux pas pour l instant dire autre chose. je n'est pas eu de problème, je ne sais pas comment l'olivier gère les problèmes.
cordialement</t>
  </si>
  <si>
    <t>kash-75030</t>
  </si>
  <si>
    <t>Mon contrat d'auto a été résilié a cause d'un délai d'envoie des documents. Même après une confirmation de un conseiller pour les documents ,j'ai été résilié. Pas cool et n'est pas gentil sachant que c'est vraiment difficile de trouver un nouvelle assureur après une résiliation par la compagnie ou un assureur qui propose une offre avec un prix très cher pour les clients résiliés !!</t>
  </si>
  <si>
    <t>12/04/2019</t>
  </si>
  <si>
    <t>jlv-138796</t>
  </si>
  <si>
    <t>bénéficiaires d'un contrat capital décès en déshérence depuis 1997, nous avons été contactés en juin 2020 par swisslife. En 2021, après que toutes les pièces des bénéficiaires aient été fournies, nous avons perçu chacun 37,64€... Depuis, impossible d'obtenir les pièces justifiant cette somme, montant du capital, les intérêts de la déshérence, le nombre de bénéficiaires (pas leurs identités...).
Nos nombreuses demandes sont restées sans réponse. Suite à un signalement à la répression des fraudes (23/08/21) nous avons reçu le lendemain un engagement de swisslife d'obtenir une réponse dans les jours qui suivent.... rien... puis un engagement de nous répondre dans les 2 mois .... au 23 octobre toujours rien.... Suite à nos insistances, nous recevons un mail de : 
swisslife 
Gestionnaire Clients Vie et Réseaux
Service Clients Vie - Réclamations Vie et Conformité
s'engageant (encore) à nous envoyer les documents demandés avant le 27/10/2021.... Toujours aucune nouvelle....
Bref nous trouvons plus qu'étrange que swisslife ne puisse fournir des documents d'un dossier qui normalement est soldé..??? 
Il nous paraît totalement anormal de ne pas justifier les sommes versées .
Swisslife ne répond pas et ne tient jamais ses engagements ... lamentable.
Le dépôt de plainte nous semble être la seule solution.....</t>
  </si>
  <si>
    <t>03/11/2021</t>
  </si>
  <si>
    <t>moon-61529</t>
  </si>
  <si>
    <t xml:space="preserve">Manque de réponses aux demandes lors de l'assistance. 
Dépenses inutiles et mal placées qui pourrait être plus efficaces pour l'assuré et moins onéreusesur pour AXA.
Les opérateurs n'etant pas en France des problèmes de compréhension qui amènent des pertes de temps considérables et des RDV  annulés pour l'assuré. </t>
  </si>
  <si>
    <t>17/02/2018</t>
  </si>
  <si>
    <t>marion-c-132355</t>
  </si>
  <si>
    <t xml:space="preserve">Le prix est attractif
Le site est intuitif, très facile à renseigner, devis en 5 min sur internet.
Reste à voir, efficacité service client en cas de pépin... </t>
  </si>
  <si>
    <t>11/09/2021</t>
  </si>
  <si>
    <t>arnaud-c-110608</t>
  </si>
  <si>
    <t>Bon échange avec le conseiller disponible sur ligne direct. Rapidité de prise en charge du dossier même avec quelques points techniques à résoudre sur le questionnaire de santé.</t>
  </si>
  <si>
    <t>16/04/2021</t>
  </si>
  <si>
    <t>eric74-101785</t>
  </si>
  <si>
    <t xml:space="preserve">J'y ai adhéré pendant plus de 5 ans jusqu'à fin 2020, et j'ai clairement vu le service se dégrader petit à petit... 
C'est devenu une catastrophe... Courriers pas clairs, réponse aux emails 1 fois sur 5, pas de rappels des conseillers, réponses à côté de la plaque... 
Remboursements obscurs, bref, je FUIS ! </t>
  </si>
  <si>
    <t>23/12/2020</t>
  </si>
  <si>
    <t>claude1515-79759</t>
  </si>
  <si>
    <t xml:space="preserve">51 ans a la Matmut  et pour quoi ? </t>
  </si>
  <si>
    <t>05/10/2019</t>
  </si>
  <si>
    <t>ominetti-r-129151</t>
  </si>
  <si>
    <t>Je suis satisfait des services, les prix me conviennent, c'est simple et rapide comparé à la concurrence qui propose des tarifs plus cher comme la Matmut.</t>
  </si>
  <si>
    <t>gerardk6--102538</t>
  </si>
  <si>
    <t>Assurer dynamique, efficace avec un bon rapport qualité /prix,je conseille , pour assurer un deux roues, service client assez disponible et à l’écoute, démarches faciles et rapides</t>
  </si>
  <si>
    <t>papy-60758</t>
  </si>
  <si>
    <t xml:space="preserve">Bonjours du 25/10/2015 au 30/06/2016 je suis en arrêt maladie pour une AOMI de categorie 4 ensuite j ai repris le travail car n ayant pas de complément de salaire verser par l ag2r a mon employeur pourtant ayant des difficultés pour marcher j ai repris le travail et au moi de septembre j ai reçus mon complément de salaire vue mon état de santé.Malgré les Stens mon artère femorale  est toujours boucher et le 18/10/2016 j ai rechuter et ne peut plus travailler et suis passer en invalidité de catégorie 2 au 01/04/2017  les document on étais envoyé à ma société qui les a transmi au GAN car au 01/01/2016 ma société a changer de prévoyance ceux ci mon répondu que c étais à l'ancienne assurance de prendre en charge  (AG2R ) Car cela est une rechute L AG2R ne veule pas prendre en charge car l arrêt de travail est du 18/10/2016 et que je ne suis plus assurer chez eux depuis le 01/01/2016 chez eux apres mettre renseigner article 7 de la loi evin de 1989  si on peut prouver que cela est bien une rechute c est à L AG2R de prendre en charge j ai pu prouver grâce au certificat médical fais par mon médecin et de plus un questionnaire de santé rempli pour le gan qui disais que c étais une rechute malgré cela AG2R mon envoyer voire un médecin expert pourquoi car la sécu ma mi en invalidité de catégorie 2. etant en état précaire j e voudrais bien savoir si j'ai droit de toucher mon complément de salaire  et quand </t>
  </si>
  <si>
    <t>24/01/2018</t>
  </si>
  <si>
    <t>mat-69770</t>
  </si>
  <si>
    <t xml:space="preserve">J ai eu un accident avec un tiers responsable qui a pris la fuite toutes les réparations de mon véhicule sont a ma charge alors que je suis en tout risque finalement autant ne pas etre assure </t>
  </si>
  <si>
    <t>31/12/2018</t>
  </si>
  <si>
    <t>jonnen-79402</t>
  </si>
  <si>
    <t>en regardant les autres avis j'aurai du me méfier, mais cet assureur tire la profession vers le bas avec son personnel méprisant insultant et menteur.... jamais vu ça de ma vie.  je regrette amèrement d'avoir souscrit,   passez votre chemin.</t>
  </si>
  <si>
    <t>23/09/2019</t>
  </si>
  <si>
    <t>cathy-p-129988</t>
  </si>
  <si>
    <t>Je suis satisfaite des tarifs ainsi que des prestations. Je quitte mon ancienne assurance à cause des tarifs élevés ainsi que pour les prestations médiocres.</t>
  </si>
  <si>
    <t>agas-97709</t>
  </si>
  <si>
    <t>Dommage qui ne peuvent pas m'assurer pour un véhicule de 9cv fiscale avec 2 ans d'assurance soit 10% de bonus Sinon oui bon dans l'ensemble je recommande vivement .
Cdt</t>
  </si>
  <si>
    <t>22/09/2020</t>
  </si>
  <si>
    <t>fatib-78519</t>
  </si>
  <si>
    <t>Je suis très déçue de la Macif. S vous lisez mon avis alors ne vous assurez surtour pas chez eux. Sinistre depuis octobre 2018 et expert passé en mars 2019, oublie la moitié de l'expertise!je dois supplier tous les jours les conseillers pour avoir un rapport complet. Au mois de mai il daigne se déplacer et le comble c est qu il quitte l'expertise sans la compléter car j'ai vexé ce pauvre jeune homme qui pensait que je connaissais pas les conditions de mon contrat.Aujourd'hui le 18 aout nous attendons toujours la transmission de son deuxième rapport. Après avoir saisi le médiateur sans succès, la macif leur a répondu que je devais faire une contre expertise! je suis en train de préparer mon dossier pour les tribunaux car je compte bien etre indemnisée de mes dommages. Fuyez la macif et fuyez leurs experts de chez elex.</t>
  </si>
  <si>
    <t>18/08/2019</t>
  </si>
  <si>
    <t>anthony-d-129883</t>
  </si>
  <si>
    <t xml:space="preserve">Je suis ravi du prix et de la rapidité je devais m’assurer dans la journée un samedi pour aller chercher ma moto et cela m’a pris 10 mn merci ami parfait je recommande </t>
  </si>
  <si>
    <t>claude-m-110465</t>
  </si>
  <si>
    <t xml:space="preserve">satisfaction des services proposés, tarifs, réactivité et traitement des dossiers
bon accueil téléphonique  pas trop de temps, d' attente je conseille </t>
  </si>
  <si>
    <t>momo-117255</t>
  </si>
  <si>
    <t xml:space="preserve">Suite a mon appel téléphonique L'assureur Éméline a bien répondu a mes questions que je lui est posé, en plus agréable accueil et sympathique lors de mon appel merci </t>
  </si>
  <si>
    <t>16/06/2021</t>
  </si>
  <si>
    <t>barbudo-67914</t>
  </si>
  <si>
    <t>LAMENTABLE que la MAAF ne prenne pas en charge la conduite accompagnée pour les petits enfant ! Bravo la prévention des accidents par une meilleure éducation à la conduite .</t>
  </si>
  <si>
    <t>fabien-l-135104</t>
  </si>
  <si>
    <t>Je suis satisfait du service et aussi du service téléphonique agent à l'écoute et rassurent niveau prix se n'est vraiment pas cher je trouve que c'est intéressant pour les jeunes conducteurs</t>
  </si>
  <si>
    <t>29/09/2021</t>
  </si>
  <si>
    <t>laetitia-g-116079</t>
  </si>
  <si>
    <t>je satisfaite du service dans l'ensemble j'aurais juste apprécié l'option seule de l'assistance zéro km car le pack en lui même ne m'intéressai pas. après rapport qualité prix correct et type de contrat très lisible avec une lecture facile</t>
  </si>
  <si>
    <t>05/06/2021</t>
  </si>
  <si>
    <t>fab-77024</t>
  </si>
  <si>
    <t>surtout ne pas s"assurer chez eux ! il se font passer des organismes divers  caf, cpam, soutraitant divers pour obtenir les informations nécessaires pour nous faire signer des contrats dont on ne veut pas, je me suis fait avoir mais heureusement je suis dans les 14 jours pour résilier. Je déconseille NEOLIANE santé et prévoyance.</t>
  </si>
  <si>
    <t>22/06/2019</t>
  </si>
  <si>
    <t>laurent-49892</t>
  </si>
  <si>
    <t>La gestion de mes sinistres a toujours été gérée parfaitement par Eurofil. J'en suis très satisfait pour le moment mais, suite aux nommbreux commentaires lus ci-dessous, j'espère ne pas être expulsé prochainement !</t>
  </si>
  <si>
    <t>05/12/2016</t>
  </si>
  <si>
    <t>guillaume-g-132836</t>
  </si>
  <si>
    <t xml:space="preserve">Je suis satisfait du service direct assurance. On m’a bien renseigné au téléphone.
Direct assurance s occupe de la résiliation 
Cordialement 
Un nouveau assureur </t>
  </si>
  <si>
    <t>stiv23-60652</t>
  </si>
  <si>
    <t>Assurance à voir sur la durée et les années. 
J'ai eu un bris de glace, ça c'est passé sans problèmes
Le service client n'est pas au point. On vous dit de joindre un numéro, on vous donne des informations erronées. Aujourd'hui on échange beaucoup par mail et le suivi devrait être beaucoup plus droit.
Hormis ça c'est une bonne assurance. Rien à redire.</t>
  </si>
  <si>
    <t>02/02/2018</t>
  </si>
  <si>
    <t>dupont-86561</t>
  </si>
  <si>
    <t>il VISE  les vieux aux téléphone mes parent sont SANS RESSOURCES cause de eux 2 mutuelles a payer il refuse de resilier avec une lettre AR</t>
  </si>
  <si>
    <t>30/01/2020</t>
  </si>
  <si>
    <t>dom36-122066</t>
  </si>
  <si>
    <t>C'est pas des champions, le covid et ses pseudos inconvénients sont leur fer de lance, hyper lent à répondre, toutes les excuses pour retarder les accords de devis, des demandes de document ou justificatif que aucune autre mutuelle demande, des remboursements qui diffèrent d'un mois à l'autre, sans que la situation soit changée, des attentes au téléphone particulièrement intolérables, à fuir absolument pour les personnes qui n'ont pas internet ou qui n'ont pas un téléphone avec un forfait maxi.Pour le prix ,c'était une mutuelle payée par l'employeur à 100%, donc je ne peux pas juger,mais vu les problèmes c'est une maigre consolation. Pour le contact rien à dire , ils n'ont pas de bureau pour accueillir les clients ,ce ne sont que des intermédiaires censés faciliter les échanges ,à hurler de rire !</t>
  </si>
  <si>
    <t>adrien06-53652</t>
  </si>
  <si>
    <t xml:space="preserve">Entièrement satisfait depuis mon passage chez L'Olivier assurance depuis quelque mois. Je suis jeune permis et j'économise beaucoup chaque mois comparé à mon ancien assureur! </t>
  </si>
  <si>
    <t>mimi67-100922</t>
  </si>
  <si>
    <t>J'ai été très bien informée par Lamia concernant ma carte tiers payant.Très agréable et efficace.Attendons la suite....EN tous les cas pour le moment rien à redire.</t>
  </si>
  <si>
    <t>denis62-15406</t>
  </si>
  <si>
    <t xml:space="preserve">suite a un sinistre aucune nouvelle,aucune reponce a mes mail sur mon espace maaf,et quand vous les avez au telephone il ne save pas repondre a vos questions je sui degoutée de cette assurance c est scandaleu de ce foutre de ces client de sorte, j ai 5  assurances chez eu </t>
  </si>
  <si>
    <t>15/12/2016</t>
  </si>
  <si>
    <t>domi-70132</t>
  </si>
  <si>
    <t>Depuis que je suis à la retraite j'ai des problèmes récurrents avec la MGEN en ce qui concerne le calcul de ma cotisation. Tous les ans, on tient compte d'un montant de revenus complètement faux et exagéré pour calculer ma cotisation. J'ai beau faire le nécessaire, tous les ans ça revient. Est-ce un moyen pour faire fuir les retraités de la mutuelle? J'ai cotisé 37 ans lorsque j'étais active et n'avais pas ce problème.</t>
  </si>
  <si>
    <t>11/01/2019</t>
  </si>
  <si>
    <t>coat-d-138968</t>
  </si>
  <si>
    <t>Satisfait des renseignements du conseiller de plus très aimable, prix correct et facilité de souscription. Je conseillerais à mon entourage de souscrire auprès de l'Olivier assurance.</t>
  </si>
  <si>
    <t>04/11/2021</t>
  </si>
  <si>
    <t>dory74-69524</t>
  </si>
  <si>
    <t>Très satisfait de la simplicité et la rapidité pour changer d'assurance et recevoir ma nouvelle carte verte. Au départ je me suis tourner vers cette assurance pour le prix et il n'y a pas que ça de bien !</t>
  </si>
  <si>
    <t>18/12/2018</t>
  </si>
  <si>
    <t>angelo-c-116469</t>
  </si>
  <si>
    <t>Simple et pratique ,j'espère quand meme pouvoir bénéficier d'une baisse de mon assurance dans les meilleurs délais .
Je suis maintenant retraité depuis le 1er novembre 2020......</t>
  </si>
  <si>
    <t>celineebbo-96873</t>
  </si>
  <si>
    <t xml:space="preserve">Très professionnel dans leurs métiers, je recommande... j’ai eu un gros soucis de voiture et il était là tout au long de mon problème, il m’ont bien renseigné et bien guidé. </t>
  </si>
  <si>
    <t>31/08/2020</t>
  </si>
  <si>
    <t>noly-e-131328</t>
  </si>
  <si>
    <t>Je suis satisfait des tarifs les conseillers c'est au petit bonheur la chance certains sont très compétent d'autres servent à rien mis à part faire fuite vos clients.</t>
  </si>
  <si>
    <t>pe94-103875</t>
  </si>
  <si>
    <t xml:space="preserve">Tous contrats:
Efficaces pour séduire un nouveau client avec un prix attractif, mais des discussions interminables à chaque date anniversaire pour contester des hausses de tarif injustifiées.
Contrat habitation:
Suite sinistre habitation du à la sécheresse et constaté par exploit d'huissier, Allianz refuse d'ouvrir un dossier de sinistre, même provisoire, en attente de la publication du décret de classement catastrophe naturelle par la préfecture. Si le décret était publié, aucune possibilité d'indemnisation si les réparations ont déjà été effectuées, ce qui veut dire que, selon cette procédure inappropriée, on ne peut rien faire, on laisse les désordres s'aggraver et on fait passer un expert quand les murs se sont effondrés pour constater les désordres.
</t>
  </si>
  <si>
    <t>09/02/2021</t>
  </si>
  <si>
    <t>gauthier-l-112170</t>
  </si>
  <si>
    <t>Services très bon, conseillers compétents, mais remise sur de multiple contrats pas vraiment avantageuse malgré 2 contrats autos et un contrat maison.</t>
  </si>
  <si>
    <t>30/04/2021</t>
  </si>
  <si>
    <t>oliver-w-112643</t>
  </si>
  <si>
    <t>Très difficile à obtenir quelqu'un au téléphone quand j'ai besoin, juste un répondeur frustrant. Une simple chose qui ternie votre réputation. Je veux juste un relevé d'info pour une autre compagnie parce que vous n'assurez pas les camping cars! C'est votre faute, sinon j'aurais pris une autre contrat avec vous.</t>
  </si>
  <si>
    <t>04/05/2021</t>
  </si>
  <si>
    <t>nad-59049</t>
  </si>
  <si>
    <t>Assurance beaucoup trop chère, aucune reconnaissance de ses clients fidèles.
Nous avons 4 voitures d'assurees chez AXA, nos assurances habitations etc...
nous ne sommes pas reconnus. Nous passons par un courtier qui ne peut
pas agir nos avis sur les sommes demandées par AXA. Tous les ans nous sommes taxés même si Aucun sinistre n'a eu lieu dans l'année.</t>
  </si>
  <si>
    <t>23/11/2017</t>
  </si>
  <si>
    <t>frederic-o-116960</t>
  </si>
  <si>
    <t>Je suis satisfait de mon nouveau contrat mais je trouve dommage de devoir demander un nouveau contrat pour obtenir un tarif plus attractif (480 euros au lieu de 810 euros) pour la même voiture et les mêmes garanties.
Il faudrait revoir.</t>
  </si>
  <si>
    <t>caph-85582</t>
  </si>
  <si>
    <t>Cela fait 4 fois en une dizaine d'année que nous avons recours à la GMF pour remorquage de véhicules suite à des pannes et tout s'est bien passé</t>
  </si>
  <si>
    <t>07/01/2020</t>
  </si>
  <si>
    <t>aymen-a-129413</t>
  </si>
  <si>
    <t xml:space="preserve">Je suis satisfait de l'assurance AMV, tarif très compétitif, service client toujours joignable pour toute aide, plateforme en ligne très complète. Merci </t>
  </si>
  <si>
    <t>warren1208-71878</t>
  </si>
  <si>
    <t>UN SCANDALE FUIR. pas de service client 
Délais de traitrement de plus de 2 mois</t>
  </si>
  <si>
    <t>05/03/2019</t>
  </si>
  <si>
    <t>nora-58299</t>
  </si>
  <si>
    <t xml:space="preserve">Bonjour, Référence client :268719. Mon attestation d’assurance provisoire d’un Mois est terminé le 12/10/2017 :période laquelle j’ai fourni tout les papiers demandés avant l’ech D’un Mois. Je vous contacter par mail mais toujours pas de réponse et pas de carte verte ! Sur mon espace client tout les pièces sont reçu et validé. Merci de faire le nécessaire pour réglé mon problème. Cordialement
</t>
  </si>
  <si>
    <t>23/10/2017</t>
  </si>
  <si>
    <t>phil-60522</t>
  </si>
  <si>
    <t xml:space="preserve">Je viens de faire deux devis en ligne chez Eurofil pour assurer deux voitures actuellement assurées, un peu cher, à la MACSF: c'est vrai, les relances sont incessantes jusqu'à ce qu'on décroche; c'est vrai, les tarifs sont, disons-le, alléchants. Comparativement mon ancienne assurance  offre des prestations nettement plus "haut de gamme" (franchises, bris de glace, prêt de véhicule...).
Là, je me promène sur ce site et je ne vois que des mécontents, donc je vais réfléchir à deux fois (peut être même à trois) avant de quitter  la MACSF, qui, en 45 ans ne m'a jamais posé de problème, sinon celui d'être trop cher désormais pour mois.Il vaut mieux tenir que courir, je n'ai pas envie de me faire virer à 65 ans comme un malpropre, un beau matin, par mail, sans espoir à ce que je lis, de retrouver une bonne assurance. </t>
  </si>
  <si>
    <t>15/01/2018</t>
  </si>
  <si>
    <t>valerie--d-127532</t>
  </si>
  <si>
    <t xml:space="preserve">Je suis satisfaite de direct assurance, je suis déjà assuré chez vous pour ma voiture C4 ll je pense mettre mon assurance habitation chez vous des que possible merci d'avance </t>
  </si>
  <si>
    <t>11/08/2021</t>
  </si>
  <si>
    <t>jean-pierre-g-115170</t>
  </si>
  <si>
    <t xml:space="preserve">je suis satisfait de ma communication avec votre collaborateur, j'ai eut les renseignements que je souhaitais; les démarches des résiliation de ma précédente assurance seront effectués par vos services. Cordialement </t>
  </si>
  <si>
    <t>28/05/2021</t>
  </si>
  <si>
    <t>lucas56-87744</t>
  </si>
  <si>
    <t xml:space="preserve">Un scandale cette assurance. Je suis en tiers et je souhaite passer en tout risque. J'envoie donc des photos, qui sont refusées pour des "griffures" et un enfoncement de porte qu'ils sont les seuls à voir! Donc je me retrouve en tiers à cause d'incompétents n'ayant pour seule solution d'attendre la fin d'un an de contrat (interminable par ailleurs). Alors oui l'assurance n'est pas chère mais je déconseille à tout le monde de ne pas aller ici, au final vous perdrez énormément de temps et d'argent! </t>
  </si>
  <si>
    <t>28/02/2020</t>
  </si>
  <si>
    <t>ako-116770</t>
  </si>
  <si>
    <t xml:space="preserve">Bonjour
Je tiens à remercier sincèrement Emeline pour son accueil chaleureux au bout du fil (ce qui est très rare) et ses renseignements sur les remboursements. 
Merci bcp Emeline. </t>
  </si>
  <si>
    <t>liwmur-60181</t>
  </si>
  <si>
    <t>Si Vs n'avez besoin de rien souscrivez à la MATMUT.  C'est au client de faire avancer le dossier, de se débrouiller avec l'entreprise mandatée par leurs soins.</t>
  </si>
  <si>
    <t>04/01/2018</t>
  </si>
  <si>
    <t>etoile42-100031</t>
  </si>
  <si>
    <t xml:space="preserve">Bonjour, depuis un mois j’essaye de récupérer une partie d’une assurance vie pour solder un prêt. Je n’ai toujours pas mes sous. Je me fais balader entre la banque postale et la cnp. J’ai presque l’impression que ce n’est pas mes sous. Que faire? La banque postale ne me rappelle même plus et la cnp est impossible à joindre. </t>
  </si>
  <si>
    <t>12/11/2020</t>
  </si>
  <si>
    <t>damien-35261</t>
  </si>
  <si>
    <t>j'appelle pour un avoir un relevé d'info pour peut etre pour changer d'assurance, on m'annonce me faire une nouvelle offre pour éviter de changer d'asssurance. Je paie 40 euro actuellement, elle m'annonce 5% de remise ce qui fait ma mensualité a 42 euro donc plus cher donc étonnant, puis ensuite me refait une offre de 11% donc 41 euro, je lui explique que ma mensualité actuellement est de 40 euro je comprend pas et je lui demande pourquoi et bien soi disant on augmente toutes les tarifications donc ma mensualité devrait augmenter a 44 euro pas a cause de mon cas a moi, mais a cause du taux par rapport à la region, je trouve scandaleux que l'on subisse une augmentation sur un contrat conclu a une tarification précise, donc accident ou pas, augmentation du prix de l'assurance, et bien l'olivier assurance au revoir et je vous ne ferais pas de publicités, surtout que je n'ai eu aucun sinistre justifiant cette augmentation, quand d'autres assurances n'augmente pas ses prix pour ses clients sérieux!</t>
  </si>
  <si>
    <t>06/02/2020</t>
  </si>
  <si>
    <t>chriscaz-65792</t>
  </si>
  <si>
    <t xml:space="preserve">C'est simple je suis en ITT depuis le 5 mars pour une Leucémie Aigüe Lymphoblastique et aucun remboursement des mensualités de mon prêt n'ont été effectués. Avec les 90 jours de carences nous en sommes à 2 mois de retard et aucun moyen d'avoir de l'information. A noter que j'avais pris le prêt avec le crédit immobilier de Boursorama qui me répond qu'ils n'arrivent pas à les joindre.
</t>
  </si>
  <si>
    <t>26/07/2018</t>
  </si>
  <si>
    <t>franck-g-138036</t>
  </si>
  <si>
    <t xml:space="preserve">Super simple a utiliser je vous remercie l’assurance la moin chère du marcher pour quad ou moto je vous remercie cordialement gerard Franck d’Auvergne </t>
  </si>
  <si>
    <t>gresivaudan-37648</t>
  </si>
  <si>
    <t>Service en Agence (Grenoble) inexistant: pas de réponse aux emails, agent injoignable au téléphone, ne rappelle pas. Dégradation du service sur les dernières années (client depuis plus de 30 ans)</t>
  </si>
  <si>
    <t>13/09/2017</t>
  </si>
  <si>
    <t>01/09/2017</t>
  </si>
  <si>
    <t>lelievre-x-125410</t>
  </si>
  <si>
    <t>Satisfait du service et tarif correct, mais je trouve très dommage de ne pas pouvoir assurer immédiatement en touts risques une voiture en plaques provisoires</t>
  </si>
  <si>
    <t>olivier75-85905</t>
  </si>
  <si>
    <t>Consultant indépendant, suis chez eux depuis 15 ans.
3 J d'hospitalisation + 1 semaine d'arret de travail signé par l'hopital... C'était un bon test (je n'avais jamais encore été malade) car cela ne leur suffit pas, une tonne de formulaire à remplir + comptes rendus d'examens + ...  Cela m'a découragé et dégouté de leur avoir donné mon argent depuis 15 ans
Service client déplorable et antipathique en plus</t>
  </si>
  <si>
    <t>nekowa-64182</t>
  </si>
  <si>
    <t xml:space="preserve">J'ai souscris à cette assurance via demarchage telephonique, tout s'est fait tres rapidement on  se sent limite obligé de dire oui tellement ils nous harcelent , tout se fait par telephone je recois mon contrat par email , changeant d'avis j'utilise mon droit de retractation, ATTENTION premierement on m'indique que je ne peux le faire seulement que par recommandé donc on peut souscrire par telephone mais on DOIT resilier par courrier UNIQUEMENT. j'envoie donc le courrier j'appelle pour m'assurer de sa bonne reception et de mon remboursement de la totalité de la somme que j'avais versé , la conseillere m'informe que le remboursement devrait m'etre reversé dans la semaine , au bout de 2 semaines toujours rien , j'appelle donc une autre fois encore pour savoir de quoi il en retourne et la conseillere que j'ai m'informe que suite a une erreur de leurs part (pour prelever y a pas de retard par contre pour le remboursement y a  plus personne) le virement n'etait toujours pas parti et cerise sur le gateau on ne me rembourse qu'une partie de la somme (chose qu'on ne vous precise a aucun moment attention), je vous conseille de fuir comme la peste c'est limite de l'extorsion de fonds . Cordialement </t>
  </si>
  <si>
    <t>24/05/2018</t>
  </si>
  <si>
    <t>en-colere--114715</t>
  </si>
  <si>
    <t xml:space="preserve">Je note 0
Inadmissible 
Je téléphone pour ma maman admise en ehpad, très affaiblie, très  fatiguée 
Je souhaite juste de renseignements concernant si possible attestation de responsabilité civile et la personne au bout du fils me répond en boucle : pas possible de donner renseignement, c’est à ma maman de faire la demande 
Je veux juste savoir si cela se fait
Et en boucle , c’est la concernée qui doit téléphoner 
Maman a déjà 2 contrats habitation chez sogessur 
Inhumain cette réponse 
Des robots qui répondent 
En fait dès le départ j’aurais dû me faire passer pour ma maman 
C’est n’importe quoi 
Vraiment ZÉRO </t>
  </si>
  <si>
    <t>benjamin-91668</t>
  </si>
  <si>
    <t>Rapide et efficace, la demande d'avis en ligne est très simplifiée et permet de se projeter. Ainsi, c'est plus facile pour comparer les garanties avec d'autres prestataires.</t>
  </si>
  <si>
    <t>20/06/2020</t>
  </si>
  <si>
    <t>guidez-a-130751</t>
  </si>
  <si>
    <t xml:space="preserve">Je suis très satisfait, la GMF et  à l'écoute, professionnel et réactif. Bonne prise en charge. Je conseil cette compagnie d'assurance et j'en suis très satisfait.
</t>
  </si>
  <si>
    <t>david-a-112851</t>
  </si>
  <si>
    <t>Je suis satisfait du service très bien je recommande a tout le monde compagnie d’assurance qui comprend très bien les besoins des motards !!!!!!!!!!!!</t>
  </si>
  <si>
    <t>06/05/2021</t>
  </si>
  <si>
    <t>stou-134240</t>
  </si>
  <si>
    <t>depuis le mois de Mai, je vis ce que je juge être un drame avec AXA chez qui j'ai plusieurs assurances. En effet, mon véhicule a été vandalisé dans le sud de la France alors que j'étais en déplacement. Suite à quoi j'ai tout déclaré dans les temps et envoyé ma plainte à AXA, et cela arriva en date du 16 Mai. Cependant, il n'y a eu expertise que le 19 mai. Puis , après plusieurs relances, un avis d'expert a été déposé le 15 juin. Cependant, contrairement à ce que mon contrat stipulait, je n'ai pas eu de véhicule de remplacement et continuais à régler les frais inhérents à un véhicule qui semble être une épave de ce que l'expert m'aurait dit. J'ai dû donc entre-temps m'acheter un véhicule d'appoint avec une assurance supplémentaire, et cela à mes frais en plus des mensualités du leasing et de l'assurance.
 L'explication à cela serait qu'une enquête a été ouverte sur moi et que le dossier serait bloqué par le service étude et prévention, alors ils reviendraient vers moi le moment venu. J'ai même reçu un inspecteur au mois de juillet qui m'a expliqué que l'assurance s'inquiétait sur une éventuelle fraude , d'où l'enquête et que pour lui tout était bon alors le dossier devrait suivre son cours. Il serait opportun de notifier que le véhicule a été accidenté en janvier suite au prêt de celui-ci à une personne qui aurait aussi été auditionné par l'inspecteur. Cependant , malgré toutes les pièces fournies et ma bonne foi, toujours pas de retour. 
C'est alors que je me retourne vers mon assistance juridique (JURIDICA) dans l'espoir de faire avancer les choses. La première fois, ils me disent que je ne peux rien faire avant un délai de 3 mois et que l'assurance est dans son droit. Au bout de 3 mois, ME CONSEILLENT de faire un courrier recommandé en citant un article du code des assurances, disant que l'assureur serait dans l'obligation de m'indemniser passé ce délai. Ce à quoi AXA répond que cela n'est valable que dans le cadre des catastrophes naturelles, et qu'ils ne sont tenus par aucun délai dans mon cas, ils reviendraient vers moi. Je me retourne de nouveau vers JURIDICA en leur donnant cette réponse , et là surprise, je suis informé que l'entité faisant partie du groupe AXA, il y aurait conflit d'intérêt et que j'ai le droit de me faire assister d'un avocat, à la charge de JURIDICA selon mon contrat. 
Chose que dans le doute j'avais déjà faite , et l'avocat m'a plutôt guidé plutôt vers une saisine de médiateur avant une mise en demeure. Juridica m'a informé au final que je devrais avoir une réponse au plus tard le 20 septembre, mais une fois en ligne, on dit me recontacter, et plus de nouvelles. Au passage la consultation de l'avocat ne rentre pas en compte dans leur remboursement finalement non plus. 
bientôt 5 mois que ça dure et je trouve cela abusé</t>
  </si>
  <si>
    <t>24/09/2021</t>
  </si>
  <si>
    <t>rvm-64713</t>
  </si>
  <si>
    <t>Démarchage au forcing "une anomalie a été détectée sur vos remboursements santé", soi-disant de la part de la mutualité française. De plus sur liste rouge. Qui vous a vendu mon n° de téléphone? 2ème appel, signalé à Bloctel.</t>
  </si>
  <si>
    <t>jean-michel-123270</t>
  </si>
  <si>
    <t>Malgré ma demande réitérée plusieurs fois lors de la modification de mon contrat, suite changement de véhicule, d'être bien informée de tout prélèvement en amont afin de ne pas être en découvert j'ai découvert le prélèvement sur mon relevé de compte sans en avoir été informée.</t>
  </si>
  <si>
    <t>galador-63171</t>
  </si>
  <si>
    <t>Bonjour, les informations d'Emilie ont été très claires et très rapides. Donc je suis tout à fait satisfait de sa prestation. Avec mes meilleurs sentiments, François Prêcheur, adhérent 502456</t>
  </si>
  <si>
    <t>isa-78319</t>
  </si>
  <si>
    <t>Payer PAYER. Je reste il chercher des petite bête. Après un AT j ai voulu reprendre 2 fois le travail. Et eu  ça leur plait pas il essaie de m endormir. Moi j ai pris un rdv avec un juriste pour que l ont expliqué clairement les choses .</t>
  </si>
  <si>
    <t>Crédit Mutuel</t>
  </si>
  <si>
    <t>09/08/2019</t>
  </si>
  <si>
    <t>tim-61135</t>
  </si>
  <si>
    <t xml:space="preserve">je rejoint la grande famille des decu des assurance cardif je suis passer invalidite 2 categorie le 1 11 2016 et fait une demande de prise en charge de mon  invalidite il m on repondu oui mais il m on pris en maladie aux lieux d invalidite pendant 12 mois courier de leur par comme quoi il arrete indemniser car je n ai etait pas en invalidite permanente totale de se faite j ai demander a passer une expertise avec leur medecin lui ma reconnu mes pour eu se n ai pas encore suffisant  il faut etre itpa alors je me demande encore de qui se moque ton </t>
  </si>
  <si>
    <t>05/02/2018</t>
  </si>
  <si>
    <t>lopes-c-135030</t>
  </si>
  <si>
    <t>Les prix sont très intéressants, reste à voir la qualité du service. Pour une voiture qui roule peu ou en fin de vie le minimum d'assurance est très intéressant.</t>
  </si>
  <si>
    <t>monlouis-a-125599</t>
  </si>
  <si>
    <t>Acompte difficile à accepter lorsque nous sommes déjà client.
Cela est parfois difficile à financer. Revoir cette partie. ok pour nouveau client..sinon super contact conseiller</t>
  </si>
  <si>
    <t>30/07/2021</t>
  </si>
  <si>
    <t>patdu06-70352</t>
  </si>
  <si>
    <t>Suite à un dégât des eaux chez moi, le rapport de l'expert a été envoyé le 27 décembre 2018. Depuis aucune nouvelle de SOGESSUR Habitation. Et aucun moyen de les contacter au 09 69 327 326 : un répondeur qui affirme que tous leurs conseillers sont occupés ! Et ce depuis des jours ! C'est une honte !!! Et visiblement, à en lire certains commentaires sur cette assurance, je ne suis pas le seul !</t>
  </si>
  <si>
    <t>18/01/2019</t>
  </si>
  <si>
    <t>riko-66235</t>
  </si>
  <si>
    <t>Frigo hs par la foudre, je préviens mon assurance qui ok n'hésite pas d'acheter un frigo, j'achète sur cdiscoun et , et plus tard on m'envoie des papiers à faire remplir par le vendeur pour que celui-ci remplice un constat pour l'origine de la panne???? Comment déjà envoyé le vieux frigo à cdiscoun ?? Allianz et je suis chez eux depuis au moins 15 ans et une tele avait été changée, en 15 ans.</t>
  </si>
  <si>
    <t>17/08/2018</t>
  </si>
  <si>
    <t>hubuche-137460</t>
  </si>
  <si>
    <t xml:space="preserve">1 étoile car je ne peux pas mettre ZERO!!!
Souscripteur depuis plus de 30 ans à cette assurance et ayant eu jusqu'à 9 contrats simultanés chez eux j'ai décidé de les fuir.
Suite à l'achat d'un nouveau véhicule ces derniers m'ont fais 3 devis différents en l'espace d'1 mois entre le premier contact et mon choix définitif, forcément le plus cher en dernier: delta 250€00 annuel. Malgré ma demande d'explication et courrier mail aucune explication digne de ce nom n'est apportée pour justifier les écarts entre les devis.
Pris par le temps je décide de le valider malgré tout, et je m'aperçois que ce véhicule a été assuré à la place de mon second véhicule!!! donc second sans assurance!!
Après de nombreux coup de tel un conseiller consent enfin à écouter ma problématique et assure ce second véhicule au nom de mon fils mineur MDR à un prix exorbitant!
Je rechange donc mon assurance pour la remettre comme au départ.
Devant le manque de considération de cette boite pour ces clients je décide de résilier mon assurance chez eux et là cerise sur le gâteau ces derniers m'annonce que cette résiliation est impossible motif le contrat n'a pas 1 an pour info il était assurer chez eux depuis 2 ans !!! explication pas le même numéro de contrat
Bref CHAMPION DU MONDE LA MATMUT
Les temps sont ils trop compliqués pour endormir vos clients de cette manière?
Bref fuyez les si vous ne souhaitez pas de soucis après plus de 30 ans à payer mensuellement les factures.   
</t>
  </si>
  <si>
    <t>14/10/2021</t>
  </si>
  <si>
    <t>vala-75265</t>
  </si>
  <si>
    <t>Refu d'indemniser vehicule assuré tous risques sous prétexte d'une fausse déclaration. Une contrexpertise a eu lieu Axa refuse d'en tenir compte. 
Client depuis 20 ans</t>
  </si>
  <si>
    <t>20/04/2019</t>
  </si>
  <si>
    <t>christian-h-109445</t>
  </si>
  <si>
    <t>Je réalise et accepte un devis tout risques à 274,75 et lors du paiement celui ci passe à 312€. Comme la première mensualité est payé via carte bancaire
impossible de connaître le pourquoi d'un tel écart !</t>
  </si>
  <si>
    <t>md-75058</t>
  </si>
  <si>
    <t>assuré plusieurs années sans accident, réduction 50%++++, pour  2 voitures
Puis  2 accidents en 3 ans et contrat résilié sans avertissement!!!!!!
Prix corrects mais il ne faut pas avoir d'accident</t>
  </si>
  <si>
    <t>14/04/2019</t>
  </si>
  <si>
    <t>jean-paul-t-108921</t>
  </si>
  <si>
    <t>TOUT EST CORRECT
Pour les contacts directs au téléphone, bonne réception et conseillère très aimable, rapide et compétente
Prix concurrentiel bien qu'encore un peu élevés</t>
  </si>
  <si>
    <t>02/04/2021</t>
  </si>
  <si>
    <t>diguiz44-80968</t>
  </si>
  <si>
    <t>Bonne expérience client globale pour ce premier contrat avec l'Olivier pour la partie du suivi commercial. C'est avis est pour le moment incomplet puisque je n'ai pas encore eu de sinistre nécessitant l'intervention de l'Olivier. Et j'espère ne pas en avoir besoin prochainement... Mais le cas échéant j'espère qu'ils seront au rdv d'investissement d'énergie, que leur dépense actuelle dans leur expérience client.</t>
  </si>
  <si>
    <t>13/11/2019</t>
  </si>
  <si>
    <t>joey-56414</t>
  </si>
  <si>
    <t xml:space="preserve">je suis assuré chez Direct Assurance depuis plus de 4 ans. Je reçois récemment mon Avis d'Echéance à 1500 eur/an pour un Scenic. Trouvant la facture élevée, je décide de faire jouer la concurrence sur lelynx.fr en y inscrivant exactement les mêmes critères... A ma grande surprise je reçois un devis de Direct Assurance à 870 eur / an pour le même véhicule avec les mêmes prestations et garanties !! J'appelle le service client pour demander des explications. Le 1er me ment sans scrupule "pas le même véhicule", "pas de 2nd conducteur"... tout est faux, mais le gars ne se démonte pas... 2 jours plus tard je reçois l'appel d'un responsable, qui me dit "oui il y a un pb informatique, je remonte à ma direction... notre sens du service client... blablabla....". Bref toujours rien, par contre ils me prélèvent bien 128 eur/mois et toujours aucune explication qui justifie l'écart du simple au double presque ! ... Je conseille à tous les assurés de DA de faire un nouveau devis ! Vous risquez d'être surpris ! En résumé fuyez !! </t>
  </si>
  <si>
    <t>tahar-g-121234</t>
  </si>
  <si>
    <t xml:space="preserve">je suis satisfait du service du suivi et des prix et de la qualité des intervenants et de leur professionnalisme , je recommande ce service à tous les emprunteurs </t>
  </si>
  <si>
    <t>souky01-77014</t>
  </si>
  <si>
    <t>Je ne suis pas contente. De cette assurance,jai 2 remboursemt en cours,ils disent vous rembourser en 72h mais moi au bout d'une semaine je n'ai toujours rien reçue, j'ai également fait une demande de remboursement il y a 6mois et aucune nouvelle. Finalement les commerciaux vous vendent du rêve...je compte résilier et en choisir une autre</t>
  </si>
  <si>
    <t>demaria-j-123026</t>
  </si>
  <si>
    <t xml:space="preserve">site intuitif et simple d'utilisation . prix correct . je recommande pour le moment cette assurance , nous verrons au bout de 1 ans si les prix reste les mêmes . </t>
  </si>
  <si>
    <t>stephanie-d-123789</t>
  </si>
  <si>
    <t>A chaque demande, GMF réagit rapidement, les agents sont très aimables et m'ont toujours bien conseillé et accompagné. 
A plusieurs reprises, habitation ou auto, tout s'est bien passé.</t>
  </si>
  <si>
    <t>titi-97730</t>
  </si>
  <si>
    <t xml:space="preserve">le problème d axa c est qu' ils ne comprennent pas le Français ils ne savent pas ce que veut dire résiliation, ca fait un an que je leur explique mais c'est trop compliqué pour eux. </t>
  </si>
  <si>
    <t>23/09/2020</t>
  </si>
  <si>
    <t>rex-81416</t>
  </si>
  <si>
    <t>cette assurance ne prend pas en compte les sinistres même avec un tiers reconnu . aucun remboursement</t>
  </si>
  <si>
    <t>28/11/2019</t>
  </si>
  <si>
    <t>vanessa-l-107178</t>
  </si>
  <si>
    <t>Les prix sont attractifs. Pas encore eu de sinistre, donc difficile de juger le service, mais les prix sont très concurrentiels et il est très facile d'adhérer.</t>
  </si>
  <si>
    <t>mich54-107430</t>
  </si>
  <si>
    <t>J'ai acheté un véhicule par macif avantages qui a comme prestataire: Club auto. Cet organisme est une catastrophe (il serait trop de lister les problèmes rencontrés).
Macif avantages se désengage complétement des problèmes rencontrés en nous renvoyant vers ce prestataire, ce qui n'est pas normal. Quand on s'associe avec un prestataire on doit s'assurer qu'il est fiable. Je suis extrêmement déçu par le comportement de la macif !!
Fuyez Macif avantages !! Que des problèmes !!</t>
  </si>
  <si>
    <t>jeanmaire-quinto-t-123683</t>
  </si>
  <si>
    <t>Un peu chères tout de même pour une voiture vieille de 12 ans, certes un malus y est ajouté mais le prix sans malus est tout aussi cher. Pas beaucoup de reconnaissance même après un an de contrat chez eux</t>
  </si>
  <si>
    <t>17/07/2021</t>
  </si>
  <si>
    <t>blanchard-f-116275</t>
  </si>
  <si>
    <t xml:space="preserve">Je suis satisfait du contrat mais reste un peu cher. Les renseignements demandés par téléphone sont bien expliqués. Le temps d'attente au téléphone est assez court.
</t>
  </si>
  <si>
    <t>07/06/2021</t>
  </si>
  <si>
    <t>tfsdofsd-50308</t>
  </si>
  <si>
    <t>La GMF est une assurance chère de piètre qualité. Ils ne sont pas capable de répondre à leur client rapidement pour de simples attestations. Pire, il est parfois obligé de poser un jour de congés pour pouvoir prendre rendez-vous afin de régler de simples situations. En un mot : FUYEZ !!</t>
  </si>
  <si>
    <t>has-100088</t>
  </si>
  <si>
    <t>J'ai eu un problème de fuite d'eau chez moi, ça a fait des dégâts chez la voisine d'en dessous. GMF n'a même pas voulu prendre en charge gratuitement la recherche de fuite, fallait payer 280 euros pour cela. Et puis, ils ne prennent pas non plus en charge la réparation de la fuite. En cas de réparation par eux, la conseillère a dit que ça me coûtera une franchise de 350 euros. Et le pire, j'ai ouvert un sinistre en ligne sur leur site, et quelqu'un de chez eux a clos mon sinistre sans même me parler, car ils sont tombés sur mon répondeur. Je déconseille GMF, c'est ma 4ème année avec eux mais je vais résilier dès que possible, le temps de trouver une autre assurance plus correcte. En plus, ils sont pas si compétitifs que ça côté tarif. Sans compter l'agressivité de la conseillère sinistre que j'ai eu au téléphone.</t>
  </si>
  <si>
    <t>13/11/2020</t>
  </si>
  <si>
    <t>orchidee20-99049</t>
  </si>
  <si>
    <t>Assureur à fuir!! 
Service client inexistant et pratiques commerciales non conformes (montant du contrat différent de celui du devis approuvé)
On vous demande ensuite de payer une cotisation alors que vous n’avez jamais signé de contrat ...</t>
  </si>
  <si>
    <t>21/10/2020</t>
  </si>
  <si>
    <t>yaup-62733</t>
  </si>
  <si>
    <t>Si vous pouvez fuyez cette assureur qui ne compte que sur sa profitabilite financieré. En aucun cas tourné sur la satisfaction.Peux vous exclure à tout moment non pas à cause de un accident mais parce que vous ne devenez plus un client rentable</t>
  </si>
  <si>
    <t>27/03/2018</t>
  </si>
  <si>
    <t>freddy-t-107611</t>
  </si>
  <si>
    <t>je suis assez satisfait du service, les tarifs sont peut etre un peu trop elevées au vu de la voiture utilisée ,. N'etant assuré qu'azu tiers maxi et habitant une ville moyenne</t>
  </si>
  <si>
    <t>dbr59-98672</t>
  </si>
  <si>
    <t>pour le prix une étoile c'est suffisant  la satisfaction une étoile reflète la froideur des réponses au téléphone. de meme pour le bureau de douai qui n'est pas arrivé à entrer en communication pour traiter ce deuxième sinistre. Bilan, j' ai changé d' assurance.</t>
  </si>
  <si>
    <t>12/10/2020</t>
  </si>
  <si>
    <t>karine-85346</t>
  </si>
  <si>
    <t>pour un degat des eaux survenu en Mars ,apres beaucoup de polemique,indemnisations fin Novembre! leur expert qui se deplace au bout d'1 mois !pas de suivit !je me suis battu contre des murs!</t>
  </si>
  <si>
    <t>30/12/2019</t>
  </si>
  <si>
    <t>carole-79140</t>
  </si>
  <si>
    <t>Bonjour depuis 35 ans à la MGP à ce jour je suis en longue maladie je galère pour avoir mon complément de salaire on me demande sans arrêt des documents je téléphone on me balade à chaque fois je vais devoir prendre une décision car ils ne sont pas du tout à l'écoute à ce jour mon couple déprime</t>
  </si>
  <si>
    <t>12/09/2019</t>
  </si>
  <si>
    <t>toufik-s-105018</t>
  </si>
  <si>
    <t>pas satisfait du suivi de mon dossier, 
-plusieurs rappels de la situation faite
-renseignement transmis erronés puis corrigés par d'autre interlocuteur
-données inexactes incomplètes de mon dossier malgré plusieurs entretiens pour correction...</t>
  </si>
  <si>
    <t>touitou-a-132132</t>
  </si>
  <si>
    <t>Je suis satisfait du service et les prix me conviennent.
Agents disponibles rapidement, à l écoute et connaissant leur métier ;
Espace personnel clair et les explications sont simples et compréhensives.</t>
  </si>
  <si>
    <t>attef--n-124448</t>
  </si>
  <si>
    <t xml:space="preserve">A voir sur le long terme lors des gestions des sinistres : réactivité, satisfaction personnelle , délais, intégrité, respect ces clients, gestes commerciaux </t>
  </si>
  <si>
    <t>molim59-88645</t>
  </si>
  <si>
    <t>Lorsque tout va bien MATMUT est bon assureur ,tant que c 'est vous qui payer, assuré depuis plus de 10 ans avec bonus 65% ,1 er sinistre il n 'y a plus personne pour vous indemniser.à fuir</t>
  </si>
  <si>
    <t>02/04/2020</t>
  </si>
  <si>
    <t>01/04/2020</t>
  </si>
  <si>
    <t>totophe40-103395</t>
  </si>
  <si>
    <t xml:space="preserve">Je viens de recevoir un recommandé aujourd'hui de mon assurance l Olivier assurance je cite le motif de la résiliation :
Inadéquation du risque au regard de la politique d acceptation de l entreprise  
J ai de suite pris contact téléphonique.avec eux et la c est lourd très lourd ils ne peuvent pas me donner une raison valable je précise que je suis assuré chez eux depuis 2 ans sans aucun sinistre la ou je suis très inquiet c est le relevé  d information que j aurai début avril pour aller chercher une autre compagnie après des recherches je serais  sur liste noire car ils me.proposent d aller m assurer chez leur partenaire assurPeople chose que je ne vais pas le faire bien entendu j ai eu comme réponse vous avez le droit de résilier à tout moment avec la loi chatel et de notre côté nous aussi franchement nous vivons une époque vraiment bizarre voila mon coup de gueule je n ai plus envie de batailler avec eux pas de lettre de réclamation rien de rien 
</t>
  </si>
  <si>
    <t>28/01/2021</t>
  </si>
  <si>
    <t>geraldine-b-108719</t>
  </si>
  <si>
    <t>Simple pratique. Très bien optimisé, très bonne force de vente et conseils.
Disponible à l'écoute. Je suis satisfaite et je recommande. Très bon rapport qualité prix aussi.</t>
  </si>
  <si>
    <t>angy17-65259</t>
  </si>
  <si>
    <t xml:space="preserve">Véhicule volé assurance tout risques 8 mois après ça traîne en longueur. La gestion des dossiers est désastreuse de la bouche même de leurs experts.....un comble </t>
  </si>
  <si>
    <t>04/07/2018</t>
  </si>
  <si>
    <t>yacar-71217</t>
  </si>
  <si>
    <t>N'a pas réussi à mettre en place la télétransmission avec la Cpam depuis 11 mois 
J'ai donc résilié</t>
  </si>
  <si>
    <t>24/03/2020</t>
  </si>
  <si>
    <t>01/03/2020</t>
  </si>
  <si>
    <t>adrie0507-61443</t>
  </si>
  <si>
    <t>Sinistre du à la tempête chez moi. 1 mois et demi d'attente après passage d'un ouvrier pour refuser le devis ...  sans me le dire bien sur. Appel d'un expert pour fixer un rdv à 1 mois plus tard ... au final ca va prendre 6 mois tout ca pour changer un portail !!!! une honte ! au final quitte à avoir une assurance qui paie pas autant prendre une assu en ligne pas chère.</t>
  </si>
  <si>
    <t>14/02/2018</t>
  </si>
  <si>
    <t>bilal-a-130423</t>
  </si>
  <si>
    <t>Je suis satisfait des services et je recommande à mes amis et à ma famille j’ai une assurance habitation et j’ai pris l’assurance automobile pour ma voiture avec une offre attractive.</t>
  </si>
  <si>
    <t>fuz-102054</t>
  </si>
  <si>
    <t xml:space="preserve">Bonjour,
Je suis étonnée de lire des commentaires aussi négatifs sur April car pour ce qui me concerne je suis assurée par cette mutuelle depuis 2020 et pour une senior bientôt octogénaire je trouve que  les couvertures ont un bon rapport qualité/prix par rapport à ma précédente mutuelle.
Avec la transmission par la SS pas de problème de remboursement. 
Et au niveau dentaire je leur ai soumis en 2020, 2 devis auxquels ils ont répondu de suite ( in fine j’ai pris s’agissant  de dents du fond le sans reste a charge).
L’augmentation 2021 est raisonnable.
Donc satisfaction à ce jour.
Cordialement </t>
  </si>
  <si>
    <t>31/12/2020</t>
  </si>
  <si>
    <t>gege-100015</t>
  </si>
  <si>
    <t>Lamia a su répondre efficacement à ma demande pour transmettre une demande de prise en charge que je n'arrivais pas à faire sur le site.
Trés à l'écoute et j'ai pu envoyer ma demande via le site.
Juste un petit bémol , quand on appel le délai d'attente est parfois trés log.
Mais en ce qui concerne Lamia rien à redire. Juste parfaite.
Merci à elle.</t>
  </si>
  <si>
    <t>jhalley-87579</t>
  </si>
  <si>
    <t>Assurance habitation résiliée par la MAAF pour fréquence de sinistres... A savoir que j'en ai eu qu'un seul en 2019... Il est à noter que j'ai demandé à ma protection juridique prise également chez la MAAF d'intervenir pour un problème avec mon bailleur. La 1ère fois ils ont refusé car la PJ était souscrite après le commencement des problèmes. La 2ème fois il PJ a accepté mais n'a absolument rien fait d'ailleurs je n'ai plus jamais eu de nouvelles. Visiblement à en croire ma conseillère, les demandes auprès de la PJ sont considérées comme des sinistres... non mais on marche sur la tête!!! Je suis chez eux depuis des années et ils ont tous mes contrats. Aucun défaut de paiement rien. En gros vous ne pouvez pas avoir un sinistre et besoin de votre PJ pour tout autre chose sino vous êtes virés sur le champ. Je dis bravo la MAAF car ce n'est pas un contrat qu'ils vont perdre mais la totalité.</t>
  </si>
  <si>
    <t>28/06/2021</t>
  </si>
  <si>
    <t>xray-82168</t>
  </si>
  <si>
    <t xml:space="preserve">assurance transport A/R sur corsica ferry toulon trapani. Accident survenu sur place 2 jours après notre arrivée. Retour impératif à nos frais. L'assurance prise couvre seulement si l'annulation s'effectue AVANT le départ. On est déçu, car nous avions contracté cette assurance pour être couverts pour ce type de problèmes.
Nos placements financiers vont migrer vers d'autres compagnies... </t>
  </si>
  <si>
    <t>21/12/2019</t>
  </si>
  <si>
    <t>kiki86-70188</t>
  </si>
  <si>
    <t>1 mois pour traiter une demande de rachat, qui du coup n'a pas été traitée sur l'année fiscale demandée, sans que personne ne prenne le soin de me prévenir et me fait perdre mon abattement fiscal. Très mécontente pour mon premier rachat !</t>
  </si>
  <si>
    <t>13/01/2019</t>
  </si>
  <si>
    <t>alex-106573</t>
  </si>
  <si>
    <t xml:space="preserve">Une vraie assurance.
Le tarif paraît parfois plus élevé qu'ailleurs, mais tout est inclus dès le début. Du coup je suis vraiment assuré  et pas de mauvaise surprise en cas de problème. 
Pour exemple, j'ai fait une petite chute presque à l'arrêt sans gravité, mais en basculant sur le côté j'ai tapé la tête par terre. Pas d'hésitation, la mutuelle  m'a immédiatement remboursé le casque (Shoei à 500€!) pour que je reparte bien protégé. Financièrement, c'est un très bon retour sur investissement. </t>
  </si>
  <si>
    <t>jag34-77229</t>
  </si>
  <si>
    <t>J'ai été résilié au bout d'un an car je n'avais pas transmis tous les documents (après donc 12 belles mensualités bien encaissées), j'ai souhaité pouvoir résilier moi même à la date d'anniversaire aux vues de leurs tarifs prohibitifs mais ils ont refusé, préférant me soumettre aux complications futures de ré assurance suite à une résiliation de leur part. Comportement complètement anti commercial et très compliqué pour moi derrière de me ré assurer, je ne recommande absolument pas ce genre de société qui plus est injoignable.</t>
  </si>
  <si>
    <t>30/06/2019</t>
  </si>
  <si>
    <t>sylvere-a-114681</t>
  </si>
  <si>
    <t xml:space="preserve">Je suis satisfait pour l'instant merci j'espère que les prix seront plus bas selon les années précédente, voilà je vous remerci cordialement Mr sylvere </t>
  </si>
  <si>
    <t>24/05/2021</t>
  </si>
  <si>
    <t>guillian-t-129295</t>
  </si>
  <si>
    <t>Un peu compliqué, les prix et les devis sont parfois trop différent d'un cas a l'autre , certains conseillers prennent des libertés quant aux critères du devis, ce qui parfois peut être une source d’éventuels problèmes.</t>
  </si>
  <si>
    <t>vincent-m-124437</t>
  </si>
  <si>
    <t>je suis jeune permis donc un peu cher mais cela convient.. après par le futur j'aurais peut être le droit a des bonus ?!
en esperent pouvoir bien m'arranger avec direct assurance a l'avenir</t>
  </si>
  <si>
    <t>iuu-127820</t>
  </si>
  <si>
    <t>Pardon,le mail m'a échappé avant que j'aie terminé. Je voulais remercier Emeline pour sa disponibilité,son efficacité,son amabilité.Mon problème traînait depuis 2 mois Il a été résolu en à peine 5 minutes.h
Cordialement
Nicole GARO</t>
  </si>
  <si>
    <t>13/08/2021</t>
  </si>
  <si>
    <t>chake--103038</t>
  </si>
  <si>
    <t xml:space="preserve">Les conseillers clientèle sont très efficaces mais les Remboursements sont dérisoires sur l’optique et le dentaire, notamment pour les enfants malgré une demande de prise en charge optimale. </t>
  </si>
  <si>
    <t>21/01/2021</t>
  </si>
  <si>
    <t>scotto-di-carlo-c-125591</t>
  </si>
  <si>
    <t>Pour le moment je suis satisfaite mais je viens à peine de débuter le contrat 
J'ai le véhicule depuis 2 jours
Je pourrai mettre une note plus "juste" au regard de mon expérience dans quelques mois plutôt</t>
  </si>
  <si>
    <t>gulsum-k-124424</t>
  </si>
  <si>
    <t xml:space="preserve">satisfaite du service et de la rapidité des démarches.. la conseillère que j'ai eu au téléphone était agréable et à l'écoute. le site est également facile à utiliser </t>
  </si>
  <si>
    <t>aviso-102480</t>
  </si>
  <si>
    <t xml:space="preserve">La note moyenne en dit long sur cet assureur. 
A quoi servent les bonus s'il faut augmenter les prix chaque année. 
Très nulle niveau service. 45 min d'attente chaque fois qu' on cherche à les joindre. Et au final, des informations pas toujours fiables.
Incompréhensible comment cette assurance peut inscrire dans votre relevé d'information un sinistre responsable alors qu' elle n'a jamais été contactée par l'assurance inverse et engagée aucun frais d'indemnisation. 
Bref je ne la recommanderai jamais... et alors à  grand jamais. </t>
  </si>
  <si>
    <t>guigui-129616</t>
  </si>
  <si>
    <t>J'ai eu un accident la semaine dernière et ai été opérée. J'ai contacté ma mutuelle Génération cette semaine, ils ont fait immédiatement le nécessaire pour prise en charge car je suis immobilisée. L'aide arrive dès la semaine prochaine.</t>
  </si>
  <si>
    <t>gulfoss-75500</t>
  </si>
  <si>
    <t>Ma demande de portabilité un mois après mon licenciement n'est toujours pas traitée alors que j'ai envoyé tous les documents demandés 3 jours après mon licenciement ! Aujourd'hui je suis tout simplement sans aucune couverture ! A moi de payer mes frais se santé. Le service client est incapable de m'informer et me propose d'être rappelée sous 48h par le service compétent à me dire ce qui se passe avec demande de portabilité (?). Hallucinant. Très déçue je ne recommande pas.</t>
  </si>
  <si>
    <t>30/04/2019</t>
  </si>
  <si>
    <t>etienne-100209</t>
  </si>
  <si>
    <t xml:space="preserve">j ai envoyé par mail avec accuse de réception  et de lecture  le 5 octobre 2020 pour le remboursement  vaccin de mon chien  au depart il me dissent qu'il n' ont rien recu  mais quand je l ai dit  que je l ai envoye en recommande et accuse de le lecture comme par hasard il le retrouve dans les indésirables et la devine  quoi? il me dise qu 'il ont que le feuille de soins et pas la facture et dis dit pas possible j ai le mails devant les yeux mais comme je suis gentil je renvois la facture et je rappelle pour savoir si la tous est bon. il me dise de rappeler demain  je leur dit que c est a eux de le faire .il disent c est pas possible et moi je leur que si il me rapelle pas le moi prochain je fait opposition .elle me menace et elle me raccroche a nez. c est inadmissibles .je ne pas en restait la croyez moi. il ont tous interet de me rappeler et me rembourser les soins et je vais recherchez ailleurs. ha quand  il ont une promo il appelle  mais la rien que dalle faite tres attention a cet assurance. je vais surement laisser passer le paiement de decembre mais  si il ont rien fait d 'ici la je fait opposition aux prelevement et comme le dit que les huissier vienne j ai tous les documents et en plus mon conseil juridique  et prévenue et il deja mis un avocat a ma disposition et ce me coute 0 euro. il se croit tous permis .mais moi je suis pas un guignol.
</t>
  </si>
  <si>
    <t>17/11/2020</t>
  </si>
  <si>
    <t>larissa-d-128763</t>
  </si>
  <si>
    <t>Je viens tous juste de souscrire donc attend de voir pour la suite.pour les prix je les trouve un peu chère, autrement devis fait rapidement ,maintenant j attend de voir si je vais bien recevoir les attestations.</t>
  </si>
  <si>
    <t>20/08/2021</t>
  </si>
  <si>
    <t>cece5913-50523</t>
  </si>
  <si>
    <t>Je recois un recois un courrier qui me dit félicitation vous avez un bonus . est l'échéance à augmentée je paie 10 euro 
plus chère que l'année précédente ...
Hors sur d'autre assurance dès personnes que je connais paie moins chère l'assurance. 
Je souhaite partir et trouver mieux ailleurs car je suis decu</t>
  </si>
  <si>
    <t>20/12/2016</t>
  </si>
  <si>
    <t>pkr281-40946</t>
  </si>
  <si>
    <t>Bonjour,
Il y à un an je postai déjà pour cet assureur, suite à ce post j'avais pu obtenir une remise de prix suite à une hausse excessive de la cotisation.
Aujourd'hui je change de véhicule et j'ai donc demandé un devis sur leur site, là incompréhension on me dit que je ne réponds pas à leur critères, j'envoie un message et on me dit que comme tout contrat les leurs sont soumis à des règles d'acceptation, sans me dire quelles sont elles, et à part le fait d'avoir voulu négocier mon tarif, je n'ai eu aucun sinistre aucun problème.
Pour résilier contrairement à d'autres assureurs, il est impossible de le faire en ligne (par contre pour payer ça ça marche) il faut envoyer un recommandé, du coup je change d'assurance et là il me faut un relevé d'information, impossible de l'obtenir en ligne non plus, il faut téléphoner, c'est honteux.
Ci-dessous les réponses bateaux reçues de leur part.
"Vous m'informez de la restitution de votre véhicule BMW X4, et vous nous interrogez concernant la procédure de résiliation.
Nous regrettons de ne pouvoir vous proposer un contrat adapté pour votre véhicule de remplacement.
Par ailleurs, votre demande doit être envoyée par lettre recommandée (postale ou électronique via le site de La Poste) accompagnée d'une copie du certificat de cession à l'adresse suivante :
Direct Assurance - TSA 21031 - 59784 Lille Cedex 09.  
Si vous avez une question, nous restons à votre disposition."
Et le second :
"Je vous remercie pour votre retour.
Nous comprenons votre insatisfaction, et nous regrettons de ne pouvoir répondre favorablement à votre demande.
Je précise que comme pour type de contrats, les nôtres sont également soumis à règles d'acceptation.
Si vous avez une question, nous restons à votre disposition au numéro ci-dessous.
Merci de votre confiance."
Assureur à fuir qui fait tout pour compliquer la vie de ses clients.</t>
  </si>
  <si>
    <t>12/09/2020</t>
  </si>
  <si>
    <t>belkziz-m-117754</t>
  </si>
  <si>
    <t>Bonjour,
Prix très attractives mais la franchise conducteur occasionnel est un point négative malheureusement dans votre assurance
bonne journée.......</t>
  </si>
  <si>
    <t>21/06/2021</t>
  </si>
  <si>
    <t>amandine-h-107733</t>
  </si>
  <si>
    <t>je suis entierement satisfaite des services proposer les devis sont tres bien expliquer et les tarifs sont très abordable le dossier est traite rapidement</t>
  </si>
  <si>
    <t>nouredine-b-106729</t>
  </si>
  <si>
    <t>Je suis satisfait du contrat mais je pensais pouvoir bénéficier du bonus à vie au vu du temps de contrat et du bonus mais apparemment cette option n'existe plus.</t>
  </si>
  <si>
    <t>16/03/2021</t>
  </si>
  <si>
    <t>zins-t-138459</t>
  </si>
  <si>
    <t xml:space="preserve">Je suis satisfaite du tarif et de la mise en place du contrat... par contre, je n'ai pas encore d'avis sur l'assurance elle-même. Je me prononcerai avec plaisir à ce sujet dès que j'aurai eu besoin d'y faire appel ! </t>
  </si>
  <si>
    <t>28/10/2021</t>
  </si>
  <si>
    <t>jocelyne-b-107583</t>
  </si>
  <si>
    <t>satisfait, bon contact personnel à l' écoute très réactif, rien de plus a ajouer, à voir lors d'éventuels pb ( que nous ne souhaitons pas ).............</t>
  </si>
  <si>
    <t>droopy-78889</t>
  </si>
  <si>
    <t>Lamentable!  Vous vire  des que vous avez 2 accidents déclarés sur 3 ans ! Ils prennent en vompte les appels d'information même quand vous décidez de ne pas le déclarer car proche de la franchise !!! 
Ilsne sont la que pour ponctionner les cotisations et vous virent sans appel sur lettre stéréotypée par déclenchement de leur système informatique.....
NULS en terme de service client. Les cotisations ne sertqu'a payer leur pub....</t>
  </si>
  <si>
    <t>03/09/2019</t>
  </si>
  <si>
    <t>bernadettebuhot-65010</t>
  </si>
  <si>
    <t>habitation AXA Berck : augmentation depuis 10 ans 8% et parfois + sans avoir sinistre et changement dans l'habitation alors qu'il était annoncé 2 à 3% par an alors ??</t>
  </si>
  <si>
    <t>24/06/2018</t>
  </si>
  <si>
    <t>santaguiala-89467</t>
  </si>
  <si>
    <t>Assurance vie Bnp cardif</t>
  </si>
  <si>
    <t>07/05/2020</t>
  </si>
  <si>
    <t>celine-f-116305</t>
  </si>
  <si>
    <t xml:space="preserve">Difficile à avoir au téléphone mais satisfaite dès que je les ai eu au téléphone
tarifs intéressants et compétitifs
une approche intéressant avec un tarifs de base et des options à ajouter en fonction de nos réels besoins </t>
  </si>
  <si>
    <t>08/06/2021</t>
  </si>
  <si>
    <t>sophie-d-128111</t>
  </si>
  <si>
    <t>satisfaite de vos services , rapide efficace , bon rapport qualite prix 
les devis en ligne au top , je conseille a tous , 
deja assuré chez vous il y a quelques annees , j'y reviens car convaincu</t>
  </si>
  <si>
    <t>mushlop-66638</t>
  </si>
  <si>
    <t>J'ai pris cette assurance (au tiers)(N. client 7864239563) sans trop réfléchir avec le comparateur lefuret.com il me semble, bon tarif pour une première assurance (en tout cas par rapport au comparateur testé (partenariat ?).
Assuré depuis début 2016 (permis obtenu en 2012), bref r.a.s, je compte assurer un deuxième véhicule donc je me dis tient et si je faisais des devis un peu partout, quel mauvaise surprise de voir que je tombe sur des devis presque 20euros/mois moins chère.. (pour mon premier véhicule..)
Je contact donc premièrement par mail pour voir ce qu'il pouvait faire (en expliquant que je souhaitais en assurer un deuxième), réponse du mail : "il nous manque des pièces" Ah ? et quand est ce que j'aurais été averti ? (il s'agissait de la CG définitive, vu que j'ai fourni que la CG barrée au départ), aucune réponse pour le deuxième véhicule, sur le tarif ou quoi (surement un mail "automatique").
Bref du coup je leurs envois la CG et leurs réécrit un mail pour savoir, pas de réponse.. Bon.. 
Je décide donc de les appeler pour faire ça de vive voix, et ben là on est au sommet, la personne me dit de manière sec que je ne suis pas au bon service (euh.. je n'ai que un numéro unique dans la rubrique "contact") donc bon on me renvoi au dis service fidélité (et j'aurai du voir avec un autre service pour l'assurance du second véhicule..) bref alors je ne sais pas si L'olivier fait dans le contrat aidé mais il devrait quand même faire attention quand il recrute, la dite personne ne voulait rien savoir ("Vous avez déjà droit à une remise, on peut rien faire") alors quand je vois le tarif qu'on me propose ailleurs et sa réponse, jme dis qu'elle doit forcément pouvoir faire quelque chose, encore très réticente, jlui explique donc que même ma soeur pour sa première paye moins chère.. (suis je donc un pigeon ?) Elle me répond de manière très moqueuse qu'on assure pas tout le monde pareil. Donc là c'est trop donc jlui demande un supérieur, au début elle voulait pas me le passer.. Bref après tout ça, jsuis vraiment pas content, elle me passe donc quelqu un qui se "dit" chef, je réexplique mon problème (que forcément mon but c'est de payer moins chère, logique ?), bref pareil il veut rien faire, donc ok mais je lui signal que je compte quand même écrire directement par lettre pour exprimer mon mécontentement et là comme par magie cette personne n'est plus chef mais "conseiller senior".. 
L'appel enregistré en tout cas montre le manque professionnalisme. Quand jvois les autres messages je n'imagine même pas si j'avais eu un sinistre..</t>
  </si>
  <si>
    <t>05/09/2018</t>
  </si>
  <si>
    <t>maxence-50509</t>
  </si>
  <si>
    <t>ce n'est pas la MAAF que je préfère</t>
  </si>
  <si>
    <t>clifford-owusu-k-128256</t>
  </si>
  <si>
    <t xml:space="preserve">Satisfait de la formalité de souscription en ligne totalement autonome et rapide. Reste à voir la prestation à suivre. Bonne expérience dans le passé. </t>
  </si>
  <si>
    <t>jpguillon56-80897</t>
  </si>
  <si>
    <t xml:space="preserve">Experience desastreuse de l'assistance chez Allianz :
Mes parents (plus de 80 ans chacun) assurés depuis plusieurs années, sont tombés en panne sur la route un samedi apres midi sur une route nationale entre laval et rennes vers 14H, ils ont essayé de joindre l'assistance et n'ont pu obtenir qqun qu'apres plusieurs appels de plus d'un quart d'heure chacun , seule la musique etait presente au bout du fil ! Entre le debut de l'appel et la mise à disposition d'une voiture près de 5 heures plus tard! La voiture etait une hybride automatique, et les explications du loueurs furent plus que breves , ce qui valut quelques deboires sur le retour (mais bref)...
Pour recuperer leur vehicule réparé, Allianz leur a proposé taxi et train, mais pour y aller. Comme ils passaient par Paris il y avait un transfert en taxi entre les deux gares. Le premier taxi qui devait les emmener à la gare n'est pas venu, ils ont du se débrouiller seuls, quand au second taxi à Paris le numero fourni n'etait pas bon, et n'ont pas pu le retrouver, et ils ont du prendre un taxi à leur frais.
Dans la précipitation ma mère est tombé et s'est fracturé le genou. Elle a tout de même continué son voyage pour récupérer la voiture.
Apres etre arrivés et récupéré la voiture, celle ci est de nouveau  tombé en panne aux abords du mans sur l'autoroute sur une aire de repos. 
De nouveau impossible de joindre l'assistance, malgré plusieurs appels. j'ai moi meme essayé de joindre l'assistance via mon portable et hormis la musique je n'ai eu personne. C'est l'assitance de l'autoroute qui a pu les dépanner, mais pas gratuitement evidemment, ils ont du payer de nouveau !
Le depanneur à lui aussi essayé d'appeler l'assitance mais n'y est pas parvenu non plus !
Mes parents on finis par repartir et arrivés tard dans la nuit, mais le genou de ma mère etant trop douloureux cela s'est fini aux urgences de montargis-amilly . Donc rotule cassée, et hospitalisation de deux jours avant retour avec béquilles et fauteuil roulants.
Impossible de joindre leur conseiller Allianz, et le remplaçant si il existe est aux abonnés absents.
Je me suis rendu dans une agence Allianz où l'on m'a expliqué que mes parents devait voir cela avec leur conseiller et non avec une agence !
TOTALLEMENT INADMISSIBLE de la part de cette assurance de laisser les gens livrés avec leur problèmes. Je ne vais pas en rester là et le faire savoir aux associations de consommateurs, ce n'est pas normal, si aucune solution RAPIDE n'est proposé et mise en place par allianz.
</t>
  </si>
  <si>
    <t>11/11/2019</t>
  </si>
  <si>
    <t>majolam-71738</t>
  </si>
  <si>
    <t>N'ayez pas de problème dans votre maison</t>
  </si>
  <si>
    <t>28/02/2019</t>
  </si>
  <si>
    <t>gaugau599-67689</t>
  </si>
  <si>
    <t>La Matmut est une bonne assurance jusqu'au jour où vous avez un sinistre! Depuis le 1er Décembre 2018 mon véhicule a été volé, 10 mois après je n'ai toujours pas été indemnisé et on me demande encore et encore des documents dont plusieurs que j'ai déjà envoyé! On me pose même des questions très indiscrètes! On essaie même de me faire passer pour un fraudeur alors que tout prouve le contraire, y compris l'enquête de la Gendarmerie! Après plusieurs courriers recommandés envoyés, aucune réponse! Je n'ai pas les moyens de me racheter une voiture alors je subis les transports depuis 10 mois, c'est inadmissible!! On paie pour être assurer et on finit sur la paille! Ils détruisent une vie!</t>
  </si>
  <si>
    <t>15/10/2018</t>
  </si>
  <si>
    <t>christine-53320</t>
  </si>
  <si>
    <t>Tarifs attractifs, services commercial et client aimables et réactifs</t>
  </si>
  <si>
    <t>adrian-m-129656</t>
  </si>
  <si>
    <t>Satisfait du service simple et rapide rien a dire et moins Cher que la gmf, il se peut que d'autres véhicule passe également sous direct assurances merci</t>
  </si>
  <si>
    <t>natasha-94835</t>
  </si>
  <si>
    <t xml:space="preserve">Je suis satisfaite de la possibilité d’avoir un devis rapide mais le fait de demander un avis obligatoire avant d’avoir pu recevoir et tester le devis est un peu pénible </t>
  </si>
  <si>
    <t>22/07/2020</t>
  </si>
  <si>
    <t>lyne-96693</t>
  </si>
  <si>
    <t xml:space="preserve">Bonjour,
J'ai deux chats et j'ai voulu me renseigner sur les assurances vétérinaires pour l'un d'eux (Pepita) , car mon deuxième est trop âgé et j'ai donc demandé des devis en lignes sur plusieurs sites d'assurances, dont SanteVet.
Ils m'ont envoyé mon devis par mail et rappelé dans la foulée (Le 26 Août à 15 h 06) 
La conseillère au téléphone (si on peut l'appeler comme ça) m'a dit que si mon chat avait déjà des problèmes de santé il n'était pas éligible à l'assurance et qu'il fallait y penser avant,quand il n'a pas encore de soucis de santé. Ce que je comprend tout à fait.
Je voulais juste un conseil mais cette femme a été horrible! Elle m'a clairement engueulé et avait l'air énervé. La conversation a coupé court. Son attitude est irrespectueuse !
Je souhaitai surtout me renseigner pour plus tard lorsque je voudrai contracter une 
assurance et c'est clair que ça ne sera jamais chez eux,ils sont Blacklisté pour ma part.
C'est bien, comme ça ils m'aident à faire le tri tout seuls.
</t>
  </si>
  <si>
    <t>26/08/2020</t>
  </si>
  <si>
    <t>thuan-67685</t>
  </si>
  <si>
    <t>Client depuis 2012 avec un bonus à 0,54, c'est à dire 12 ans sans accidents responsable, mais voilà après un bris de glace l'hiver dernier, un vandalisme en début d'année et malheureusement un léger accident cet été (mais responsable), je me voies notifier d'une résiliation. Alors que j'ai cumulé plusieurs contrats chez eux avec de nombreuses années sans le moindre incidents. J'aurais aimé être prévenu pour négocier la résiliation. J'ai essayé de contacter le service client par mail (mail donné par le support téléphonique) et 3 semaines après, je n'ai toujours pas de réponses.
Maintenant je vais etre fiché et avoir des difficultés à me réassurer. Et je ne parle même pas de la manière dont mon précédent sinistre a été géré..
Quand je pense que j'ai parrainé de nombreux amis, j'espère qu'ils n'auront pas de problèmes...</t>
  </si>
  <si>
    <t>xavier-69410</t>
  </si>
  <si>
    <t>Inadmissible de supporter une hausse au 1er Janvier 2019 de 9,2%.
Tarifs intéressants à la souscription mais nous sommes massacrés aux dates anniversaires qui suivent</t>
  </si>
  <si>
    <t>14/12/2018</t>
  </si>
  <si>
    <t>loubikou-m-112656</t>
  </si>
  <si>
    <t xml:space="preserve">Je suis bien, je trouve que le prix est abordable et que le département des services après vente est très rapide à joindre et très compétent. J'attends juste une baisse du prix vu mon coefficient et le nombre d'accident qui est à 0 </t>
  </si>
  <si>
    <t>tony-l-109605</t>
  </si>
  <si>
    <t xml:space="preserve">Rapide et efficace merci pour les conseils et les tarif préférentiel. En plus il y a un système de parrainage C'est une très bonne chose. Je recommande </t>
  </si>
  <si>
    <t>pelletant-l-116052</t>
  </si>
  <si>
    <t>J'ai eu rapidement mon devis et ai pu avoir quelqu'un au téléphone pour me guider dans mes démarches. Je trouve cette assurance très abordable pour les jeunes conducteurs.
Service rapide et efficace</t>
  </si>
  <si>
    <t>mamoune-105914</t>
  </si>
  <si>
    <t xml:space="preserve">Génération mutuel entreprise nul  je cotise depuis des années et pour la première fois je fais appel à eux pour des soins dentaires un bridge de 2000 euros la sécurité sociale me rembourse 209 euros et génération 159 euros du jamais vu je suis obligé de prendre une autre mutuel extérieur pour avoir un remboursement sérieux mais le pire c est que génération me prend toujours sur mon salaire ma cotisations de chaque mois alors qu'ils ne rembourse que dalle du coup imaginé le nombre de salariés qui ont des cotisations prélevé chaque mois pour rien vu que c est une mutuel obligatoire nous n avons pas le choix .super bien protégé par génération une grosse blague mais surtout une honte je suis en plus obligé de mettre une étoile pour me faire entendre sinon vous ne pouvez pas validé </t>
  </si>
  <si>
    <t>regis-v-129325</t>
  </si>
  <si>
    <t>Je suis très satisfait et je trouve que c'est très simple  simple d'utilisation , le prix est très intéressant . Entièrement satisfait de la facilité avec laquelle on peut s'assurer aussi vite</t>
  </si>
  <si>
    <t>bo-z-106284</t>
  </si>
  <si>
    <t>+ de 20 min d'attente sans avoir un conseiller du service client, puis fin de communication.
Demande de geste commercial suite à augmentation 4 années de suite -&gt; rien.
ma prochaine étape sera la résiliation !</t>
  </si>
  <si>
    <t>11/03/2021</t>
  </si>
  <si>
    <t>sylvie-m-124735</t>
  </si>
  <si>
    <t xml:space="preserve">Prix très attractif, rapidité de l'exécution. Devis reçu par mail dans les délais. Par contre longueur de l'avis un peu long à mon goût. Cordialement </t>
  </si>
  <si>
    <t>leila-115362</t>
  </si>
  <si>
    <t>J ai eu un accident de la circulation j ai perdu mon véhicule 2 blessés et pacifica ne veut pas prendre en charge mon sinistre elle a fait faire un pv par la gendarmerie qui eux m ont convoqué pour savoir comment c passé l accident je n ai rien compris, ils ont trouvé un courrier au nom de mon fils et m ont demandé c qui cette personne j ai répondu c mon fils oui j ai des affaires et documents de mon fils car mon  mari ne veut rien a la maison venant de lui du coup je laisse tout dans ma voiture. L expert a dit a la casse auto que l assurance ne prend pas en charge et que je devais récupérer mon véhicule qui es hors de circuler, mais dans quel monde ont vis je suis assuré tout risque et je doit intervenir vers mon avocat ou comment faire afin de poursuivre pacifica en justice. Merci pour vos conseils.</t>
  </si>
  <si>
    <t>13/10/2021</t>
  </si>
  <si>
    <t>bobmorane-123574</t>
  </si>
  <si>
    <t>fuyez ce groupe, ils ne répondent jamais aux mails, les employeurs doivent choisir cette mutuelle pour son prix, emprissonnant les salariés avec un groupe bas de gamme où tu n'as personne vers qui te 
tourner en cas de soucis et je sais de quoi je parle 2 mois pour un simple problème et ... je n'ai que : envoyer un mail depuis leur site (où ils ne répondent jamais) et le téléphone ... où on me dit poliment
que mon soucis est pris en charge (ce qui n'est pas le cas)
fuyez!!</t>
  </si>
  <si>
    <t>16/07/2021</t>
  </si>
  <si>
    <t>benjamin-s-121433</t>
  </si>
  <si>
    <t>Je suis satisfait des services simple et pratique. La prise en compte d'une demande sur l'espace est rapide et limpide sur l'utilisation de l'espace en ligne.</t>
  </si>
  <si>
    <t>robin-b-105437</t>
  </si>
  <si>
    <t xml:space="preserve">Je suis satisfait de la facilité de souscription.
Prix correct même si très élevé pour un jeune  conducteur.
.............................................................................
</t>
  </si>
  <si>
    <t>04/03/2021</t>
  </si>
  <si>
    <t>jroger-60430</t>
  </si>
  <si>
    <t>Malgré mes démarches auprès de l'agence locale et qu'ils aient admis leur erreur, Harmonie Mutuelle ne m'a jamais remboursé 200 Euros de trop perçu de cotisation qu'ils se sont octroyés lors de ma résiliation début 2016. 
Tout le dossier est ici:
http://jroger.net/harmonie-mutuelle-la-fleche-72200.htm</t>
  </si>
  <si>
    <t>hichem-z-110916</t>
  </si>
  <si>
    <t>Je suis satisfait du prix et la facilté d'inscription ainsi que des garanties par rapport à mon contrat;
la résilation de mon ancien contrat s'est faite très rapidement.</t>
  </si>
  <si>
    <t>19/04/2021</t>
  </si>
  <si>
    <t>youri-93205</t>
  </si>
  <si>
    <t>Le service client est inaccessible. Ayant eu un sinistre, je ne peux pas appeler le service de gestion des sinistre, apparemment tous les conseillers sont occupés et il n'y a pas d'attente, le serveur téléphonique raccroche. En passant par la déclaration d'un incident ça passe mais on me met en relation avec le service de gestion et là pareil on me raccroche au nez.
Par mail, personne ne répond !
Ils sont bons pour encaisser les cotisations.</t>
  </si>
  <si>
    <t>salah--o-114485</t>
  </si>
  <si>
    <t>services nuls et pratique de l assureur direct assurances a la limite de l illégalité ....assurez vous chez direct assurances pour 0 sinistres sinon on vous éjecte ....</t>
  </si>
  <si>
    <t>sylvain-m-115685</t>
  </si>
  <si>
    <t>service client facilement joignable mais travail bâclé et délais non respectés. Il faut vraiment vouloir gagner quelques euros !!! à fuir si vous souhaitez une prise en charge digne d'un véritable assureur.</t>
  </si>
  <si>
    <t>nio-b-111022</t>
  </si>
  <si>
    <t xml:space="preserve">je suis très satisfait du service client qui est proposé
les prix sont satisfaisants et attractifs
la signature est rapide et très simple et rapide   </t>
  </si>
  <si>
    <t>vaness-53854</t>
  </si>
  <si>
    <t xml:space="preserve">bonjour j'ai souscrit a youdrive qui est avec direct assurance j'ai payer par carte bleu les deux mois hors je n'ai aps recu els papiers qui a eu ce soucis? je suis en stress j'ai besoin des papiers aujourd'hui car l'assurance de  l'ancien proprietaire de la voiture se termine aujourd'hui </t>
  </si>
  <si>
    <t>05/04/2017</t>
  </si>
  <si>
    <t>elise98-58858</t>
  </si>
  <si>
    <t>DES PROFESSIONNELS, TRÈS SÉRIEUX, UNE DÉMARCHE SUR MESURE ...RAS !!UN CONSEILLER SANTIANE.FR M'A FAIT FAIRE UN CHOIX TAILLÉ SUR MESURE ...MERCI SANTIANE.FR</t>
  </si>
  <si>
    <t>15/11/2017</t>
  </si>
  <si>
    <t>sk-87500</t>
  </si>
  <si>
    <t xml:space="preserve">Service client incompétent 
Demande de résiliation en octobre 2019 non prise en compte durant 3 mois pour vous réclamer par la suite les cotisations avenir en vous menaçant. </t>
  </si>
  <si>
    <t>23/02/2020</t>
  </si>
  <si>
    <t>lafifi-s-133062</t>
  </si>
  <si>
    <t xml:space="preserve">La remise de 10% sur un deuxième contrat a été faite sur le contrat le moins cher. A cause d'une reprise du mauvais devis en ligne. Aucun moyen de changer !! 
</t>
  </si>
  <si>
    <t>alex-76170</t>
  </si>
  <si>
    <t>J'ai choisi Direct Assurances car je voulais faire des économies. Mais derrière ce prix se cache en réalité une absence totale de service client et un nombre impressionnant de "clauses commerciales" qui se traduisent concrètement par une absence totale de couverture d'assurances. En clair vous payez pour rien. Par ailleurs, il vous faudra faire très attention lorsque vous souhaiterez vous séparer de cet assureur car là encore tout est fait pour continuer à vous faire payer. C'est ainsi que Direct Assurances m'a fait payer un an de cotisation supplémentaire tout en résiliant mon contrat car je n'avais pas envoyer mon courrier de départ exactement au bon moment à 1 jour près. Le service client n'a rien voulu savoir puisque je partais de toute manière et que c'est écrit dans l'une de leurs inombrables clauses. A éviter absolument.</t>
  </si>
  <si>
    <t>22/05/2019</t>
  </si>
  <si>
    <t>anne-t-130655</t>
  </si>
  <si>
    <t xml:space="preserve">Je suis très satisfaite des services, une équipe a l'écoute et disponible.
je recommande la GMF en assurance 
Au niveau des tarifs ils sont abordable et s'adapte en fonction de vos besoins  </t>
  </si>
  <si>
    <t>fredie-63445</t>
  </si>
  <si>
    <t>Un service client super bien organisé car au choix des agences combiné avec une plateforme téléphonique si votre agence n.est pas disponible.</t>
  </si>
  <si>
    <t>20/04/2018</t>
  </si>
  <si>
    <t>nicoweaz-53593</t>
  </si>
  <si>
    <t xml:space="preserve">Assurance vie souscrite: bilan: commercial incompétent  et grosses difficultés à débloquer ses avoirs: à fuir. Fonds toujours pas débloqué depuis un an et demi, commercial qui ne répond jamais, grosses difficultés pour joindre les services administratifs 
</t>
  </si>
  <si>
    <t>Afi Esca</t>
  </si>
  <si>
    <t>26/03/2017</t>
  </si>
  <si>
    <t>douaud-110056</t>
  </si>
  <si>
    <t xml:space="preserve">je suis satisfait du service. Les prestations sont à la hauteur de mon attente et j'espére etre content du service client par la suite. Bonne assurance auto </t>
  </si>
  <si>
    <t>12/04/2021</t>
  </si>
  <si>
    <t>damien-f-135289</t>
  </si>
  <si>
    <t xml:space="preserve">Simple et rapide ..a voir si dans le temps tout se passe bien et que les conditions du contrat sont bien respectées..cependant il a été difficile de joindre un conseiller </t>
  </si>
  <si>
    <t>30/09/2021</t>
  </si>
  <si>
    <t>jim3893-92108</t>
  </si>
  <si>
    <t>Surpris par les prix pratiqués, hyper compétitif par rapport aux concurrents, j'attends d'être rappelé pour pouvoir comparer mes autres contrats d'assurance.</t>
  </si>
  <si>
    <t>24/06/2020</t>
  </si>
  <si>
    <t>belhadj-b-122554</t>
  </si>
  <si>
    <t>Très satisfaite par les prix et aussi la prise en charge au tel lors du premier appel . Nous sommes bien conseillé et le conseiller prends bien en compte nos attentes .</t>
  </si>
  <si>
    <t>06/07/2021</t>
  </si>
  <si>
    <t>nevri-88761</t>
  </si>
  <si>
    <t xml:space="preserve">Je mets une etoile car obligé si on veut laisser un commentaire .Assurance a fuir de toute urgence (chose faite pour moi) Assuré chez eux depuis 4 ans sans aucun soucis , 1er sinistre non responsable en fevrier. Toujours aucune nouvelle sauf les "ça peut prendre du temps , fallait etre assuré en tout risque ..." du service client .C'est vrai qu'on a tous les moyens de s'assurer en tout risque bien sur ...Le pire c'est qu'on vous dit que ça peut prendre de 6 mois a 1 an !!!! Et pendant de ce temps je roule avec une voiture explosé ?? Bref ils sont super tant que rien ne se passe .....En bref je change d'assureur grace a la loi Hamon </t>
  </si>
  <si>
    <t>08/04/2020</t>
  </si>
  <si>
    <t>margot-116928</t>
  </si>
  <si>
    <t xml:space="preserve">Je me rends compte que je ne suis pas la seule  personne à être in satisfaite de cette mutuelle. Voilà quelques années que j’y suis assuré. Le service ce dégrade. 
Exemples : 
1) depuis des mois je passe par mon compte internet pour signaler un changement d’adresse mail. 
2) je reçois  un avis comme quoi ils remboursent à partir du 1 mai et jusqu’au 31 décembre 2021 des consultations. Je transmets via mon compte les factures. Toujours rien reçu depuis 1 bon mois. Je m’aperçois même que mes factures ont disparues de mon compte ! Est-ce possible et bien oui. Donc j’ai recommencé et ne lâcherai pas l’affaire. 
3) opération avec dépassements d’honoraires. Retour du devis avec ce qui  réellement remboursées. Et bien ils se Sont trompés et me demande de rembourser alors que  j’ai les preuves à l’appui. 
4) je me rends à  l’agence, j’attends sagement que l’on m’appelle. L’agent répond à  un appel téléphonique, je patiente et attends. Enfin je vais passer. Et bien non ! Il reprend son téléphone et appelle. Non je n’étais pas caché, non je ne ralais pas. Je suis parti….
Je vous assure que je n’invente pas. 
Je vais réfléchir sérieusement à changer de mutuelle. </t>
  </si>
  <si>
    <t>brazza33170-69027</t>
  </si>
  <si>
    <t>Service client disponible et très réactif.Personnel aimable, Prix  de l'assurance  auto très compétitif par rapport au garanties proposées. Rapidite de la réception de la carte verte définitive .</t>
  </si>
  <si>
    <t>29/11/2018</t>
  </si>
  <si>
    <t>tony-m-109544</t>
  </si>
  <si>
    <t xml:space="preserve">Je suis très mécontent ça fait deux années de suite que mon assurance augmente alors que je n’ai fait aucun accident donc je suis très très insatisfait de direct assurance </t>
  </si>
  <si>
    <t>maxxxxx-50605</t>
  </si>
  <si>
    <t>Même pas capable de sortir un devis avec mes coordonnées correcte en une année ! 
Avec quand même plusieurs relance de ma part (plus d'une dizaine)
Et pour couronné le tout un rattrapage du prix de l'assurance de plus de 700 euros dans mon dernier contrat sans me prévenir et en tout petit dans le contrat.
Bonne chance avec eux !</t>
  </si>
  <si>
    <t>23/12/2016</t>
  </si>
  <si>
    <t>emilie-l-139417</t>
  </si>
  <si>
    <t xml:space="preserve">Très satisfaite de tous les options proposer très bien les montants en cas de décès j'espère pas qu'il m'arrive quelque chose car ça m'embêterait merci </t>
  </si>
  <si>
    <t>11/11/2021</t>
  </si>
  <si>
    <t>marguerite-111968</t>
  </si>
  <si>
    <t>Attente téléphonique très limitée (max 2/3min), l'interlocuteur que l'on a au téléphone est très agréable, poli, et même souriant) et en prime un traitement immédiat de la demande.</t>
  </si>
  <si>
    <t>bruno-c-114378</t>
  </si>
  <si>
    <t>je suis satisfait l interlocuteur etait tres gentil tout est bien ds le meilleur des mondes et vive le deconfinement
il ne f pas beau et j ai envi de faire un tour en moto</t>
  </si>
  <si>
    <t>fred95-90416</t>
  </si>
  <si>
    <t>Sociétaire MAIF depuis 33ans (auto+habitation), entièrement satisfait jusqu'à présent. J'ai demandé un devis en prévision d'un changement de véhicule pour un modèle hybride BMW330e : prime d'assurance 2 fois plus chère que ce que je paye actuellement pour une BMW 420d. Motif invoqué : la puissance du véhicule car la MAIF se base sur la puissance cumulée (électrique + thermique = 292ch), en contradiction avec la puissance nette maximale indiquée sur la carte grise (P2) qui est de 135kW, soient 184ch. Cette P2 tient compte du fait que ces deux moteurs ne fonctionnent pas en simultané :  pour les trajets urbains l'électrique (113ch) est privilégié, et lorsque la batterie n'a plus d'autonomie, le moteur thermique (184ch) prend le relai et contribue à recharger la batterie. Bien sûr la puissance cumulée est importante, mais mobilisable de façon théorique ou exceptionnelle.
Comment est-il possible qu'un « assureur militant » puisse appliquer un tel tarif rédhibitoire en appliquant des critères de calcul inadaptés aux spécificités d'un véhicule hybride, fût-il de marque premium ? On pourrait attendre de la MAIF qu'elle encourage l'achat des véhicules hybrides, plus propres et respectueux de l'environnement, comme le fait actuellement le gouvernement au travers des aides à la conversion électrique. 
A garanties comparables, la MXXXX me propose un devis moitié moins cher pour ce même véhicule référencé en 184 ch. « Dans une démarche favorable à la protection de l'environnement et en tenant compte des taux plus faibles de sinistralité des véhicules propres, les assureurs appliquent pour ces voitures des tarifs moins élevés. Ils sont généralement de 10 à 30 % moins chers que ceux des assurances auto classiques » alors que la MAIF n'hésite pas à me proposer un tarif 62% plus élevé ! Je suis choqué et déçu, et je vais donc devoir changer d'assureur….</t>
  </si>
  <si>
    <t>misternaad-58517</t>
  </si>
  <si>
    <t xml:space="preserve">C'ETAIT BIEN ... malheureusement, ça a bien changé! J'ai fait un test avec un simulateur sur internet pour connaître le prix de mon assurance avec eux ... 295 au lieu de 400 euros ... je les appèle par téléphone, en fait, c'est un tarif préférentiel pour les nouveaux clients !! pour ceux qui sont déjà clients, il vaut mieux résilier.... hé oui, j'ai 38 ans, le permis à 18 ans du permier coup. 0 accidents; 0 retrait de permis ; 0 résiliation d'une assurance (idem pour ma femme) et je paye 400 euros au tiers minimum sans bris de glace sur une sandero de 2009 (sans direction assistée ni fermeture centralisée ce qui représente 20% du prix de la voiture) avec 50 km pour une intervention sur une panne .... bravo, vous allez gagnez de l'argent ... ou pas ... </t>
  </si>
  <si>
    <t>31/10/2017</t>
  </si>
  <si>
    <t>op17-89515</t>
  </si>
  <si>
    <t xml:space="preserve">Faites attention, même si vous résilier votre contrat, sachez que la Maaf continue de vous prélever ! Le service client m'a informée que je ne serai plus prélevée, j'ai reçu une feuille qui m'informait de la résiliation de mon contrat par la Loi Hamon à compter du mois d'avril. Problème : nous sommes au mois de mai et j'ai été encore prélevée de 50,66€ !
Je ne recommande par cette assurance qui, en plus de cela, nous fais payer cher pour pas grand-chose. </t>
  </si>
  <si>
    <t>11/05/2020</t>
  </si>
  <si>
    <t>footballeur-79557</t>
  </si>
  <si>
    <t>Client en devenir, si le contrat se passera aussi bien que son élaboration avec Anthony et le suivi avec Nadège, j'en serai ravi.</t>
  </si>
  <si>
    <t>28/09/2019</t>
  </si>
  <si>
    <t>aline-132282</t>
  </si>
  <si>
    <t xml:space="preserve">J'avais besoin d'un complément d'information sur l'Ophtalmologie-optique. Garanties très basiques... compensée par l'accueil de Khadidiatou, interlocutrice très aimable et très précise dans ses renseignements. Merci à elle. </t>
  </si>
  <si>
    <t>xenath22-87654</t>
  </si>
  <si>
    <t>J'ai des soins dentaires qui datent du 21 janvier pour 700 euros qui ne sont toujours pas remboursés malgré plusieurs appels et messages sur l'espace adhérent restés sans réponse. Pour les avoir au téléphone, il faut attendre près de 40 minutes, et quand vous les avez, on vous demande d'être patient !!! A ce jour, toujours rien en vue.</t>
  </si>
  <si>
    <t>26/02/2020</t>
  </si>
  <si>
    <t>mme-97524</t>
  </si>
  <si>
    <t xml:space="preserve">Démarchage abusif. Appel d un pseudo courtier . Qui avait tout en main sauf mes coordonnées bancaires. Voulait me forcer à contracter tout en prétendant "vérifier des infos". Ces personnes devraient faire l'objet d'un procès.(la societe et les démarcheurs qui acceptent de pratiquer ces méthodes </t>
  </si>
  <si>
    <t>le-galloux-y-134976</t>
  </si>
  <si>
    <t>Pour le moment très satisfait du service, assuré très rapidement, très bon tarif.
Démarche intuitive, je recommande très fortement.
A voir dans le temps</t>
  </si>
  <si>
    <t>nelson-g-125281</t>
  </si>
  <si>
    <t>Je suis satisfait du service qu'a proposé AMV, rapide, le prix raisonnable, et la facilité d'exécution est super rapide. Je recommande fortement AMV auprès de mes amis</t>
  </si>
  <si>
    <t>tapin-j-128561</t>
  </si>
  <si>
    <t xml:space="preserve">Les prix en jeune permis sont chers. Mais pas le choix d’assurer. Sinon pour les autres permis très bien et la relation sur réseau social très bien. Merci </t>
  </si>
  <si>
    <t>yahouni-s-129361</t>
  </si>
  <si>
    <t>Au top le conseiller  était  sympa  et comprensif  prix correct et juste et je souhaite aller  àvec  vous  pour assuré d'autre valeurs  j'espere  que  ça va durer longtemps temps</t>
  </si>
  <si>
    <t>najoua-h-134407</t>
  </si>
  <si>
    <t xml:space="preserve">Très bonne accueil téléphonique 
Très bon conseil 
Tarification qui défi toutes concurrences 
Début de contrat en espérant que cette satisfaction durera sur du long terme </t>
  </si>
  <si>
    <t>cdm-66555</t>
  </si>
  <si>
    <t xml:space="preserve">Après de nombreuses années d'insouciance, c 'est quand on a un sinistre qu'on constate le suivi déplorable, les courriers contradictoires, l'absence totale de suivi client, relation, conseil, information et bien sur, indemnisation. </t>
  </si>
  <si>
    <t>03/09/2018</t>
  </si>
  <si>
    <t>oxbow78-137175</t>
  </si>
  <si>
    <t xml:space="preserve">C'est ma première expérience avec une assurance en ligne.
Très bonne expérience ! 
Ma conseillère m'a très bien expliquée les différents contrat et m'a proposée le plus adaptée à ma situation.
L'offre Youdrive est top pour qui veut réduire considérablement le coût de son assurance auto.
L'inscription en ligne et la signature des documents est d'une simplicité ! 
j'ai hâte de recevoir mon boitier et de commencer à gagner de l'argent !
</t>
  </si>
  <si>
    <t>cat--100997</t>
  </si>
  <si>
    <t xml:space="preserve">A fuir ma fille a eu un accrochage pas trop grave il y a deux ans elle a accepté qu'on lui mette un par choc regiclé  plus d'accident depuis ... seulement un petit impact sur son par brise qui a nécessité une petite réparation de chez carglass il y a 1 Moi ... et hier il lui signal qu'il ne la veule plus !!! éjecté balayé .. je trouve cela scandaleux et jamais je ne viendrai chez eux !! voilà voilà </t>
  </si>
  <si>
    <t>heloise-63242</t>
  </si>
  <si>
    <t xml:space="preserve"> très mal gérer un délai d'attente de 2 mois ce qui est inadmissible c'est qu'en plus d'appeler et d'avoir des conseillé au téléphone qui nous indique gérer nos dossiers quand vous rappeler une semaine plus tard on vous dit je vais traiter votre dossier il est aux archives incompréhensible 5 mois de combat perpétuel a appelé toutes les semaines pour avoir un pauvre virement de 200 €</t>
  </si>
  <si>
    <t>Gan</t>
  </si>
  <si>
    <t>13/04/2018</t>
  </si>
  <si>
    <t>smendes17-62488</t>
  </si>
  <si>
    <t>Voilà maintenant 2 mois que mon fils est né et après avoir envoyé les papiers comme prévu, le dossier n'est pas traité, rien n'est fait, et le service client s'en fout et nous dit de patienter.mais ça fait 2 mois ! Du coup aucun remboursement pour mon fils.par contre les cotisations ça on les récupère sans problème. Du coup je vais être obligé de résilier, et dans ce cas j'évoque le défaut de service de leur part (cas de force majeur) et s'il le faut, on pourra aller au tribunal sans problème.</t>
  </si>
  <si>
    <t>19/03/2018</t>
  </si>
  <si>
    <t>charloudu16-53179</t>
  </si>
  <si>
    <t>Eviter absolument cette assurance !!!!!!!
Je possède actuellement une assurance auto chez eux depuis plus d'un an, j'ai fait ma demande de relevé d'information, sans suite. 
De plus j'ai voulut souscrire un contrat pour un autre véhicule, j'ai payé les frais de dossier ainsi que deux moi d'assurance. Je n'ai jamais reçu le papier d'assurance provisoire, et quand j'ai voulut me connecté sur le site pour transmettre mes documents, impossible. J'ai donc appelé le service client (surtaxé) a plusieurs reprise. J'ai envoyer mes documents par courrier, toujours sans suite. Et maintenant quand je les appel ils me disent que je n'ai pas transmis mes documents a temps.
Je me retrouve donc sans assurance an ayant payer, et je ne peux pas récupérer mon relevé d'information pour changer ...
Eviter absolument cette assurance !!!!!!</t>
  </si>
  <si>
    <t>11/03/2017</t>
  </si>
  <si>
    <t>anthony-p-122537</t>
  </si>
  <si>
    <t>Très satisfait du tarif prix service et faciliter a souscrire en ligne rien d autre a dire accueil et garantie super a recommandé au personne de mon entourage</t>
  </si>
  <si>
    <t>sab-117619</t>
  </si>
  <si>
    <t>Tres mecontente.
Conseillers incapables de repondre aux demandes.
Traitement des pertes de primes et demi traitement completement hors delais alors que les dossiers sont complets.
Obligee de constamment les relancer par mail ou telephone.
Je deconseille interiale.
Je changerais de mutuelle des que je le pourrais.</t>
  </si>
  <si>
    <t>19/06/2021</t>
  </si>
  <si>
    <t>francese-y-115156</t>
  </si>
  <si>
    <t xml:space="preserve">Tout est parfait pour l’instant, le service client est à notre écoute et patiente , les prix sont ultra compétitifs par rapport à d’autres compagnie d’assurance </t>
  </si>
  <si>
    <t>dikov-s-107495</t>
  </si>
  <si>
    <t xml:space="preserve">Je suis satisfait de la réactivité
j'ai eu un bon conseiller a mon écoute 
                                                                                                           </t>
  </si>
  <si>
    <t>trucks60-59397</t>
  </si>
  <si>
    <t>Bonjour, je viens aujourd'hui sur se forum car je suis très mécontent de la MACIF j'ai eu un souci avec un store de mon camping car que j'ai trouvé arraché et faussé un matin à mon réveil, j'en ai déduit sans être expert que se sinistre avait été causé par le vent, donc ma déclaration faite dans se sens, donc pas d'avis de tempête pas d'indemnisation (sans expertise) ma déclaration leur suffisait bien sur car il n'avait pas a m'indemniser, mais mon concessionnaire voit l'affaire autrement, donc courrier, médiation, commission de recours ils ne veulent rien savoir le chef de service à dit non donc on en reste là çà ne sert à rien de faire des courriers ils s'en fiche, c'est très grave je ne vais pas en rester là je vais saisir  ma protection juridique qui n'est pas la MACIF et nous verrons bien, dans tous les cas camping cariste méfiez vous fuyez cette compagnie</t>
  </si>
  <si>
    <t>07/12/2017</t>
  </si>
  <si>
    <t>chanchandijon-127016</t>
  </si>
  <si>
    <t xml:space="preserve">Ca commence très mal !  Après 2 ans d'hésitation, je quitte les ACM pour Harmonie Mutuelle, où j'ai longuement échangé par mail et téléphone avec une conseillère,
en insistant bien sur mes besoins, et en demandant quels étaient les remboursements.
Au final, je me lance, en fin de printemps 2021...
Résultat, je rentre de cure thermale, je réclame mon forfait : on me dit que je n'y ai pas droit, alors que je pensais recevoir 400 € ! ce n'est pas rien, et c'est ce qui m'avait motivée à changer de mutuelle. J'avais un forfait de 200 € auparavant.
Remboursement podologue et semelles :  de même, j'étais 100 % remboursée auparavant, et là il reste 40 € de ma poche.
Ostéodensitométrie : je n'ai pas pu avoir l'info ...
Bref, je ne vais pas rester longtemps à cette mutuelle si je ne suis pas mieux remboursée que ça, en option 3 je précise !!
Facile de faire de belles promesses pour attirer les clients, si les montants non remboursés dépassent le gain de cotisations, j'aurai mieux fait de garder mon ancienne mutuelle !
</t>
  </si>
  <si>
    <t>07/08/2021</t>
  </si>
  <si>
    <t>christian-18412</t>
  </si>
  <si>
    <t>Mon Tarif auto 2017 : mauvaise surprise !! + 15,4% pour l'une et +6.24% pour l'autre. client depuis plus de 5 ans, bonus 50%</t>
  </si>
  <si>
    <t>26/12/2016</t>
  </si>
  <si>
    <t>noel-m-108915</t>
  </si>
  <si>
    <t xml:space="preserve">Société d'assurances très pratique dans son fonctionnement. Je découvre et n'ai donc aucun avis sur le service après vente. Mais les échos que j'en ai eus m'ont incité à souscrire auprès de Direct Assurance. </t>
  </si>
  <si>
    <t>mld-126536</t>
  </si>
  <si>
    <t xml:space="preserve">En accident de travaille depuis janvier , je n'est toujour pas était payer  c'est incroyable   j'appelle tous les jours mais rien ne change pourtant ont me dit que toute l'administration a était faite parfaitement par mes soins et celle de mon employeur , même les conseillers ag2r ne comprennent pas pourquoi je n'est pas encore était payer . Je ne lâcherai pas je veu mon du .  Car tous les mois ont me préleve .   </t>
  </si>
  <si>
    <t>pierre-m-139108</t>
  </si>
  <si>
    <t xml:space="preserve">Malgré être déjà client
Trop d'informations son demandé 
Et surtout les 2 mois à payer en avance 
Et en plus vous demandez 150 caractères ce qui m'oblige à écrire </t>
  </si>
  <si>
    <t>06/11/2021</t>
  </si>
  <si>
    <t>leonard-m-107715</t>
  </si>
  <si>
    <t>Difficile de donner un avis à la signature d'un contrat. C'est dans les moments difficiles et/ou dans le suivi de ses clients qu'un prestataire peut éventuellement être évalué.</t>
  </si>
  <si>
    <t>doumbia-f-111046</t>
  </si>
  <si>
    <t xml:space="preserve">Je suis satisfaite c'est rapide et pas chéré les conseilles  sont très professionnel et j'ai enfin réussi à assurer ma voiture même en étant jeune conducteur. </t>
  </si>
  <si>
    <t>depite-89966</t>
  </si>
  <si>
    <t>commerçant, j'ai suspendu une échéance suite au covid et donc la fermeture.le mois d'après, après avoir obtenu un prêt pge, je veux régulariser mais personne travaille chez ALLIANZ! même pas de télétravail et impossible de payer en ligne..
aujourd'hui je veux régler, et je suis (punis) ! des frais de recouvrement et 4 mois de cotisations à payer sur le champs, sinon radié! rép:c'est la procédure !
honte à eux !!!</t>
  </si>
  <si>
    <t>loic-m-116010</t>
  </si>
  <si>
    <t>Lors de la première prise de contact au téléphone, la personne m'avait assuré que lorsque mon fils Thomas aurait son permis voiture son bonus moto serait pris en compte pour le calcul du tarif . Permis de depuis le 23/012020.
Hors lors son inscription sur la voiture, ce n'est pas le cas, et mon interlocuteur m'affirme que rien ne peut être fait.</t>
  </si>
  <si>
    <t>04/06/2021</t>
  </si>
  <si>
    <t>gaston-69360</t>
  </si>
  <si>
    <t xml:space="preserve">Je ne crois toujours pas à ce que je vis. 200 euros pour une attestation provisoire de 1 mois. c'est plutôt un grand mensonge bien organisé pour soutirer les sous aux citoyens honnêtes </t>
  </si>
  <si>
    <t>16/12/2018</t>
  </si>
  <si>
    <t>diego-139430</t>
  </si>
  <si>
    <t xml:space="preserve">Résilié après cinq ans passés chez eux. Motif? Altération commerciale selon eux.
En 2016, je deviens professeur des écoles et la MAIF me propose une protection juridique spécialisée pour les métiers de l'enseignement, contrat incluant l'autonome de solidarité laïque. Au bout de quelques mois ils me proposent un contrat auto puis très vite un contrat habitation. En trois ans je suis entièrement assuré chez eux.
Malheureusement en 2019, des circonstances vont décider de mon sort. Je dois faire face à deux sinistres responsables avec ma voiture en l'espace de quatre mois. Puis quelques mois plus tard, je subis une agression verbale et de facto un vandalisme sur mon véhicule. 
Aucun mot de sympathie. Aucune empathie. La menace tombe.
Un militant m'a assuré qu'aucune résiliation n'était envisagée si je faisais attention à l'avenir. Il n'en a rien été. Je reçois un courrier de résiliation en novembre 2020. Altération commerciale. Je m'attendais à perdre uniquement mon contrat auto. Non, il s'agit de l'ensemble de mes contrats. Finie donc la protection juridique professionnelle! 
J'ai essayé de négocier un compromis, ils ne veulent rien savoir! Complètement bornés.
Toujours le même discours: les relations se sont détéroriées et on préfère mettre fin aux contrats. 
En effet lorsqu'en février 2020 ma voiture a été réparée, des pannes sont survenues en mai 2020. Le carrossier avait mal réparé la partie moteur et mon garage voulait me faire facturer les réparations alors que mon assurance était censée payer (contrat tous risques!) J'ai dû insister auprès de la MAIF pour faire prendre en charge les réparations et de me remettre à disposition un prêt de véhicule. Je crois qu'ils n'ont tout simplement pas apprécié cela. Il semble qu'ils n'aiment pas qu'on râle ou qu'on se plaigne. 
Le plus grave est sans doute mon agression, ils n'ont eu aucun mot de complaisance. Est-ce ma faute si je me fais agresser? Est-ce ma faute si un individu à moitié givré donne des grands coups dans ma voiture jusqu'à l'endommager? Le dépôt de plainte n'a pas suffit et je me suis fait éjecter comme un malpropre. Quand j'en parle à des conseillers, j'ai toujours le même mépris au bout du fil. 
Ce manque d'humanité de leur part me dégoute et je ne peux que conseiller de fuir cette assurance. Mon erreur a été de les croire. </t>
  </si>
  <si>
    <t>coco-87031</t>
  </si>
  <si>
    <t>INADMISSIBLE je suis bénéficiaire de contrats, je suis toujours en attente du récapitulatif des sommes malgré la relance à l'ancien conseiller de Lyon. cela fait plus d'un mois que j'ai envoyer l'avis de décès. Pour vous faire signer des contrats les 1er pour payer je pense que ca va être compliqué</t>
  </si>
  <si>
    <t>ld-94157</t>
  </si>
  <si>
    <t xml:space="preserve">Bonjour, je poste sur ce forum car je ne suis pas satisfait de cet organisme. Après avoir accepté 2 dérogations pour m'assurer sur un véhicule sportif puisque je n'avais pas 5 ans de permis (premier accord en février 2020 puis véhicule volé et de nouveau un accord le 22/05/2020) j'ai un devis auto qui le prouve. Je contacte de nouveau le service client ce jour pour assurer la même voiture mais moins puissante (moins de chevaux fiscaux) et on m'indique que l'on refuse la dérogation car mon dossier a été étudié en profondeur (comme si cela n'avait pas été le cas les fois précédentes) en m'indiquant que mes sinistres et ma date de permis ont penchés dans la balance (je n'ai jamais eu de sinistre et j'ai bientôt 5 ans de permis). La conseillère à court d'arguments m'indique qu'en février lors de l'accord de la dérogation on m'a fait une offre pour une assurance habitation que j'ai refusé puisque j'en ai déjà une qui me convient. En gros cela revient à faire du chantage puisque je n'ai pas souscrit cette assurance. Vous ne pouvez imposer une assurance en échange de quelque chose. J'attends un retour de votre part et j'espère que vous reviendrez sur cette décisions absurde !!! </t>
  </si>
  <si>
    <t>cristaleoo34-52902</t>
  </si>
  <si>
    <t xml:space="preserve">Une entreprise bien en dessous de leur publicité 
Ayant deux véhicules, un chez eux un ailleurs, je souhaite rapatrier le second chez eux, ils me font un devis je précise bien que j'ai eu un bris de glace plus 3reparations, on me dit pas de soucis ils lancent la résiliation loi Hamon chez mon autre assureur
1mois et 1semaine  après le jour de la résiliation définitive ils me laisse un message disant au final ne pas pouvoir m'assurer suite au bris de glace et des réparations.... je me retrouve sans assurance!!! Enfin ils me laissent 20 jours pour me retourner comme ils disent.... bien sûr ils retiendront 45€de frais de dossier sur le remboursement! Heureusement mon autre (ex) assureur accepte me reprendre, conclusion je vais retirer mon autre véhicule de cette assurance qui est de mauvaise fois </t>
  </si>
  <si>
    <t>02/03/2017</t>
  </si>
  <si>
    <t>caroline3958-77574</t>
  </si>
  <si>
    <t>dossier capital décès réglé en moins d'un mois alors qu'il y avait des droits dus aux impôts. J'ai été tenue au courant de l'avancement du dossier sans souci.</t>
  </si>
  <si>
    <t>12/07/2019</t>
  </si>
  <si>
    <t>valerie-o-115989</t>
  </si>
  <si>
    <t>FACILITE D'UTILISATION
TARIF COMPETITIF 
RAPIDE A METTRE EN PLACE VIA INTERNET 
EN ESPERANT QUE TOUT SE PASSERA BIEN ET QUE CETTE ASSURANCE NE SERA PAS NECESSAIRE.....</t>
  </si>
  <si>
    <t>jp69-96817</t>
  </si>
  <si>
    <t xml:space="preserve">pour un sinistre de dégât des eaux du 1er juillet qui a touché plusieurs appartements j'attend toujours l'expert qui a déjà reporté plusieurs fois son rendez vous .prochaine date fin septembre constatel : zéro pointé 
une entreprise est venue a bout d'un mois pour assainir : nettoyer et sécher (car les moisissures dans les chambres ne sont pas bonnes pour la santé) mais seul l'arrachage des tapisseries a été faite...  aberrant !
je leur ai dit que ma femme ne peut plus travaillé car elle assistante maternelle et travail a la maison et cela nous porte préjudice.. mais là encore aucune réaction 
mon voisin lui a eu la visite de l'expert très rapidement et la semaine suivante les travaux ont commencé et aujourd'hui c'est déjà fini et oublié. je lui demanderais le nom de son assurance c'est sur ! 
 </t>
  </si>
  <si>
    <t>29/08/2020</t>
  </si>
  <si>
    <t>yajaroba-63260</t>
  </si>
  <si>
    <t xml:space="preserve">Le 17 février 2018 j'ai été victime d'un accident. Je conduisais ma moto et alors que je prenais un virage à droite j'ai été percuté par un jeune permis qui arrivait en sens inverse en coupant son virage. Par chance les dégâts n'ont été que matériels. Sur le constat il a été clairement établi que je virais à droite et que l'autre véhicule circulait en sens inverse, en virant à gauche et en empiétant sur ma voie de circulation.
Le dossier a été ouverts rapidement mais à ce jour je n'ai toujours pas reçu d'indemnisation après deux mois de procédure.
L’expert a conclu que ma moto est irréparable financièrement et par la suite on m’a demandé de prendre la décision soit de la conserver pour pièces, soit de la faire réparer sous contrôle de l’expert à mes frais ou soit de la céder à la compagnie. Ceci a été réalisé sans me communiquer la confirmation ma non-responsabilité dans le sinistre. Etant assuré qu’au tiers cette confirmation m’était indispensable pour prendre ma décision. Malgré tout, après réflexion et la réservation de la moto qui va remplacer celle-ci, j’ai envoyé tous les documents pour la céder.
Toutes mes conversations avec mon interlocutrice désignée s’est toujours conclu qu’elle est en attente des conclusions de la partie adverse sur la responsabilité.
Etant assuré pour deux voitures à la compagnie adverse j’ai réussi à avoir une conversation avec le gestionnaire du dossier de celle-ci. Il m’a affirmé de ne pas s’opposer à la responsabilité de son sociétaire depuis le début et qu’il est en attente du rapport chiffré de AMV pour verser mon indemnisation. 
Le 10 mars 2018, j’ai dû engager des frais personnels pour convoyer ma moto non roulante dans une concession pour l’expertise et le 24 mars 2018, j’ai dû effectuer l’opération inverse pour rapatrier celle-ci à mon domicile. J’ai transmis tout de suite la demande d’indemnisation à ma gestionnaire qui s’est occupé à la transmettre à l’expert que ce mardi 10 avril 2018 pour qu’il puisse le rajouter à mon dossier.
A ce jour mon véhicule a été enlevé par un épaviste et tous les documents de cession ont été transmis. Je me demande combien de temps mon dossier va perdurer avant d’être indemniser de cet accident où je suis victime.
</t>
  </si>
  <si>
    <t>14/04/2018</t>
  </si>
  <si>
    <t>delepierre-104221</t>
  </si>
  <si>
    <t>Comparé à d'autres mutuelles, les tarifs pourraient être plus compétitifs. Toutefois en raison de certaines  prestations très spécifiques, les tarifs élevés ont une explication. 
Quel dommage que nos correspondants locaux ne soient plus aussi disponibles, comme il y a 20 ans !!! Merci l'Europe...</t>
  </si>
  <si>
    <t>15/02/2021</t>
  </si>
  <si>
    <t>jglessinger-139620</t>
  </si>
  <si>
    <t>J'ai souscris mon assurance de prêt il y a plusieurs mois chez Afi Esca, rien à redire, assureur qui propose de bons services, les conseils sont personnalisés et leur équipe est très réactive. Je recommande.</t>
  </si>
  <si>
    <t>olivier-a-107849</t>
  </si>
  <si>
    <t xml:space="preserve">les prix sont compétitifs, l'accueil est sympa et efficace.
le site est facile à utiliser et bien fait.
je le recommande à toutes mes connaissances.
</t>
  </si>
  <si>
    <t>dunia-n-109285</t>
  </si>
  <si>
    <t>J'ai essayé d'appeler pour comprendre des détails de ce nouveau montant après des dizaines de minutes d'attentes vous n'avez pas pris mon appel et m'avez dit de rappeler ultérieurement</t>
  </si>
  <si>
    <t>claudine-87445</t>
  </si>
  <si>
    <t xml:space="preserve">Après une mauvaise expérience en passant par les services de Santiane j'ai décidé de refaire confiance à un comparateur en ligne et je suis tombée sur un cabinet lyonnais et j'ai été tres satisfaite par la qualité du conseil et des offres.Aujourd'hui je suis adhérente chez CEGEMA et tt ce passe bien </t>
  </si>
  <si>
    <t>21/02/2020</t>
  </si>
  <si>
    <t>roussel-p-129666</t>
  </si>
  <si>
    <t>Je n'ai pas encore pu profiter pleinement de votre offre, mais votre site internet, et votre réactivité correspond à mes attentes.
A voir par la suite</t>
  </si>
  <si>
    <t>fabrice-l-122645</t>
  </si>
  <si>
    <t xml:space="preserve">Je suis satisfait du prix de la rapidité du service reçu je pense même faire diffuser votre publicité à tous les gens que je connais, pour qu’il puisse se rendre compte que vous avez des prix abordables et intéressant. </t>
  </si>
  <si>
    <t>patrick-123933</t>
  </si>
  <si>
    <t>AdhésionMGP 2016 avant départ retraite. Je savais la MGP chère mais elle gère nos comptes AMELI cela me paraissait donc logique. Le 03 mai 2021 je remets une feuille maladie + facture pour les lunettes de ma fille (cadre de l'offre santé 100%). A ce jour la MGP qui n'a toujours pas remboursé a perdu la feuille de maladie mais reçu la facture...La conseillère m'a recommandé pour gagner du temps de demander un duplic et de le retourner moi même.
Conclusion : Je résilie</t>
  </si>
  <si>
    <t>marnie-68363</t>
  </si>
  <si>
    <t>bonjour à vous,
si j avais su que j aurai autant de soucis avec une assurance auto!!!
parfois pour faire des économies alléchantes on ferait mieux de réflechir !!
ne signez surtout pas de devis car vous etes engagés!!
j ai perdu plus de 300 euros!!
sans etre assuré (jamais une carte verte)</t>
  </si>
  <si>
    <t>29/08/2019</t>
  </si>
  <si>
    <t>gepeto01-39335</t>
  </si>
  <si>
    <t>mon assureur me réclame la prime, me fait poursuivre par des sociétés de recouvrements, des huissiers,alors que celle ci est prélevée par lui même et dûment payée comment faire pour ce débarrasser de ces gens incompétents</t>
  </si>
  <si>
    <t>16/03/2018</t>
  </si>
  <si>
    <t>patrick-62085</t>
  </si>
  <si>
    <t>A fuir !!!!!!!!!!!!!!!!!!!!!!!!!!!!!!!!!!!!!!!!!!!!!!!!!!!!!!!!!!!!!!!!!!!!!!!!!!!!!!!!!!!!!!!!!!!!!!!!!!!!!!!!!!!!!!!!!!!!!!!!!!!!!!!!!!!!!!!!!!!!!!!!!!!!!!!!!!!!!!!!!!!!!!!!!!!!!!!!!!!!!!!!!!!!!!!!!!!!!!!!</t>
  </si>
  <si>
    <t>07/03/2018</t>
  </si>
  <si>
    <t>laurent28-60094</t>
  </si>
  <si>
    <t>Manque de transparence lors de la signature des contrats qui sont difficilement consultables que sur tablette et lors de la signature + manque de sérieux au niveau de la gestion pilotée
Informations réelles reçues qu'avec le certificat d'adhésion reçu 15 jours après signature</t>
  </si>
  <si>
    <t>02/01/2018</t>
  </si>
  <si>
    <t>jedi-56511</t>
  </si>
  <si>
    <t xml:space="preserve">Des Rats : parce que je n'avais plus eu de voiture durant 7 ans et donc plus d'assurance, le commercial de chez ALLIANZ m'a dit qu'il allait Non seulement me mettre au "Tarif majoré nouveau jeune conducteur" (donc très cher...) et ceci malgré mes 35 ans de permis sans aucun accident responsable, sans suspension  de permis, ni aucun problème, mais qu'en plus du fait que je n'avais pas conduit selon lui durant 7 ans (malgré le fait que je loue des camionnettes et une voiture durant les vacances à titre privé) il m' annoncé qu'il allait en plus me rajouter 25% de sur-majoration en plus sur le "tarif jeune conducteur" ceci malgré que j'ai mon permis depuis 35 ans, que je suis prevenant et que je conduit sérieusement et sans jamais aucun problème. Des Rats qui ne pensent qu'à faire du Chiffre et du Rendement Financier, ils piétinent et méprisent littéralement leurs clients... </t>
  </si>
  <si>
    <t>06/10/2019</t>
  </si>
  <si>
    <t>jon-71655</t>
  </si>
  <si>
    <t xml:space="preserve">Attention désorganisation totale, 4 mois d'attente incapable de dépêcher un expert correctement. Quand j'appelle mon dossier n'avance pas ils ne savent rien, les pièces sont perdues, il faut s'énerver pour avoir gain de cause. Les commentaires sont truqués, fuyez ce service, la concurrence est bien meilleur. </t>
  </si>
  <si>
    <t>26/02/2019</t>
  </si>
  <si>
    <t>saga-105285</t>
  </si>
  <si>
    <t xml:space="preserve">Très bonne mutuelle, toujours disponible avec un bemol sur les appels téléphoniques un peu long sur l'attente mais les conseillers sont très professionnels </t>
  </si>
  <si>
    <t>mlh--131995</t>
  </si>
  <si>
    <t xml:space="preserve">Mon fils a eu 3 sinistres 2 non responsable et 1 50/50 alors que l’on pensait qu’il ne serait pas responsable (sinon on n’aurait pas fait marcher l’assurance vu le peu de frais) on ne nous a pas tenu informé qu’elle fut notre surprise quand on a voulu assurer une nouvelle voiture on apprend qu’il va être malussé et qu’ils ne l’assurent plus. Impossible d’avoir un responsable au téléphone on nous dit simplement changez d’assurance ou passez par Matmut nco horriblement cher. Sachant que l’on a tous nos contrats chez eux depuis des années (toutes assurances confondues même mutuelle moi et mes trois enfants) en fait tant que l’on a rien tout va bien et au moindre problème on nous jette. Je vais donc tout enlever et aller chez une autre assurance pris au dépourvu on ne nous donne pas le choix vu qu’aujourd’hui même je les ai appelé une dernière fois pour leur demander si j’avais plusieurs sinistres indépendants de ma volonté ou je n’étais pas responsable feraient ils de même à mon égard je pourrais potentiellement être virée ils m’ont répondu oui (Incroyable !!!!!!!) je suis dégoûtée </t>
  </si>
  <si>
    <t>patch-52166</t>
  </si>
  <si>
    <t xml:space="preserve">après 41 ans d'assurances pour tous mes contrats j'ai été radiée suite à 3 bris de glace dans le garage de mon immeuble ;bien que ce soit des actes de vandalisme sur tous les véhicules j'ai été considérée comme personne à risques et radiée sans tenir compte de mon ancienneté  </t>
  </si>
  <si>
    <t>07/02/2017</t>
  </si>
  <si>
    <t>cathy34-81433</t>
  </si>
  <si>
    <t xml:space="preserve">Plus de 30 ans à la  macif  peu de sinistres déclares  en octobre suite aux intempéries dans notre village qui a été reconnu comme catastrophe naturelle par arrête préfectoral  nous avons eu la visite d'un expert  qui a constaté les degats murs appareils de jardin détruits  tronçonneuse  ramasse feuille coupe haie tele plasma
Suite à cette intempérie nous avons des fuites à la demande de l'assurance nous avons effectué un devis concernant notre toiture ou le couvreur stipule bien que les dommages sont survenus suite aux intempéries, mais voilà l'expert et la Macif nous refuse de prendre en charge les travaux nous stipulant que ce n'était pas du aux  intempéries Et ces dommages sont sur une partie de notre toiture la plus récente, et que ces fuites sont bien survenues suite aux  intempéries, sinon nous aurions déclaré un sinistre à chaque pluies 
De plus la somme allouée par nos appareils qui est plus que dérisoire nous sera débloquée qu'à la réparation de la toiture, nous avons contesté et la Macif me dit faites appelez à votre propre expert, bien naturellement à nos frais à quoi ça sert de payer des assurances 
Je vais mettre fin à tous les contrats à la Macif, aucun dialogue et un expert qui m'annonce  oralement une certaine somme qui bien évidemment n'est pas la même que sur le papier
Nous avons un autre sinistre concernant un mur en train de s'effondrer mettant en cause le lotisseur qui a touché nos fondations lors du bitumage de notre chemin, ils doivent attendre que le mur tombe sur des gens 
Une honte, je suis scandalisée, fuyez la macif, tant que vous n'avez pas de problèmes tout va bien mais au premier sinistre c'est vite l'enfer 
</t>
  </si>
  <si>
    <t>sylvie-l-121844</t>
  </si>
  <si>
    <t>les tarifs commencent à être pas très attractifs !!! C'est dommage car depuis que je suis assurée chez vous pas un seul geste commercial, l'année prochaine je risque de faire appel à d'autres assureurs !</t>
  </si>
  <si>
    <t>morais-da-silva-d-125845</t>
  </si>
  <si>
    <t xml:space="preserve">Je suis satisfait  le prix me convient parfaitement  je pense que vous pouvez me donner le meilleur tarif pour mon merçedes merci beaucoup pour votre rapidité </t>
  </si>
  <si>
    <t>thierry28-56803</t>
  </si>
  <si>
    <t xml:space="preserve">Inadmissible,client depuis 17 ans dans cette compagnie,règlement parfait,aucun sinistres,ni en voiture ,ni en moto.
Je demande à cette compagnie d'assurer une petite moto 125 en leur indiquant que je viens de la réparer et que pour la vendre ,je souhaites l'assurer mais je précise qussi que je la vends car sa puissance est trop petite pour moi,j'avais une 1000 neuve assurer chez eux jusqu'à fin 2015,aucun sinistre bien entendu.
Je précise aussi que la vente de ce véhicule est faite aussi pour acheter une cylindrée plus importante qui elle bien entendue sera assurée à durer.
Et bien ,ils considèrent que ce contrat est un contrat provisoire et refuse de m'assurer.
alors que dire ,si les clients qui ont 17 ans de cotisation sans soucis et sans sinistres se voient refuser une assurance,ou est la confiance et le service de cette compagnie ?
Donc je pense que la meilleure solution est de prendre son temps et de chercher ailleurs un assureur plus compréhensif et plus commerçant ou je déplacerais mes contrats actuels de la Macif.
</t>
  </si>
  <si>
    <t>22/08/2017</t>
  </si>
  <si>
    <t>magoo-69830</t>
  </si>
  <si>
    <t>Banque à fuir !!!
Mon assurance vie prise chez Allianz m'a fait perdre 2% de mon capital. Il s'agissait soit disant d'un produit "défensif " CAP30 dont le rendement était estimé à 2% sauf que c'est l'inverse il s'agit d'un rendement de -2% ! Merci pour les bons conseils avant souscription et merci à la bande de traders qui me semblent totalement incompétents ... J'attends Février pour clôturer cette grosse ..... et récupérer mes billes.</t>
  </si>
  <si>
    <t>02/01/2019</t>
  </si>
  <si>
    <t>bamous-y-122453</t>
  </si>
  <si>
    <t>Jusqu’à maintenant je suis très satisfait, j’ai été conseillé et renseigné très rapidement de façon très efficace, je ne vois aucun défaut pour le moment.</t>
  </si>
  <si>
    <t>05/07/2021</t>
  </si>
  <si>
    <t>borro-49605</t>
  </si>
  <si>
    <t>+ 17% pour les cotisations 2017 par rapport à 2016 !
C'était déjà le cas l'année précédente avec + 17% de 2015 à 2016, c'est scandaleux.
Par conséquent nous avons du prendre une formule qui coûte moins cher donc moins bien remboursés ! et çà va être de même dans les semaines qui viennent</t>
  </si>
  <si>
    <t>26/11/2016</t>
  </si>
  <si>
    <t>01/11/2016</t>
  </si>
  <si>
    <t>kikizork-117164</t>
  </si>
  <si>
    <t xml:space="preserve">J essaye de me rétracter dans le délai de 14 jours pour une vente via internet pour un contrat d assurance moto que je ne souhaite plus car vous m avez fait une entourloupe en montent le prix par rapport au devis initial à cause d un sinistre datant de 30 mois . On va en arriver à faire agir ma protection juridique. Question communication déplorable impossible d avoir un humain au téléphone. Fuyez cette assurance a tout prix . </t>
  </si>
  <si>
    <t>caropes-112857</t>
  </si>
  <si>
    <t>Après plus de 25 ans de cotisations sans aucun sinistre nous avons eu un petit incident lors de notre déménagement et avons abimé la cage d'escalier de notre immeuble.
Alors même que la somme en jeu n'est pas importante,  ALLIANZ se défausse pour une raison totalement illégitime, son refus de garantie étant parfaitement contestable, ce qui nous a été confirmé par notre courtier lui-même !
Ce positionnement d'ALLIANZ est INNACCEPTABLE et contribue, si besoin en était, à la mauvaise réputation des assureurs.</t>
  </si>
  <si>
    <t>michel-99418</t>
  </si>
  <si>
    <t>Très content du service proposé. Le conseiller que j'ai eu était aimable et professionnel. J'ai pu rapidement changer mon assurance, et ce, sans aucun soucis. Je recommande.</t>
  </si>
  <si>
    <t>Magnolia</t>
  </si>
  <si>
    <t>30/10/2020</t>
  </si>
  <si>
    <t>tricoche-c-117972</t>
  </si>
  <si>
    <t xml:space="preserve">Pris élève par rapport à certains conçurent , mais je suis déjà client et préfère garder mes véhicules au même assureur . J ai donc quand même souscrit chez Olivier </t>
  </si>
  <si>
    <t>johanna-94176</t>
  </si>
  <si>
    <t xml:space="preserve">Je suis satisfaite de ce service, simple et rapide, facile d’accès. Les prix sont bas et avantageux pour les jeunes conducteurs. Je recommande pour la rapidité. </t>
  </si>
  <si>
    <t>nini93600-91492</t>
  </si>
  <si>
    <t>Cliente satisfaite. Les prix sont abordables et me conviennent. Je suis contente de pouvoir trouver une assurance qui me correspond. Je recommande à 100%</t>
  </si>
  <si>
    <t>long-d-110887</t>
  </si>
  <si>
    <t>Rien à redire sur les tarifs et les prestations proposées par April Moto. Surement le meilleur rapport qualité prix concernant les deux roues.
Merci d'avance.</t>
  </si>
  <si>
    <t>bio-duncan-68581</t>
  </si>
  <si>
    <t xml:space="preserve">Une honte cette compagnie a but lucratif! l'assureur vous fait payer des contrats et des options, mais quand il faut faire le travail d'un assureur (ne pas harceler un témoin, défendre son client et faire valoir ses droits) ils ne sont pas là! J'ai du à la suite d'un accident faire leur travail (contact des autorités, des témoins, relance de leur personnel dans différents services, suivi des délais) et quand enfin ils ont reconnu la non-responsabilité, ils m'ont résilié pour sinistre... Whaooo, je ne trouve pas de mots pour civilisé pour qualifier leur conduite et leur incompétence! 
Pour info, chez eux un impact pare-brise déclaré égal un sinistre et un motif de résiliation... une compagnie à fuir, moins de pubs et plus de travail d'assurance ca serai un peu mieux... Vu qu'ils n'ont pas d'actionnaires, on peut se poser la question d'où va tout cet argent des primes d'assurances ? 
</t>
  </si>
  <si>
    <t>13/11/2018</t>
  </si>
  <si>
    <t>patrick-f-105735</t>
  </si>
  <si>
    <t>le tarif annuel augmente beaucoup par rapport au coup de la vie et les préconisations gouvernementales.
pour le moment, on n'a pas fait appel à vos services donc avis moyen</t>
  </si>
  <si>
    <t>mourad-94060</t>
  </si>
  <si>
    <t xml:space="preserve">Le pris est chère. Les garantie sont satisfaisantes. 
Vous pourriez faire une réduction pour 1 personne déjà client.               
                    </t>
  </si>
  <si>
    <t>14/07/2020</t>
  </si>
  <si>
    <t>le-guen-l-114563</t>
  </si>
  <si>
    <t>Bonjour 
Remercie le conseiller téléphonique de ce matin qui ma conseiller pour finaliser le contrat 
Ma bien conseiller dans le cadre des démarches à effectuer et pièces à fournier...</t>
  </si>
  <si>
    <t>22/05/2021</t>
  </si>
  <si>
    <t>tommy-114096</t>
  </si>
  <si>
    <t xml:space="preserve">Néoliane est un très bon rapport qualité / prix / prestations pour peu que vous ayez un bon courtier qui s'occupe de vous , ce qui est mon cas . 
Je recommande. </t>
  </si>
  <si>
    <t>18/05/2021</t>
  </si>
  <si>
    <t>abderrazak-l-114276</t>
  </si>
  <si>
    <t xml:space="preserve">Cher et pas de remise si on assure plusieurs voitures. C'est dommage ! Je n'ai pas encore eu d'incident pour juger la couverture. (je touche du bois). </t>
  </si>
  <si>
    <t>19/05/2021</t>
  </si>
  <si>
    <t>naima-112683</t>
  </si>
  <si>
    <t>Assurance à fuir, en effet j'ai mon store extérieur qui le jour du 16 avril 2021, s'est cassé, je l'ai acheté 3800€ et la réparation est de 500€ aucune prise en charge par Alianz, refus car ce jour la il n'y avait pas de grêle!...
Je conseille la MACIF ou j'étais avant et ou je vais retourner au secours!! toutes les personnes qui veulent s'assurés chez Alianz quelles se préparent à faire la mendicité!...
COURT QUI PEUT</t>
  </si>
  <si>
    <t>pardi-k-126350</t>
  </si>
  <si>
    <t>Je suis satisfait du tarif en espérant que les prestations de l'assurance soient de bonnes qualités. 
J'espère recevoir assez rapidement ma carte verte.</t>
  </si>
  <si>
    <t>miou-80512</t>
  </si>
  <si>
    <t>A FUIR!!!!!!!!!!!!!! TOUT EST BON POUR NE PAS REMBOURSER! Passez votre chemin, ily a des assurances bcp mieux</t>
  </si>
  <si>
    <t>29/10/2019</t>
  </si>
  <si>
    <t>toni-138128</t>
  </si>
  <si>
    <t xml:space="preserve">Assurance à ne pas conseillé vous payer 250 euros par mois (Porsche Cayenne)et pas capable de vous rembourser le vol de ma voiture sa fait 7 mois car j avais une sonde à changer il fallait passé la contre visite du contrôle technique je n ai pas pu du au confinement donc il ne me prennent pas en compte merci la maif </t>
  </si>
  <si>
    <t>23/10/2021</t>
  </si>
  <si>
    <t>tanfeu-38909</t>
  </si>
  <si>
    <t>Une assurance d’incompétents. J'Attend mon remboursement depuis plus de deux ans pour un accident non responsable. Il m'a également fallu plus de 1 ans pour obtenir un relevé de situation..." ne vous inquiétez pas on vous l’envoi demain " je ne l'ai toujours pas eu ... Bref à éviter !</t>
  </si>
  <si>
    <t>13/07/2017</t>
  </si>
  <si>
    <t>jalladeau-d-109589</t>
  </si>
  <si>
    <t xml:space="preserve">Je suis très satisfaite de l'amabilité des conseiller et de leur efficacité. Prix très attractif. Merci à vous. Je recommanderai très volontiers cette assurance </t>
  </si>
  <si>
    <t>thibaut-105340</t>
  </si>
  <si>
    <t xml:space="preserve">Bonjour,
Je me suis fait accrocher par derrière sur l'autoroute et le véhicule a pris la fuite.  La MAIF m'a informé que j'allais avoir un malus car le tiers n'est pas identifié et que je ne peux pas prouver que je ne suis pas responsable. Je pense que sur l'autoroute on met rarement la marche arrière pour taper la voiture qui est derrière soi… Je lis sur certains sites que « Tout comme pour un accident non responsable avec un tiers identifié, si votre voiture a été endommagée par un conducteur responsable ayant pris la fuite, vous ne ferez pas l'objet d'un malus. » Là je trouve que la MAIF pourrait considérer que la faute ne m'incombe en aucun cas et ne pas m'appliquer de malus. La conversation avec une conseillère pas conciliante du tout et peu aimable s'est soldée par un refus catégorique et sans appel. Je suis vraiment déçu par la MAIF.
</t>
  </si>
  <si>
    <t>fatoumata--c-130045</t>
  </si>
  <si>
    <t>Je suis satisfaite au niveau du prix reste plus cas voir le temps de réaction  en cas de besoin de leur part .
Et voir la facilité des démarche en cas de probleme</t>
  </si>
  <si>
    <t>crs29170-72156</t>
  </si>
  <si>
    <t>Déplorable plein de soins non pris en charge alors que la cotisation est très chère ,pire des mutuelles !Aucun sens de l'humanité et de la santé.Mutuelle hyper chère et garanties nulles.</t>
  </si>
  <si>
    <t>14/03/2019</t>
  </si>
  <si>
    <t>jml-110591</t>
  </si>
  <si>
    <t>Très satisfait de cet assureur, je recommanderai surement cette assurance et si je devais reconduire une moto ( non vu mon age 79 ans ) je reprendrais AMV. Facilite de contact et d'écoute. Merci AMV;</t>
  </si>
  <si>
    <t>nut243-71247</t>
  </si>
  <si>
    <t>aucun service client, remboursement à + d'1 mois, site internet sans intérêt, on se demande comment une telle mutuelle peut exister!!!</t>
  </si>
  <si>
    <t>13/02/2019</t>
  </si>
  <si>
    <t>fender-79206</t>
  </si>
  <si>
    <t xml:space="preserve">Assurance à bannir et à fuir, j'ai souscris à cette assurance en tant que particulier après avoir assuré mon entreprise, le premier contact et parfait une conseillère qui connait son job nous fait souscrire, au bout d'un an ma voiture se fait incendié et la le calvaire commence, interlocuteur uniquement par téléphone aucun sens humain, après une sous évaluation de mon véhicule par l'expert je signale que je refuse l'offre et que je souhaite avoir l'expert pour explication, le lendemain je reçois un mail pour cédé mon véhicule, si je refuse je dois payé 20ttc par jour le gardiennage de la voiture, je le signale à la protection juridique de pacifica leurs réponse c'est a vous de prouvé que le véhicule vaut plus, par peur je cède le véhicule, 15 jours en retard et après avoir cède le véhicule je reçois le rapport expertise le kilométrage et sur évalué preuve a l'appuie les facture, je le signale, je suis enfin pris au sérieux, le service doit vous rappelez demain et bien évidemment cela n'est pas fait donc mail et appel depuis plus presque deux mois. Est dire que j'ai souscris a cette assurance car elle était beaucoup plus chère que la concurrence ce qui ma fait douté des autre assureur j'ai hâte que tout les contrat parte de chez eu.        </t>
  </si>
  <si>
    <t>14/09/2019</t>
  </si>
  <si>
    <t>marie5-78241</t>
  </si>
  <si>
    <t>bonjour, en ce qui me concerne je dois dire que je suis extremement déçue par ce groupe d'assurance; ma maman qui était femme de ménage a pris une assurance obsèque depuis très longtemps avant son décès ... quelle ne fut pas ma surprise de constaté quelle payait a fonds perdus depuis des années sans jamais en avoir été informée, je trouve vraiment ça honteux ..
Je leur ai fait un courrier et on m'a répondu que son contrat faisait partit des contrats aléatoires donc que c'est une convention réciproques dont les effets quant aux avantages et aux pertes, soit pour toutes les parties, soit pour l'une ou plusieurs d'entre elles, dépendent d'un évènement incertain. Meme si le décès est un évenement dont la réalisation future ne fait aucun doute, la date de survenance de cet évènement fonde le caractère aléatoire et la qualification du contrat d'assurance...
je comprends pas bien ce que cela veut dire !!
enfin bref je ne conseille personne d'avoir a faire avec cette société et qu'ils vérifient bien leur contrat pour ne pas payer pour rien ! une honte</t>
  </si>
  <si>
    <t>21/04/2020</t>
  </si>
  <si>
    <t>cricri-75278</t>
  </si>
  <si>
    <t>Je suis très satisfaites des services Santiane 
je suis chez eux depuis 4 ans je vous recommande vivement  ce comparateur
les remboursement sont très rapide.</t>
  </si>
  <si>
    <t>22/04/2019</t>
  </si>
  <si>
    <t>faye-76600</t>
  </si>
  <si>
    <t xml:space="preserve">En 4 ans je n'ai eu qu'un seul accident non responsable qui remonte à 1 an et demi . Il y a 3 mois, j'ai fait détruire mon véhicule. Aujourd'hui je reçois une décision interne  (arbitraire ) de direct assurance qui me dit que mon contrat sera résilié à la date anniversaire. Pourtant lorsque j'ai fait détruire mon vehicule j'en ai informé un conseillé qui m'a demandé deenvoyé les documents par mail. Et donc suite au courrier que je reçois aujourd'hui et en vérifiant mes comptes, il apparaît que direct assurance continue tranquillement de se servir sur mon compte... SCANDALEUX.
Je fais appel à une association consommateurs parce que là c'est trop ! </t>
  </si>
  <si>
    <t>08/06/2019</t>
  </si>
  <si>
    <t>noureddine-g-130232</t>
  </si>
  <si>
    <t xml:space="preserve">Très bien et très actif comme assurance bon qualité prix et très disponible pour toute information. 
L'assurance est vraiment bien dommage que les agence sur Paris ai fermé </t>
  </si>
  <si>
    <t>30/08/2021</t>
  </si>
  <si>
    <t>mickael-m-126735</t>
  </si>
  <si>
    <t xml:space="preserve">Je suis satisfais très bon tarif et site clair à voir par la suite vu que je viens de souscrire une assurance chez vous pour l'instant je peux que recommander </t>
  </si>
  <si>
    <t>loladelyon-123468</t>
  </si>
  <si>
    <t>Ma fille a subi un dégât des eaux dans son petit logement d'étudiant. C'était un désastre parce que logement petit, sans possibilité de faire sécher les vêtements, les tapis, les papiers, les clés de voiture noyées, bref la totale. Et tout ça à un mois de l'examen final de ma fille.
Le dossier a été traité très rapidement, l'expert désigné par la MAIF charmant, très compréhensif.
Ma fille a pu être indemnisée sans paperasse excessive et dans un délai très correct (3 semaines).</t>
  </si>
  <si>
    <t>alfdamie-59362</t>
  </si>
  <si>
    <t xml:space="preserve">Très difficile de se connecter! donc bonjour, je réponds plus particulièrement à une dame ou et demoiselle, ce, concernant "garantie locative, protection juridique  (dont dégradations immobilières), je suis bien placé pour confirmer qu'il n'y a qu'une seule "plateforme téléphonique" pour == dégradations immobilières : Montpellier !!! j'ai encore 2 dossiers en cours, j'ai déjà "perdu" environ 25 000 euros (devis) pour 2 maisons; jamais je ne rentrais dans les "créneaux" et.... avec PV d'huissier !! Non vous comprenez ce sont des "salissures" == nouveau mot pour détailler des dégradations, 4 M3 d'ordures et +++== non l'assurance n'assure pas le nettoyage!!! etc..... heureusement les Allemands sont plus propres que les Français, j'ai donc pris la décision de terminer de traiter ces malheureux dossiers, et, ensuite de quitter Pacifica, le Crédit Agriciole === qui s'aligne sur mes tristes histoires ou je suis très débiteurs, et je paye toujours mes cotisations (avec des frais de retard) .... la totale.
Donc au revoir la France, je me retire tout doucement.
Salutations distionguées.
  </t>
  </si>
  <si>
    <t>27/12/2017</t>
  </si>
  <si>
    <t>so-96109</t>
  </si>
  <si>
    <t>direct assurance, société d'assurance à fuir, j'ai été résilié pour un simple relevé d'information non conforme, je n'ai jamais reçu leur différents messages ou lettres, j'ai été résilié sans le savoir!!!! ils sont en plus hors la loi étant donné que je n'ai jamais reçu de lettre avec AR mentionnant ma résiliation!!!! A fuir.</t>
  </si>
  <si>
    <t>xarha-28438</t>
  </si>
  <si>
    <t xml:space="preserve">Très Satisfaite de mon Assurance L’olivier ,parfait,Conseillés sympathique et réactif ,Service Client à l’écoute ,Superbe, des prix compétitif et de bonne qualité </t>
  </si>
  <si>
    <t>15/10/2021</t>
  </si>
  <si>
    <t>sandrine-59048</t>
  </si>
  <si>
    <t>Bonjour, je ne recommande à personne cette assurance santé et prévoyance, pour vous dire sa fait 2ans que j'essaie de résilier et à chaque fois il trouve une excuse. Cette fois ci pas le bon terme. J'appelle et après avoir demandé à parler à un responsable la personne qui me répond me dit qu'il n'y en a pas et qu'elle connait pas son nom. Que dire de plus, elle m'a demandé de raccrocher alors que je lui parlais. Je n'hésiterai pas à donner mon avis défavorable envers eux</t>
  </si>
  <si>
    <t>sacia--d-128343</t>
  </si>
  <si>
    <t>Je suis satisfaite des services proposés par direct assurance 
Merci pour vos prix attractif et offres nous sommes 2 a avoir souscrit des contras automobiles chez vous</t>
  </si>
  <si>
    <t>nadia-a-121887</t>
  </si>
  <si>
    <t>Très satisfait du service et de sa réactivité.
A conseiller à d'autres personnes. Je pense que les choix pour l'assurance auto pourrait être plus clairs mais c'est déjà très bien !</t>
  </si>
  <si>
    <t>chbib-m-115903</t>
  </si>
  <si>
    <t>service excellent,que ce soit l'acceuil, les conseils, les prix sont résonnables, je conseille cette assurance à mon entourage, à tous ceux qui cherchent à s'assurer.</t>
  </si>
  <si>
    <t>thierry-b-126749</t>
  </si>
  <si>
    <t>Satisfait.
Efficace
Je préconise direct assurance pour signification de sa simplicité et de la facilité de son site en ligne.
Maintenant plus un avis est concis, plus compréhensible il sera</t>
  </si>
  <si>
    <t>06/08/2021</t>
  </si>
  <si>
    <t>tagada-87013</t>
  </si>
  <si>
    <t>Inadmissible
Aucun retour a mes mails car je veux résilier ma prévoyance
Proyance et produit assurance 
ainsi que GAV sinitre transmis via appli depuis 21/01/2020 aucun retour
Quand ont leur dit que le produits ne sont aussi bien mon ancien GAV ils se braquent
Auriez le mail du service client</t>
  </si>
  <si>
    <t>11/02/2020</t>
  </si>
  <si>
    <t>cloclo-139457</t>
  </si>
  <si>
    <t xml:space="preserve">Pour un sinistre voiture. Satisfaite de la rapidité et facilite de la prise en charge administrative au téléphone avec une interlocutrice pour expliquer les problèmes rencontres   </t>
  </si>
  <si>
    <t>12/11/2021</t>
  </si>
  <si>
    <t>emma-93090</t>
  </si>
  <si>
    <t>Je suis satisfaite du service. Les prix sont abordables et il y a une bonne réactivité de la part du service client. Je recommanderai cette assurance.</t>
  </si>
  <si>
    <t>mokhtari-b-124675</t>
  </si>
  <si>
    <t>Merci Direct Assurance et bravo j'étais galérer mais finalement j'arrive à m'en sortir et merci j'espère que tout le monde va voir comment bon courage au revoir</t>
  </si>
  <si>
    <t>25/07/2021</t>
  </si>
  <si>
    <t>carla-g-108815</t>
  </si>
  <si>
    <t>Je suis satisfaite de l'aide que j'ai eu des conseillers.
Notament le premier et dernier conseiller que j'ai eu au téléphone. 
Merci de m'avoir aidé dans cette démarche. 
Cordialement Carla.</t>
  </si>
  <si>
    <t>fuiyaitmatmut-64988</t>
  </si>
  <si>
    <t xml:space="preserve">Suite à une voiture incendiée la Matmut avait bien commencer les choses j’ai bien étais suivi mais sa na pas duré véhicule acheter 9500e il y’a 12 mois est 20 jours l’expert mappel pour me proposer 3900e sans compter qu’il ne c’est même pas déplacer pour voir le véhicule je lui explique l’état les photos l’es option là en 1 minute il me propose 5200e que je refuse bien évidemment il transmet sans rapport à la Matmut est là il le transfert au siège de la matmut je l’es contacte en leur signalant que la situation étais délicate que je travail est que je loue une voiture de ma poche est que part jours je gagne 15e net à cause de la location j’ai 1 enfant de 1 an et demi est ma femme est enceinte la femme de la Matmut me parle d’une façon j’avais l’impr Que je me cédait jugé j’étais télement déçu que je ne savait plus quoi dire une honte cette assurance part contre pour encaisser il savent faire vraiment déçu heureusement que je suis suivie part plus de 25 000 personne sur ma chaîne YouTube est que ma famille est la famille de ma femme aussi donc prochaine étape c’est de les traiter comme il me traite est je vais créer un page Facebook tous unis contre la Matmut est je vais tout résilier chez eux ainsi que ma famille j’espère juste que les 4000e perdu en 1 an je puisse leur faire perdre quelque millions je commencerait tous sa dans 1 semaine en espérant leur faire perdre 1 paquets d’argent </t>
  </si>
  <si>
    <t>22/06/2018</t>
  </si>
  <si>
    <t>pastel-61353</t>
  </si>
  <si>
    <t>Assurance de groupe imposée par l'entreprise.
Peut mieux faire eu égard aux cotisations très élevées versées par l'employeur et par le salarié.</t>
  </si>
  <si>
    <t>12/02/2018</t>
  </si>
  <si>
    <t>jean-pierre-p-114748</t>
  </si>
  <si>
    <t>Jesuis insatisfait de votre premier conseiller de clientèle qui m'a raccroché au nez, éducation basique
A contrario la seconde posée, bonne information, excellente communication top du top</t>
  </si>
  <si>
    <t>ngobo-59718</t>
  </si>
  <si>
    <t>CEGEMA à savoir d'abord ne pas une assurance mutuelle comme tout autre mutuelle. Elle ne respecte pas la loi Hamon et Chatel, or toute mutuelle est censée de la respecte pour ne pas prendre en otage un client qui trouve désagréable est libre de partir. Faite attention, elles sont dur et facile de vous rendre esclave en otage...</t>
  </si>
  <si>
    <t>jvallone-86850</t>
  </si>
  <si>
    <t>Cette complémentaire ne respecte pas la loi Chatel. Interlocuteurs qui cherchent absolument à rentrer du fric. Fuyez cette complémentaire. Méfiez-vous du contrat!! D'ailleurs cette mutuelle rencontre des difficultés de clientèles. Beaucoup de personne résilie suite à des malentendus aux droits à résilier....</t>
  </si>
  <si>
    <t>07/02/2020</t>
  </si>
  <si>
    <t>hoang-v-105304</t>
  </si>
  <si>
    <t xml:space="preserve">je suis satisfait pour le service rapide .Comme je suis votre client depuis très,très longtemps,merci pour une petite réduction de prix moins de 44E 18 par mois </t>
  </si>
  <si>
    <t>vandezande-i-137951</t>
  </si>
  <si>
    <t>je suis satisfait des services que j'ai demander et du contrat que jai souscrit la personne que j'ai eu au telephonne a su me donner les information que je souhaitais avoir.</t>
  </si>
  <si>
    <t>21/10/2021</t>
  </si>
  <si>
    <t>pipo-101088</t>
  </si>
  <si>
    <t>Très satisfaite de cet assureur j'ai essayé un autre et suis revenue très vite car ils sont vraiment à l'écoute et font le maximum pour les sinistres déclarés.  Le personnel des Sables-d'Olonne est très professionnel surtout les anciens</t>
  </si>
  <si>
    <t>18/01/2021</t>
  </si>
  <si>
    <t>nul-116535</t>
  </si>
  <si>
    <t>Catastrophique! pour le professionnalisme des employés dans le secteur , des réponses vraiment nul et en plus ils essayent de vous faire croire qu'un sinistre est pas couvert avec des articles dans les CGA qui ne correspondent pas AU SINSITRE QUE VOUS AVEZ DÉCLARE!</t>
  </si>
  <si>
    <t>jmgrasser-50679</t>
  </si>
  <si>
    <t>On me debite du montant du contrat alors meme que ce contrat est resilié. Au tel on me certifie que tout est ok, contrat annulé mais on me debite du montant d'un contrat fictif. La voiture ne peut pas assurée chez Direct Assurance car le propriétaire de la carte grise n'est pas l'assuré. Mais alors pourquoi valider le contrat et debite son montant?</t>
  </si>
  <si>
    <t>27/12/2016</t>
  </si>
  <si>
    <t>aurore-66533</t>
  </si>
  <si>
    <t>Tout simplement un tromperie. A fuir ! Sauf si vous voulez avoir à chercher un nouvel assureur au 1er sinistre. Au fait, quand on est résilier les prix sont multiplié par 2 alors ce qu'on a gagné pendant un an on le perd pendant toutes les années après.</t>
  </si>
  <si>
    <t>yassine-k-115471</t>
  </si>
  <si>
    <t>Accueil très sympathique. Une assurance claire et facile. Des offres variées, des modifications simples et très rapide. En espérons ne pas avoir besoin de l'utiliser. :)</t>
  </si>
  <si>
    <t>zaza24-104226</t>
  </si>
  <si>
    <t xml:space="preserve">Bonjour
Dégâts sur toiture suite tempête en 2019 (novembre et décembre) et SOGESSUR mandate l'expert SARETEC qui procède à une expertise via... google maps  !
En effet, pour la première tempête qui endommage une partie de la toiture et dans ce cas là, SARETEC estime une vétusté de ... 25% 
1 mois plus tard, une 2e tempête a lieu un mois plus tard et endommage une autre partie de la toiture et dans ce cas là, SARETEC estime une vétusté de ... 60%
En effet, personne ne se déplace mais expertise les dégâts selon le devis que je leur ai transmis puis en expertisant la toiture toujours via Google Maps... 
Une vétusté de 60% est appliquée à l'intégralité du devis (alors que les tuiles ne représentent que 5 à 10% du montant du devis et que, bien entendu , la MO est très majoritaire...) 
Cela fait 4 fois que j'appelle SOGESSUR qui se retranche derrière SARETEC. 
Egalement, je n'ai en aucune manière été informé de l'émission du rapport de SARETEC à l'assureur (pas de copie jusqu'à la semaine dernière soit plus d' un an après les faits) 
Je vais passer au RAR puis au dépôt de plainte. 
Si vous avez des témoignages à me communiquer, je suis preneur. 
Quant à SOGESSUR, vous connaissez mon dossier et j'en suis déjà au 4e ou 5e interlocuteur/trice qui m'explique toujours les mêmes choses (voir plus haut)... </t>
  </si>
  <si>
    <t>phil95340-77955</t>
  </si>
  <si>
    <t xml:space="preserve">INCAPABLE DE RÉSOUDRE LE MOINDRE PROBLÈME QU ILS ONT CRÉER EU MÊME 
VOUS BLOQUE AU TÉLÉPHONE ET REFUSE VOS APPELS
MALGRÉ 30 ANS D ADHÉSION SANS SINISTRE RESPONSABLE
JE DÉCONSEILLE FORTEMENT....JE VAIS RÉSILIER MES CONTRATS DANS LES JOURS QUI VIENNE ....
 </t>
  </si>
  <si>
    <t>26/07/2019</t>
  </si>
  <si>
    <t>lahcen-c-127203</t>
  </si>
  <si>
    <t xml:space="preserve">Avec direct assurance, je suis contente c'est simple et rapide. 
En plus y'a des garanties importants dans la vie Avec l'assurance 
Merci direct assurance. </t>
  </si>
  <si>
    <t>09/08/2021</t>
  </si>
  <si>
    <t>jecracke-52498</t>
  </si>
  <si>
    <t xml:space="preserve">La CNP retient abusivement le capital qui nous est dû suite au décès d'un parent qui a eu la mauvaise idée de souscrire une assurance vie chez eux. La CNP a pourtant tous les documents nécessaires au versement de ce capital mais prétend ne jamais avoir reçu nos courriers recommandés alors que nous avons l'accusé de réception qui est la preuve irréfutable de la remise de notre courrier et de surcroît envoyé par chacun des bénéficiaires (nous sommes trois donc la CNP n'a reçu aucun de nos trois courriers à les en croire). Comme c'est étrange. Mais surtout, quelle mauvaise foi. C'en est exaspérant et c'est à se demander comment on peut travailler pour une telle société et partager les valeurs de l'entreprise. Lorsque l'on parvient enfin à les joindre par téléphone, c'est pour s'entendre dire qu'ils ont un problème avec les envois en recommandé et qu'il faut renvoyer tout le dossier en courrier simple et rappeler 10 jours plus tard pour savoir s'ils l'ont bien reçu. Ben voyons, la réponse on la connaît déjà, votre courrier ne nous est pas parvenu Madame X, Monsieur Y, nous sommes navrés. Et là, aucune preuve remise du courrier. Facile. C'est consternant. La CNP a en effet un problème, non pas avec les envois en recommandé mais un problème tout court et un gros. C'est pourquoi nous avons saisi l'Autorité de Contrôle Prudentiel afin qu'ils prennent le relais et ouvrent une enquête sur le très gros dysfonctionnement d'ordre général au sein des services de la CNP. De telles pratiques sont malheureusement courantes mais elles sont intolérables et l'on sait très bien que les sociétés d'assurance mettent une éternité à débloquer les fonds qui leur rapportent bien plus d'intérêts que les pénalités de retard que la loi leur enjoint pourtant de payer. Au bout du compte, ce sont les bénéficiaires qui sont pris en otage et qui subissent une situation qui leur est imposée par des gens peu scrupuleux qui n'en ont absolument rien à faire de la m... dans laquelle ils nous mettent. Nous sommes toujours dans l'attente de notre dû, cela dure maintenant depuis novembre...
</t>
  </si>
  <si>
    <t>16/02/2017</t>
  </si>
  <si>
    <t>audrey-m-124333</t>
  </si>
  <si>
    <t xml:space="preserve">Merci de m’avoir assuré c’est gentil les sangs de la veine , je suis infiniment reconnaissante pour le service rendu . Plus efficace que vous c’est rare </t>
  </si>
  <si>
    <t>eric-a-117775</t>
  </si>
  <si>
    <t>Simple, rapide.
 les tarifs proposés ainsi que les garanties répondent a mes demandes.
devant l`urgence de ma situation, vous répondez clairement a mes attentes.</t>
  </si>
  <si>
    <t>jessica-w-132807</t>
  </si>
  <si>
    <t>bien, satisfaite des services et surtout de la réactivité pour les demandes occasionnelles. en revanche, dès qu'il y a un sinistre, là le délai de traitement est plus long.</t>
  </si>
  <si>
    <t>tres-decu-105051</t>
  </si>
  <si>
    <t xml:space="preserve">Augmentation de tarif inexpliquée en 2020. Réduction écopass douteuse. Réception à l’agence douteuse. Tarifs deux fois supérieurs aux devis reçus de la concurrence. Franchises restent très élevés avec grosses franchises pour plus de dix ans sans sinistres.
En pleine décrépitude </t>
  </si>
  <si>
    <t>vennet-a-135360</t>
  </si>
  <si>
    <t>Mise en place rapide. 
L'olivier est très conciliant.
Très bonne assurance .
Réponds vite à vos questions que se soit par tel ou par mail.
Je conseil l'assurance l'Olivier.</t>
  </si>
  <si>
    <t>laura-lesueur--115046</t>
  </si>
  <si>
    <t>Conseiller au top et prix raisonnable. Les informations sont simple et claires et la qualité de service est super. Je recommanderais à mes proches de venir chez vous</t>
  </si>
  <si>
    <t>27/05/2021</t>
  </si>
  <si>
    <t>berangere-m-127308</t>
  </si>
  <si>
    <t>J'attends de voir comment fonctionne le calcul de la tarification avec YouDrive.
Dommage de devoir être considérée comme jeune conducteur alors que j'ai mon permis et que je conduis depuis plus de 30 ans.</t>
  </si>
  <si>
    <t>tontonbubu-54321</t>
  </si>
  <si>
    <t>Je ne recommande a personnes ! 
Je suis victime d'un accident non responsable est assuré tout risque. Je suis en train de batailler pour que le dossier avance. J'ai envoyé tous les documents le jour même de l'accident. On me demande de payer la franchise malgré le fait que je ne sois pas en tort.  . Des incompétents</t>
  </si>
  <si>
    <t>04/02/2019</t>
  </si>
  <si>
    <t>olivierg95-85335</t>
  </si>
  <si>
    <t xml:space="preserve">Résilié pour 2 sinistres responsables en 2017 et 2018 dont 1 tout seul causé par une glissade sur une plaque de verglas
alors que je suis bonus a vis sur une assurance initialement sur un scooter et maintenant une moto et que j'ai également mon assurance habitation et scolaire chez eux
Ils n'aime les assurés que pour gagner de l'argent par en perdre d'aucune manière  </t>
  </si>
  <si>
    <t>bab-58447</t>
  </si>
  <si>
    <t xml:space="preserve">A eviter cherche à ne pas indemniser
Suite à un car jacking
Après 6 mois toujours pas de proposition d'indemnisation 
Assuré depuis 25 ans sans problèmes de paiement de cotisations 
Balloter d'un service à l'autre sans réponses depuis 6 mois
</t>
  </si>
  <si>
    <t>28/10/2017</t>
  </si>
  <si>
    <t>bil-63936</t>
  </si>
  <si>
    <t xml:space="preserve">Grosse flute Il vous font payer  4 mois et ensuite trouve des escuse  pour vous résilier  et garder les 4 mois d assurance .  Faite très attention .  A fuir  prévenez  votre entourage. </t>
  </si>
  <si>
    <t>12/05/2018</t>
  </si>
  <si>
    <t>florence-57232</t>
  </si>
  <si>
    <t>sociétaire depuis 40 ans fils et fille enseignants assurés maif.Quelle déception(a tomber a la renverse).J'en viens aufait.Le 15 juillet 2016' je  contacte mon agence locale ,pour des fissures apparues a mon habitation.Par retour de mail-mon agence me demande a quelle période elles sont apparues,en pensant que ceci n'était qu'une information,je leur réponds environ 2014.Réponse maif:pas de décret pour cette période ;dons pas de prise en compte garantie.Je m'incline et n'insiste pas.Mais au 1er septembre 2017 la commune d'auriol dont je fais partie et reconnue (en catastrophe naturelle).je  reprend contact avec mon agence locale:  et leur fait part de la nouvelle situation et dépose une 2éme déclaration.Toutes les conditions sont réunies puisque j'ai le contrat RAQVAM.Et la le piége se referme.Réponse maif: vous avez, dans  un 1er mail(le 15 juillet 2016)dit que les fissures était apparues  en 2014.Ce que j'avais pris pour une information ,n'était en fait qu'une piéce a conviction qui vas se retourner contre moi.(Pour la maif) la seule la malheureuse  déclaration anticipée (catnat) que j'avais déclaré hors décret: vas étre pris en compte sans discussions.Alors que aucun expert n'a était mandaté pendant ( jusqu'a maintenent),et que les fissures de 2016 sont sans commune mesures, avec celles de 2014.Je me demande quelles sont les conditions retenues de cette garantie(avant trop tot)(pendant pas de chance) (aprés trop tard).La française des jeux en somme.J'ai la désagréable impression d'avoir été pris pour un imbécile et de me heurter a un mur.</t>
  </si>
  <si>
    <t>24/09/2017</t>
  </si>
  <si>
    <t>xavier-a-138055</t>
  </si>
  <si>
    <t>Bien pour l'instant, A voir comment sera effectué le service. Etant nouveau client, il est encore trop tôt pour prononcer un avis sur les prestations et le rapport qualité/prix.</t>
  </si>
  <si>
    <t>michael-o-114593</t>
  </si>
  <si>
    <t xml:space="preserve">je suis satisfait du service 
simple et direct  renseignement rapide 
tres bon rapport  qualité prix  par rapport a d'autres assurances pour les mêmes options
 </t>
  </si>
  <si>
    <t>aurelienb-56050</t>
  </si>
  <si>
    <t>Accueil très agréable, explications claires, et rapport qualité prix +++, je suis très content très services et renseignements, 
 j'ai donné vos cordonnés à un ami pour assuré la voiture.</t>
  </si>
  <si>
    <t>17/07/2017</t>
  </si>
  <si>
    <t>paisana-m-125231</t>
  </si>
  <si>
    <t xml:space="preserve">Je suis satisfait de la rapidité pour s'assurer en ligne. interlocuteur a l'écoute de mes besoins Les prix sont convenables pour les jeunes conducteurs </t>
  </si>
  <si>
    <t>aventurier44-50578</t>
  </si>
  <si>
    <t>Quelle déception du service clients d'E Allianz qui ne daigne pas répondre à un E mail, qui coupe les conversations téléphoniques, qui ne respecte pas son contrat. Quelle désinvolture envers un fidèle client.Si pas de réponse dans une semaine, je change de compagnie d'assurance.</t>
  </si>
  <si>
    <t>22/12/2016</t>
  </si>
  <si>
    <t>fanfan1476-63667</t>
  </si>
  <si>
    <t>un peu cher et franchise élevé sinon prestations optimales
beaucoup de pubs peut etre diminuer les couts serait judicieux</t>
  </si>
  <si>
    <t>30/04/2018</t>
  </si>
  <si>
    <t>jeny-97939</t>
  </si>
  <si>
    <t xml:space="preserve">Bonjour l'olivier assurance est une très bonne assurance il on été la même dans des moment très compliqué il mon toujour trouvé une solution au plus vite et toujour dans notre intérêt je les recommande toujour très sympathique jamais eux de personne froide au téléphone même dans les moment ou jy croyais pas il mon toujour rassurée merci encore a toute l'équipe de l'olivier sa change de beaucoup d'autres </t>
  </si>
  <si>
    <t>28/09/2020</t>
  </si>
  <si>
    <t>maurice-m-111792</t>
  </si>
  <si>
    <t>Très satisfait du service et des conseils , de la rapidité et du professionnalisme des conseillers et de leur courtoisie, et bien sur sans oublier le prix. A voir à l'usage</t>
  </si>
  <si>
    <t>27/04/2021</t>
  </si>
  <si>
    <t>boubou-s-124512</t>
  </si>
  <si>
    <t xml:space="preserve">Je suis satisfait pour prix et la réactivité, c’est extraordinaire de travailler avec direct assurance, ça fait plusieurs années que je travaille avec vous je suis toujours content </t>
  </si>
  <si>
    <t>nicokaid-106501</t>
  </si>
  <si>
    <t>Cela fait bientôt 6 ans que je suis chez l'olivier assurance auto et je n'ai jamais eu de soucis pour le faire rembourser. C'est tout ce que j'attends de la part d'une assurance.</t>
  </si>
  <si>
    <t>jos-122386</t>
  </si>
  <si>
    <t xml:space="preserve">Je rejoint les avis précédents, ne surtout pas souscrire a cegema, a fuir, probleme pour 
obtenir un accord préalable soit 1 mois et demi, mantenant dans l'attente de leurs part
de remboursement,j'envoie aujoud'hui un recommandé, ensuite je saisi le médiateur des 
assurancesA0011s15548.
adresse:médiation de l'assurance
tsa 50110
75441 PARIS cedex 9
il faut les harceler !...., demander a votre courtier le mail de l'inspectrice de région.  </t>
  </si>
  <si>
    <t>goguy-113569</t>
  </si>
  <si>
    <t>Mon interlocutrice était d une extrême gentillesse ,elle m'a tout expliquer avec un très grand calme .la seul chose qui ai gênant c est de ne pas pouvoir prendre la formule au-dessus de la mienne tous de suite .</t>
  </si>
  <si>
    <t>12/05/2021</t>
  </si>
  <si>
    <t>mohamed-e-126699</t>
  </si>
  <si>
    <t>Je suis satisfait de direct assurance. Je souhaite juste connaître les modalités et démarche à suivre pour le dédouanement de mon véhicule. Merci pour vos conseils !</t>
  </si>
  <si>
    <t>dabou-m-124752</t>
  </si>
  <si>
    <t xml:space="preserve">Je suis satisfait du contrat signé. Le prix me convient, il correspond à mes attentes. l'échange avec le votre commercial était très explicite. Elle était a l'écoute. </t>
  </si>
  <si>
    <t>fera-62922</t>
  </si>
  <si>
    <t>J'ai souscrit et payé la cotisation annuelle hâtivement en moins de 30 minutes et lorsque je me suis rendu compte que les garanties n'étaient pas adéquates et qu'il était Impossible de changer avec le service client dans l'heure qui à suivie. J'ai immédiatement annoncée que j'allais faire valoir le droit à rétractation. Malgré un mail et lettre AR la compagnie m'a répondu que dans ce type de contrat, les conditions générales de ventes(a priori illégales) ne permettent pas un droit à rétractation. Résultat des frais des retenues non justifiées et remboursement partiel 2 mois après! Saisine de l'autorité de régulation ACPR PRUDENTIEL. En conclusion sans préjuger de la décision à venir se méfier d'une assurance qui prend des libertés avec les dispostions légales. A fuir ;-)</t>
  </si>
  <si>
    <t>04/04/2018</t>
  </si>
  <si>
    <t>jude111-49410</t>
  </si>
  <si>
    <t>Scandalisé!
Suite à la sécheresse de 2016 sanctionnée par un arrêté préfectoraldes fissures traversantes sont apparues sur  les murs de la villa de ma maman ,personne âgée de 93 ans.
Depuis 2ans la macif tergiverse prétextant des manques de fondations imaginaires qui ont été réfutées par un expert auprès des tribunaux.il nous est impossible de savoir
 Le résultat de l expertise contradictoire et les raisons de la non prise en charge de la macif. Cette maison construite il y a 45 ans  et assurée depuis cette époque se serait fendu sans le moindre problème exterieur  et sans raisons
Heureusement que ma femme qui s occupe des dossiers sinistres à la maif ne gère pas comme ça : j aurai divorcé depuis longtemps.
Comment peut on se  foutre  des gens et d une personne de 93 ans . L expert à la solde de la macif doit savoir qu elle n a pas le temps devant elle, et en profite</t>
  </si>
  <si>
    <t>04/10/2019</t>
  </si>
  <si>
    <t>barreau-n-116994</t>
  </si>
  <si>
    <t>Bon conseils et prix attractifs pour un jeune conducteur et pour une première voiture. Beaucoup de refus d'autre compagnie d'assurance. Je recommanderai à un proche si nécéssaire.</t>
  </si>
  <si>
    <t>clairette84-67279</t>
  </si>
  <si>
    <t>ancienne assurée chez vous et après avoir contacté plusieurs autres assureurs, je reviens chez vous pour la bonne qualité et le sérieux de vos conseils</t>
  </si>
  <si>
    <t>02/10/2018</t>
  </si>
  <si>
    <t>jean-pierre-a-126865</t>
  </si>
  <si>
    <t xml:space="preserve">Je suis satisfait du service. Super assurance a conseiller ! Pas cher et très très bien , parrainer par ma fille et mon gendre je ne pas déçu. J’adore </t>
  </si>
  <si>
    <t>lik-115049</t>
  </si>
  <si>
    <t xml:space="preserve">nul rien d'autre à dire
accueil tres froid
des propositions loin de la réalité
 0 disponibilité des conseillers de clientèle
prix de l'assurance excessif
qualité de l'intervention en cas de sinistre pas top
</t>
  </si>
  <si>
    <t>olivier-r-134714</t>
  </si>
  <si>
    <t>Simple, tres pratique
convivial et très rapide pour finaliser entièrement un nouveau contrat.
L'insertion automatique des données du conjoint facilite un contrat familial.</t>
  </si>
  <si>
    <t>27/09/2021</t>
  </si>
  <si>
    <t>jeoffrey-l-113037</t>
  </si>
  <si>
    <t>Je paie beaucoup trop cher pour une Peugeot 107 1,4hdi, ma 206 était beaucoup plus puissante et je payais bien moins cher.
J'aimerais un geste commercial de votre part si possible car toute ma famille est chez vous.</t>
  </si>
  <si>
    <t>gemtel12-104883</t>
  </si>
  <si>
    <t xml:space="preserve">je ne recommande pas cette mutuelle assurance 
je ne veux pas répéter la même chose ... que vous savez mieux dire que moi 
  &amp; je vous prie à toutes &amp; à tous de me faire suivre vos plaintes &amp; réclamations &amp; dé-accords formulés avec vos coordonnées complètes .... 
que je ferais suivre ... afin de demander l'annulation de nos contrats 
l'Union fait la Force .... JURIDIQUEMENT 
à : gemtel12@yahoo.fr 
ON VA GAGNER ENSEMBLE </t>
  </si>
  <si>
    <t>ferrariporsche-57889</t>
  </si>
  <si>
    <t xml:space="preserve">Clio volée 7/7, avisé de sa trouvaille le 25/8 , au 30/9 toujours pas remorqué?
Clio trouvée après 30jours Macif prétend non avant sans preuve ni précision date et ville ni courrier officiel.Le 3 oct.Macif écrit que la Clio arrivera au garage X et c est un garage Z qui vous contacte.Suis je face à des professionnels?
</t>
  </si>
  <si>
    <t>08/10/2017</t>
  </si>
  <si>
    <t>sandrinerobert-90151</t>
  </si>
  <si>
    <t>Facile à joindre et toujours correct et respectueux.</t>
  </si>
  <si>
    <t>nirvanana-99309</t>
  </si>
  <si>
    <t>Très satisfaite de cette assurance. Très bien couverte pour un prix très abordable par mois. Le service indemnisation est réactif et efficace. Je recommande.</t>
  </si>
  <si>
    <t>27/10/2020</t>
  </si>
  <si>
    <t>zoe-antoine-112421</t>
  </si>
  <si>
    <t>Hors de prix, refuse de faire une offre adaptée après 10 ans de clientèle. 
Personne désagréable au téléphone. 
Juste bon à prendre l’argent. 3 fois plus cher qu’ailleurs. Honteux point final.</t>
  </si>
  <si>
    <t>moichiraz-88484</t>
  </si>
  <si>
    <t>Cliente depuis 4 ans chez Direct Assurance aujourd'hui je découvre à quel point cet assureur est une calamité et à fuir.
Le 25.02, une femme (à son 4ème accident responsable de l'année) percute mon véhicule et le projette sur le véhicule de devant
Avec 1300 euros d'assurance par an (pack tranquillité / véhicule de prêt), non responsable de cet accident, l'assurance en 20 jours n'a pas procédé à l'expertise du véhicule.
- Au prétexte qu'en date du 25.02 après mon appel, ils n'ont pas crée le sinistre.
- Puis que j'ai omis de les informer d'où ILS AVAIENT EUX MEME remorqué mon véhicule
- Je découvre que je n'ai pas de véhicule de prêt car subtilité, le véhicule de prêt est octroyé seulement en cas de réparation... Or mon véhicule doit être expertisé car potentiellement économiquement non réparable.  On me consent 15 jours de location de véhicule ce qui est largement insuffisant pour avoir le résultat de l'expertise et acquérir un nouveau véhicule. 
Aujourd'hui, en période de confinement, l'assureur qui n'a pas son travail dans les 20 jours précédant le début du confinement, m'indique que je n'aurai rien jusqu'à la fin du confinement.
Voilà comment en étant non responsable d'un accident et en payant 1350 euros d'assurance annuelle vous vous retrouvez sans véhicule alors que vous habitez en rase campagne...
Je répète que même si je comprends que le confinement n'est pas du fait de l'assurance, Direct Assurance n'a pas bougé d'un iota durant les 20 jours qui ont précédé le sinistre...</t>
  </si>
  <si>
    <t>23/03/2020</t>
  </si>
  <si>
    <t>paquita-e-108361</t>
  </si>
  <si>
    <t xml:space="preserve">Je trouve cela Trop cher car fais moins de 5000 km par an et n'ai jamais eu de problème.
Et cela a terriblement augmenter depuis le début de ma souscription. </t>
  </si>
  <si>
    <t>valerie--137348</t>
  </si>
  <si>
    <t xml:space="preserve">Je suis très satisfaite de mon assurance salaire à la MGP. Je la recommencerai volontiers à mon entourage et ami(es). Les conseillers sont très aimables et leurs explications sont claires. </t>
  </si>
  <si>
    <t>cn-66633</t>
  </si>
  <si>
    <t>Mauvaise communication, ils ont attendu le dernier moment pour me dire qu'il y avait un soucis avec les documents que j'ai fourni, mon conseiller ne m'a jamais recontacter pour me donner la finalité par rapport a ma situation, ils sont non chalant et franchement je préfère payé un peu plus et avoir un meilleur suivi.</t>
  </si>
  <si>
    <t>louiski-71790</t>
  </si>
  <si>
    <t>Très bonne assurance ! les tarifs sont très compétitifs et le service client est parfait :  beaucoup d'amabilité et qualité des réponses apportées. Pour avoir eu 2 sinistres en 1 mois, je peux également attester de la qualité de la gestion des sinistres avec un excellent suivi du dossier de la part du conseiller. Leur réseau agréé propose systématiquement un véhicule de remplacement ainsi qu'un service de pose et dépose à domicile! 
A suivre, à la prochaine échéance si l'impact sur ma cotisation n'est pas trop important ;-)</t>
  </si>
  <si>
    <t>yves-51181</t>
  </si>
  <si>
    <t>Tout va bien tant que vous n avez pas de sinistres. 2 sinistres non responsables ( accident de voiture avec animal et cambriolage), et la les ennuis commencent. Pas d indemnisation des biens volés même avec facture, mauvais diagnostic de l' expert quant au dommage au véhicule, du coup contre expertise mais aucune prise en compte. Total résultat aucune indemnisation. Je change d assurance. N'y aller surtout pas !!</t>
  </si>
  <si>
    <t>11/01/2017</t>
  </si>
  <si>
    <t>shirley-t-121592</t>
  </si>
  <si>
    <t xml:space="preserve">Satisfaite du relationnel client mais pas du suivi. Pas d'envoi de ma vignette donc 1 mois sans assurance apparente sur ma voiture. Il a fallu que je les contacte pour faire bouger les choses et boitier Youdrive défaillant, communication par mail inexistant pour prévenir le client. </t>
  </si>
  <si>
    <t>morgan-o-133544</t>
  </si>
  <si>
    <t xml:space="preserve">Pourquoi ne me propose t-on pas le paiement mensuel étant déjà client chez vous.
Car selon ce qui est écrit cela aurait été mon choix mais pour cela il aurait fallut me poser la question !
Merci de votre compréhension </t>
  </si>
  <si>
    <t>19/09/2021</t>
  </si>
  <si>
    <t>mehdi-88860</t>
  </si>
  <si>
    <t xml:space="preserve">Bonjour,
Ma femme c'est fait volé sont véhicule il a plus de 2mois.
Cela fait maintenant un mois que nous n'avons Plus aucune nouvelle de la matmut aucune réponse à nos mails ou nos appel.
L'employeur De ma femme menace de la licencier car aujourd'hui elle n'a plus la possibilité de ce rendre à son travail et malheureusement le télétravail est impossible.
Comment faire pour être indemnisé rapidement ? </t>
  </si>
  <si>
    <t>14/04/2020</t>
  </si>
  <si>
    <t>mallaury-b-127723</t>
  </si>
  <si>
    <t xml:space="preserve">Bonjour très bonne réputation Rapidité et très explicite logiciel très bien tenu et bonne garantie. Après niveau tarif conforme au publicité sur la télévision </t>
  </si>
  <si>
    <t>12/08/2021</t>
  </si>
  <si>
    <t>maaf-51834</t>
  </si>
  <si>
    <t>J'ai déposé une réclamation sur un conseiller. A ce jour, je n'ai aucun retour. On se moque des clients, on leur ment ... Je demande un releve d'information sur un de mes véhicules, il faut au final appelé pour l'avoir.
Je n'ai jamais été aussi décue d'une assurance que je paie très cher. Quand on dépose une réclamation pour obtenir des excuses et un geste commercial, à cause d'un conseiller qui ne respecte pas ses clients, on étouffe l'affaire. Je vais très prochainement dire adieu à la maaf.</t>
  </si>
  <si>
    <t>30/01/2017</t>
  </si>
  <si>
    <t>mallaury-l-128632</t>
  </si>
  <si>
    <t xml:space="preserve">Génial. Je recommande. Très intuitif m, très simple et très très rapide. Le site est fait parfaitement bien pour vous aider. Service client disponible pour vous accompagner </t>
  </si>
  <si>
    <t>stephane-m-127018</t>
  </si>
  <si>
    <t>RAS TOUT EST OK JE COMMUNIQUERAIS LES PIECES MANQUANTE A RECEPTION DU DOSSIER SINO L ETABLISSEMENT DU DOSSIER EST SIMPLE ET RAPIDE JE TROUVE CELA TRES PRATIQUE</t>
  </si>
  <si>
    <t>guitchmada-81127</t>
  </si>
  <si>
    <t>Impossible de se connecter depuis 2mois. Aucun message d'erreur après tentative de login. Aucune communication d'AFER pour dire où ils en sont
On dirait qu'ils mettent en PROD un site non testé, mal migré</t>
  </si>
  <si>
    <t>19/11/2019</t>
  </si>
  <si>
    <t>sarah-s-114241</t>
  </si>
  <si>
    <t>Je suis satisfait de quasiment tout 
La GMF offre un service complet en terme d'assurance
J'attends encore quelques améliorations
Cependant, je donne un 5 étoiles aussi pour les services en ligne.
Je peux tout faire en ligne</t>
  </si>
  <si>
    <t>lalla-g-138573</t>
  </si>
  <si>
    <t xml:space="preserve">je suis satisfaite de la proposition de l'olivier assurance. de l'accueil téléphonique et des conseilles proposer.
quelques difficultés pour la connexion avec l'espace personnel et la finalisation du contrat.   </t>
  </si>
  <si>
    <t>29/10/2021</t>
  </si>
  <si>
    <t>romain-m-129383</t>
  </si>
  <si>
    <t>Bonjour
Nous sommes très content de votre proposition et de l’accord que nous avons trouvé concernant l’assurance du véhicule de notre fils Romain Martin merci à bientôt Christine Martin</t>
  </si>
  <si>
    <t>catrin-l-127514</t>
  </si>
  <si>
    <t>Très satisfait pour la souscription. En espérant que mon expérience avec l'Olivier assurance se poursuive dans les mêmes conditions et tout sera parfait</t>
  </si>
  <si>
    <t>el-fifi-99406</t>
  </si>
  <si>
    <t>Ne répondent pas au tél ou parès des attentes interminables ! Interdisent la réponse par email et donnent 1 réf différente à chaque envoi sur leur messagerie en ne reprenant pas la réf de départ et donc sont incapables de suivre un historique ! Réclament des costisations indues ! Sont incapables de mettre en place NOEMIE avant des mois quand il s'agit de la CPAM mais surtout de la MGEN ! Bref, à éviter impérativement ! Avis d'un mutualiste qui a connu Swis Life, GFP, UMC, Verspieren, Touraine Mutualiste, SMEBA, etc.</t>
  </si>
  <si>
    <t>christelle-d-113427</t>
  </si>
  <si>
    <t>Je suis satisfaite de vos tarifs. Les tarifs sont obtenus par Le Lynx. Ces éléments semblent très attractifs. L'ergonomie de votre site internet est agréable</t>
  </si>
  <si>
    <t>lepescadou-95820</t>
  </si>
  <si>
    <t xml:space="preserve">très content de cette assurance contact aimable et compétent pour en avoir fais expérience.accident de voiture 2 fois et réaction rapide et a l'ecoute.
</t>
  </si>
  <si>
    <t>graziella-l-138296</t>
  </si>
  <si>
    <t xml:space="preserve">Je suis satisfaite du produit et du tarif.l Inscription est facile et rapide en le réalisant sur internet.
Les choix sont intéressants et conviennent à toutes les bourses.
</t>
  </si>
  <si>
    <t>26/10/2021</t>
  </si>
  <si>
    <t>deszcz-j-129837</t>
  </si>
  <si>
    <t>Prise en charge difficile lorsque l'on tombe en panne loin de chez sois un vendredi soir...
Mauvaise expérience vécue avec un précédent véhicule l'année dernière</t>
  </si>
  <si>
    <t>27/08/2021</t>
  </si>
  <si>
    <t>angelique-m-114839</t>
  </si>
  <si>
    <t>Je suis satisfait du service et de l'accueil téléphonique ainsi que des renseignements fournis.
L'interlocutrice a été de bons conseils.
Les tarifs sont convenables.</t>
  </si>
  <si>
    <t>erdi-e-105851</t>
  </si>
  <si>
    <t>Service client ne répond pas au bout de 15min d'attente. Prix exorbitant. Site internet pas au point. Je suis extrêmement déçu des prestations de la compagnie.
Je vais fuir !</t>
  </si>
  <si>
    <t>seb-108757</t>
  </si>
  <si>
    <t>La seule assurance a la quelle j'ai souscrit qui n'indemnise jamais ses clients en cas de sinistre, tous les moyens sont bons pour ne jamais indemniser (utilisation de loi sans aucun rapport et autres...)
FUYEZ</t>
  </si>
  <si>
    <t>gaudre-r-113517</t>
  </si>
  <si>
    <t>Prix tout à fait correct et adapté à ma situation ainsi qu'à l'âge de ma voiture.
Conseillers joignables et courtois.
Souscription facile et rapide.
Je recommande.</t>
  </si>
  <si>
    <t>alicia100300-115927</t>
  </si>
  <si>
    <t>Assurance très concurrentes sur le marché, ils proposent un prix très attractif. Notamment les jeunes permis (50% moins cher pour une assurance complète. J'ai eu un sinistre il y a peu de temps, la prise en charge était plutôt réactif, j'ai pu les appeler plusieurs fois afin d'avoir des renseignement. Le réponse au téléphone était rapide. Le seul point négatif est le temps que l'expert à mis pour venir au garage (environ 1 mois). N'hésitez pas à utiliser mon code partenaire : LOA-FQKS45</t>
  </si>
  <si>
    <t>chaussy-g-125678</t>
  </si>
  <si>
    <t>difficile pour un néophyte en informatique. j"ai ete obligé de me faire aidé jespère que tout est bien fait. je reste dans l'attente de ma carte verte et vous remercie de l'accueil que j'ai reçu.</t>
  </si>
  <si>
    <t>louise-67465</t>
  </si>
  <si>
    <t xml:space="preserve">Des incompétents qui vous ajoutent des options sans votre accord puis tentent de vous imposer la signature d'un nouveau contrat pour éviter votre fuite vers d'autres assureurs. A éviter absolument. </t>
  </si>
  <si>
    <t>08/10/2018</t>
  </si>
  <si>
    <t>252500-52626</t>
  </si>
  <si>
    <t xml:space="preserve">la macif et une tres bonne assurance a condition que vous ne vous en servé pas lorsque vous en avez besoin aie les degas 31 ans avec 50% depuis plus de 20 ans sociétaire il se dise moins chere faut car il faut ajouté des petit plus </t>
  </si>
  <si>
    <t>21/02/2017</t>
  </si>
  <si>
    <t>pereira-ortet-m-116744</t>
  </si>
  <si>
    <t xml:space="preserve">Satisfait du service en ligne et rapidité dans les démarches pour l'inscription et paiement ainsi que l'ouverture de mon espace assuré. Je suis rassuré d'avoir pu souscrire chez vous </t>
  </si>
  <si>
    <t>jfcjeff-76745</t>
  </si>
  <si>
    <t>APRÈS DIFFICULTÉ DE REMBOURSEMENT L4INTERLOCUTEUR DE SANTIANE A RÉSOLUT LE PROBLÈME RAPIDEMENT</t>
  </si>
  <si>
    <t>13/06/2019</t>
  </si>
  <si>
    <t>avatar-52447</t>
  </si>
  <si>
    <t>ayant une mauvaise santé c est un combat de tout instant pour essayer de vous faire indemniser ils n ont pas commencé a le faire que deja un expert est missionner et tout est bloqué jusqu a la date du rdv bravo april et un petit conseil prendre un expert avec vous en cas d expertise aussi non c est perdu d avance APRIL a bannir</t>
  </si>
  <si>
    <t>15/02/2017</t>
  </si>
  <si>
    <t>sebastien-m-106830</t>
  </si>
  <si>
    <t>je très insatisfait, déçu, car je me fais vandalisé et le bris de glace ne fonctionne pas.
Totalement décevant.
 Je part de chez vous, assuré  depuis plusieurs années sans aucun sinistre bravo la reconnaissance.</t>
  </si>
  <si>
    <t>ana-103405</t>
  </si>
  <si>
    <t xml:space="preserve">A fuir de toute urgence. Mutuelle qui ne sait pas répondre aux questions. Ils n'ont jamais les informations ou des infos changeantes en fonction des agents... Certains agents manquent de  courtoisie, d'aimabilite... Le Délai de traitement extremement long. Le Délai de remboursement n'en parlons pas !!
J'attends toujours mes remboursements depuis août (nous sommes bientôt en février...)
Partez, fuyez... Mais ne leur laissé pas votre santé et votre argent !! </t>
  </si>
  <si>
    <t>29/01/2021</t>
  </si>
  <si>
    <t>frappeur-benguiste-97817</t>
  </si>
  <si>
    <t>Il y a 5 ans j'ai souscrit à une assurance habitation pour 35 euros mensuel. A ce jour je suis à 40euros par mois. en 5 ans j'ai déclaré 1 seul sinistre pour un dégât des eaux l'année dernière c'est à dire en septembre 2019. Nous sommes en Septembre 2020 et après plusieurs recommandé, je n'ai toujours pas entendu parlé de mon assureur.   Franchement si vous avez de l'argent à jeter par la fenêtre, pour pouvez allez à la SOGESSUR. si vous allez sur un comparateur pour souscrire à une assurance, si la SOGESSUR vous propose le meilleur tarif, passé votre chemin. Je ne recommanderai pas cette compagnie d'assurance à quelqu'un , même à mon ennemi. ABSOLUMENT PAS.</t>
  </si>
  <si>
    <t>24/09/2020</t>
  </si>
  <si>
    <t>gregory-d-135029</t>
  </si>
  <si>
    <t xml:space="preserve">Je suis satisfait du service, les prix me conviennent, simple et pratique. Bon contact avec Benjamin. Il est agréable et réactif.
Je recommande vivement. 
</t>
  </si>
  <si>
    <t>sylvie-a-122677</t>
  </si>
  <si>
    <t>je suis entièrement satisfaite du service de direct assurance.
les prix sont raisonnable. je pense que les bons conducteurs devraient avoir un bonus supplémentaire.</t>
  </si>
  <si>
    <t>marques-c-122408</t>
  </si>
  <si>
    <t>Je suis satisfaite du service et du prix qui me semble correct. L'accueil téléphonique a été très bien également et les conseils ont été bons. Merci à vous</t>
  </si>
  <si>
    <t>alexb-93349</t>
  </si>
  <si>
    <t xml:space="preserve">Je suis client Depuis 2009 aucun soucis Dossier toujours bien suivis en cas de sinistre ou autres je suis entièrement satisfait de direct assurance Je recommande vivement </t>
  </si>
  <si>
    <t>07/07/2020</t>
  </si>
  <si>
    <t>catherine-d-134884</t>
  </si>
  <si>
    <t xml:space="preserve">Satisfaite des différentes solutions d assurances proposées
Facilité d inscription et de résiliation
Les garanties sont bien expliquées
Très rapide clair limpide
Les prix sont très attractifs
</t>
  </si>
  <si>
    <t>juju-66842</t>
  </si>
  <si>
    <t>Expérience très courte et très décevante. Ne faites pas mon erreur et fuyez! J'ai commencé les démarches auprès de cette assurance dans le but de faire des économies.
J'ai payé plusieurs mois puis impossible d'avoir un contrat. Ayant plusieurs centaines d'euros d'engagées, je fais un dossier de fraude auprès de ma banque pour bien non rendu.</t>
  </si>
  <si>
    <t>malek-d-133312</t>
  </si>
  <si>
    <t>Je suis satisfait de l accueil de AMV pour assurer mon scooter, en espérant continuer longuement à vous faire confiance , au plaisir de votre soutien.</t>
  </si>
  <si>
    <t>17/09/2021</t>
  </si>
  <si>
    <t>crapet-y-127175</t>
  </si>
  <si>
    <t xml:space="preserve">Je recommande  cette assurance personnel à l écoute et très agréable à répondu à toutes mes questions et m a proposé une formule adaptée à ma recherche </t>
  </si>
  <si>
    <t>christophe-m-132163</t>
  </si>
  <si>
    <t>super et simple d'utilisation
Pratique et l assistance et fiable
rapide au niveau intervention
convivialité au téléphone je recommande tarif imbattable</t>
  </si>
  <si>
    <t>philmatt1-78328</t>
  </si>
  <si>
    <t>Pas cher !!!!! J'ai eu un sinistre non responsable, voiture moins d'un an. Remboursement intégral.  Après  menace et insistance,  j'ai été remboursé au bout de 6 mois. Des que l'on tombe sur mon dossier la ligne se coupe... Bizarre...</t>
  </si>
  <si>
    <t>vali-59544</t>
  </si>
  <si>
    <t>Très mauvaise compagnie d'assurance. Ne souscrivez surtout pas chez eux..a part encaisser les cotisations, rien. Assureur à éviter absolument ! Assurance irrespectueuse de ses bons clients. Je déconseille fortement cette assurance . Je n ai jamais vu ça.</t>
  </si>
  <si>
    <t>10/12/2017</t>
  </si>
  <si>
    <t>fantic305-64002</t>
  </si>
  <si>
    <t>J'ai souscrit un contrat d'assurance sur le site, réglé l'acompte demandé il y a plus de 12 jours et là silence interstellaire.
Pas de mail pour fournir un numéro de dossier, pas de contact téléphonique, pas de possibilité de consulter l'avancement du dossier, impossible d'avoir un responsable sans passer par un numéro surtaxé</t>
  </si>
  <si>
    <t>21/01/2019</t>
  </si>
  <si>
    <t>mike-s-130611</t>
  </si>
  <si>
    <t>Je suis très satisfait de ce service et je le conseille à mes proches également de s’abonner, Direct assurance reste le numéro 1 des assurances, les prix bas.</t>
  </si>
  <si>
    <t>any-91988</t>
  </si>
  <si>
    <t>Bonjour, je suis totalement désespérée de l'attitude de Metlife, je suis très mécontente, je ne donne même pas une étoilé à cette assurance. C'est le pire assureur connu dans ma vie, c'est catastrophique. C'est absolument impossible à joindre. Je suis assuré depuis le 5 avril 2019, mais ma banque n'avait pas encore accepté le changement d'assurance. J'ai eu une réponse positive à partir du 5 décembre 2019 (Lettre que j'ai reçu le 25 novembre). J'ai envoyé tous les documents le 27 novembre pour demander l'avenant de mon contrat (Avec le début du contrat le 5 décembre) et aussi en demandant le remboursement de primes payé du 5 mai au 5 novembre. Je n'ai pas eu du tout de réponse, j'ai relancé plusieurs fois le mail a dip@metlife.fr même de plusieurs adresses mail. Finalement, j'ai eu une réponse que le 12 mai 2020 (6 MOIS APRES), avec mon avenant de contrat qui commençait le 5 décembre et j'ai reçu un mail en disant que je serai remboursée le total que j'ai payé en plus du 5 mai au 5 novembre mais ils m'ont remboursé un 30% de ce que le mail disait. J'ai envoie un mail pour demander pourquoi je n'ai pas reçu la somme totale et bien évidement pas du tout de réponse.
En plus, pendant le confinement, ma banque m'a demandé une lettre d'accord de la part de l'assurance pour reporter la mensualité de mon crédit vu que j'étais en chômage partiel. J'ai envoyé un mail a dip@metlife.fr et aussi a gestion.sinistre@metlife.fr et encore sans réponse. Dans le moment que j'avais besoin de l'assurance que je paie tous les mois et je n'ai pas réussi faire reporter mes mensualités. Je me demande pourquoi je dois continuer payer une assurance qui n'est pas là dans le moment que j'ai besoin. Ça sert a quoi avoir cette assurance ??? Je regrette infiniment avoir changer l'assurance. A part que je ne récupère pas mon argent, je ne compte pas avec les bénéfices d'avoir une assurance dans le cas je ne peux pas payer mon crédit.
Si je pouvais ne pas mettre d'étoiles, je n'en aurais pas mis un seule. C'est n'importe quoi cette assurance. J'ai eu une expérience désastreuse.</t>
  </si>
  <si>
    <t>23/06/2020</t>
  </si>
  <si>
    <t>arthur--102516</t>
  </si>
  <si>
    <t xml:space="preserve">Personnel sérieux et compétent
Prix raisonnable
Dossier rapide à faire, même pour les changements d'assurance, carte verte un peu longue à recevoir mais ça reste raisonnable </t>
  </si>
  <si>
    <t>karim-108005</t>
  </si>
  <si>
    <t>Bonjour , 
je souhaite remercier le conseiller Génération . Sa connaissance du logiciel ainsi que sa gentillesse nous on permis de communiquer et de solutionner ma problématique.
super accueil et conseiller très humain. 
Cordialement.</t>
  </si>
  <si>
    <t>aureliemercier44850-94700</t>
  </si>
  <si>
    <t xml:space="preserve">Il n'y a pas de mot pour décrire cette assurance qui spolié  les clients... Ils ont gagné du temps pour éviter de me rembourser. Au chômage depuis Janvier 2020, j'ai passé mon temps à renvoyer des papiers qu'ils avaient déjà ou ils me demandaient des papiers qui n'avaient rien à voir avec ma demande... Le covid et le confinement à le dos large. Bref aucun remboursement en vu car j'ai fini de payer mon prêt auto donc bizarrement ils ne peuvent plus rien faire pour moi... Quel manque de respect, j'ai payé 5 ans une assurance de prêt...
Lamentable </t>
  </si>
  <si>
    <t>magali-j-134051</t>
  </si>
  <si>
    <t>A voir dans l'avenir, premier contrat chez vous je ne pourrais juger réellement qu'avec un peu de recul. Les prix semblent vraiment très raisonnable, mais je ne pourrais savoir que vous êtes aussi bien qu'un assureur physique que si un jour j'ai besoin de vous.</t>
  </si>
  <si>
    <t>22/09/2021</t>
  </si>
  <si>
    <t>turkan29-105884</t>
  </si>
  <si>
    <t>Dommage que l'on puisse pas mettre 0, suite a des gros pépins de santé, l assurance ne prend plus en charge car mon mari "est consolidé" la blague apres une operation artrodese rate des douleurs epouvantable une station debout impossible plus de 1 heure d affilé, pour leur expert tous va bien, il ne peut plus reprendre son boulot selon leur expert incapacité a reprendre son metier taux incapacité 100% , sur un autre métier 50% malgrés ca il n indemnise rien car il  peu exercé un métier de surveillance!!!!!!dixit le rapport d expertise De qui se moque t on, ils attendent quoi qu'il se mette une balle car oui il est a bout a la douleur physique évidente s ajoute une très grosse dépression.J'aimerai les voir ces assuranceurs après 3 ans a souffrir physiquement nuit et jour a ne pas dormir une nuit correcte, notre vie s'est arrêtée a la suite de cette accident plus de sortie, plus de vacances, vivre avec quelqu'un qui souffre en permanence et loin d'être évident toute la famille est impacté .Un conseil fuyez fuyez.Je précise que je suis au cmb depuis toujours tous mes comptes et assurances sont là, mon père était administreur.Mes oncles y ont travaillé.Quelle déception.La banque a qui parlé, oui parlé au mur vous aurez plus d écoute.Un conseil fuyez.</t>
  </si>
  <si>
    <t>Suravenir</t>
  </si>
  <si>
    <t>jean-philippe-p-123306</t>
  </si>
  <si>
    <t>Je suis très satisfait des contrats signés, du rapport garantis et prix,  et de l'accueil la sympathie des renseignements et de la patience de la conseillère..</t>
  </si>
  <si>
    <t>victor-b-110622</t>
  </si>
  <si>
    <t xml:space="preserve">prise de contact rapide, rappel par le support rapide, conseiller reste a l’écoute en cas de besoin 
meilleurs proposition de prix part rapport la proposition de la  banque   
</t>
  </si>
  <si>
    <t>pat-57711</t>
  </si>
  <si>
    <t xml:space="preserve">Bonjour,
j'ai été insulté par une personne me disant que je ne savais pas m'exprimer, car elle me demandait mon échéance de contrat voiture, mais elle me parlait de l'année 2016. Elle m'a finalement raccroché au nez. Honteux, je change d'assureur immédiatement.
</t>
  </si>
  <si>
    <t>29/09/2017</t>
  </si>
  <si>
    <t>frank-123726</t>
  </si>
  <si>
    <t xml:space="preserve">Jamais la quand vous en avez besoin service exécrable à fuir ! Pas d'aide en cas de sinistre pas d'aide en cas de contrôle pour le prix excessif pas de service client plus d'un mois pour obtenir un remboursement inacceptable </t>
  </si>
  <si>
    <t>chrichouchris-52704</t>
  </si>
  <si>
    <t>Via le site Assurland, j'ai découvert que cette assurance prenait en charge les personnes malussées et ayant des difficultés pour pouvoir se réassurer, ce qui était mon cas. Accident responsable avec les conséquences qui s'en suivent (perte de point, amende, suspension du permis de conduire avec visites médicales obligatoires). J'ai rempli mon dossier, fourni toutes les pièces nécessaires pour la constitution de celui ci, payé ma cotisation en une seule fois, les deux parties ont signés. tout était ok.
Je reçois un mail aujourd'hui m'indiquant qu'ils avaient décidé de me résilier conformément à l'article L 113-4, car mon permis a une durée de validité !! ?? C'est un accident responsable avec suspension de permis de conduire ! une seconde visite médicale est obligatoire pour l'obtention définitive de son permis de conduire ...
assurance qui ne couvre en aucun cas des gens ayant eu un accident responsable.
Je déconseille fortement cette assurance.</t>
  </si>
  <si>
    <t>23/02/2017</t>
  </si>
  <si>
    <t>spector-alain-99606</t>
  </si>
  <si>
    <t xml:space="preserve">Il faut être vigilant chaque année sur les augmentations de tarif et ne pas hésiter à réclamer un ajustement.
Ceci dit, je suis satisfait du niveau de remboursement et de la rapidité de paiement.
Le site internet n'est pas très intuitif quand on a également des placements chez Allianz mais c'est une question d'habitude.
Les employées de l'agence sont sympathiques et à l'écoute. </t>
  </si>
  <si>
    <t>04/11/2020</t>
  </si>
  <si>
    <t>cleo-76668</t>
  </si>
  <si>
    <t>Proposition intéressante mais un peu tardive, la relance aurait pu s'effectuer plus tôt.
Sinon le prix est correct et le montant des remboursements semblent avantageux.</t>
  </si>
  <si>
    <t>11/06/2019</t>
  </si>
  <si>
    <t>christophe-w-124643</t>
  </si>
  <si>
    <t>comparez le prix de mon assurance il y a 4 ans et aujourd'hui, pour cette même voiture avec AUCUN sinistre, vous comprendrez pourquoi je vais changer d assurance</t>
  </si>
  <si>
    <t>eric-80963</t>
  </si>
  <si>
    <t xml:space="preserve">SINITRE DECLARE LE 14 JUILLET 2019, depuis nous sommes le 13 novembre RIEN impossible à joindre par tel, aucune réponse par mail RIEN  et pourtant j'ai transmis un devis 30 septembre, mais non rien à battre de rien </t>
  </si>
  <si>
    <t>vasse-g-137705</t>
  </si>
  <si>
    <t xml:space="preserve">Je suis bien satisfait dû service
Les prix me conviennent
Simple et pratique
Apelle téléphonique parfait
A la écoute de nos demandes
J en parlerais à mon entourage
</t>
  </si>
  <si>
    <t>18/10/2021</t>
  </si>
  <si>
    <t>cassandre-98744</t>
  </si>
  <si>
    <t xml:space="preserve">Très professionnel et sérieux . 
Répondent aux appels téléphoniques très rapidement, service très sympathique.
Je recommande les yeux fermés, que nous soyons jeunes conducteurs ou expérimentés les prix sont très attractifs. 
</t>
  </si>
  <si>
    <t>kevinf-104041</t>
  </si>
  <si>
    <t>Un "retour sous 5 jours ouvré" qui ressemble plus à 15 jours ouvrés pour un rétroviseur cassé. 
J'ai contacté l'assurance pour une amelioration de formule et on m'a menti en m'expliquant qu'en couverture tout risque, la franchise ne s'appliquait qu'aux degats de ma responsabilité. C'est faux, si le tier n'est pas identifié (vandalisme, vol, etc) la franchise est à payer. 700 € en plus, la honte. Je me barre a la fin de mon contrat, tous a vouloir nous prendre notre argent, et menteurs de surcroit.</t>
  </si>
  <si>
    <t>12/02/2021</t>
  </si>
  <si>
    <t>le-consommateur-123806</t>
  </si>
  <si>
    <t>Avec ma compagne et nos enfants nous avons presques toutes nos assurances chez axa,  nous n'avons jamais eu de sinistre et ceci depuis des dizaines d'années. Ce jour je leur communique que ma télévision 50 pouces qui a 6 ans à commencé de fumer. Je dois, faire faire un devis de réparation: Problème, ne pouvant pas transporter ma télé, je dois faire venir à mes frais un dépanneur, ce dernier devra me faire un devis qui doit compoter l'origine de la panne. Soit c'est un  problème de vétusté (et je n'ai droit à rien) soit cela provient d'un coup de foudre ou d'une surtension, et je suis remboursé partiellement avec une franchise de170 euros. Geste commercial 0. Un conseil oubliez axa,ce que je vais faire en changeant toutes mes assurances de chez cette compagnie.</t>
  </si>
  <si>
    <t>pecquet-f-105449</t>
  </si>
  <si>
    <t>je suis entièrement satisfaite, aussi bien concernant mon assurance voiture qu'habitation accueil très aimable et professionnel
d ailleurs j 'ai parrainé mon mari et ma fille
continuez ainsi</t>
  </si>
  <si>
    <t>jp01-137667</t>
  </si>
  <si>
    <t>attention eurofil vous résilie sans raison il m ont résilié avec 50% de bonus sur six ans . 
Juste un accrochage pas de ma faute sur un parking 
Maintenant je suis fiché comme client a risque dur de retrouver une assurance</t>
  </si>
  <si>
    <t>canibale8-60545</t>
  </si>
  <si>
    <t>Le prix proposé est attractif seulement en 4 mois je n'ai pas eu d'attestation d'assurance.</t>
  </si>
  <si>
    <t>16/01/2018</t>
  </si>
  <si>
    <t>kiki-138065</t>
  </si>
  <si>
    <t>Mutuelle d 'entreprise obligatoire .je l ai gardee en tant que retraite mais je vis changer.multiples contacts pour avoir de simples remboursements,étude de devis mal faits ( oubliés de prendre en compte le cas que le médecin était OPTAM) ,DEMANDE D'ATTESTION SUR L'HONNEUR COMME QUOI je n'avait pas d'autre mutuelle( comme si on allait payer 2x 200 euros pour être remboursés de 10 ).
Je la deconseille vivement à tous les comités d'entreprises et à tous les particuliers</t>
  </si>
  <si>
    <t>pascal-132028</t>
  </si>
  <si>
    <t>Je déconseille fortement ! ! !
La note attribuée pour le prix est cohérente avec le service rendu.
Début juillet, ma fille s'est fait voler son vélo dans son garage assuré chez Direct Assurance.
Elle a transmis le 5 juillet les documents nécessaires afin de permettre rapidement de réparer la porte du garage et permettre le remboursement de son préjudice (facture du vélo volé).
Depuis, un serrurier mandaté par cette assurance s'est déplacé et attend toujours le retour du devis afin de finaliser les travaux de remise en état de la porte du garage, une intervention rapide nécessitant moins de 30 minutes !
L'assureur demande désormais le décompte de banque sur lequel figure le montant de l'achat effectué par un membre de la famille de a fille ainsi qu'une attestation émise par cette personne !
Celui ci date de 2017 !
Sauf que ma fille déménage demain et doit donc rendre les clés au propriétaire !
Je ne penses pas que celui-ci appréciera que ma fille lui dise que la réparation de la porte de son garage est en attente depuis plus de deux mois du bon vouloir de l'assureur... qui n'assure pas rapidement.
Le délais de 2 mois étant nécessaire avant de demander l'intervention du médiateur, la démarche est en cours.
Bien évidement, afin d'éviter toute déconvenue ultérieure, les démarches sont en cours afin de résilier les deux contrats (habitation et auto).</t>
  </si>
  <si>
    <t>sandrine--b-134191</t>
  </si>
  <si>
    <t>Satisfais de votre service de l'aide que vous m'avez faite ,j'ai eu un peut  de panique pour faire ce devis ,je me suis un peut mélanger les pinceaux merci encore</t>
  </si>
  <si>
    <t>23/09/2021</t>
  </si>
  <si>
    <t>vivi-66222</t>
  </si>
  <si>
    <t>cela fait plus dun mois quon ma volé mon tmax assuré tt risque et a l'année....et un mois après je nai aucunes nouvelles ni oar mail ni appels je trouve ca inadmissible et jai pas lintention den rester la! assurances des plus pitoyables, je les relance plusieurs fois par semaine mais on tombe au standard qui est inutile</t>
  </si>
  <si>
    <t>Assur Bon Plan</t>
  </si>
  <si>
    <t>phdb-40277</t>
  </si>
  <si>
    <t>Compliqué pour avoir un client au tél, personne ne décroche, je souhaitais avoir des infos pour souscrire mais personne pour renseigner. Dommage je vais rester chez L'olivier Assurance car de toute façon les tarifs sont quasi identiques et on me dit que super prix chez Direct la première année puis augmentation sans raison...</t>
  </si>
  <si>
    <t>15/09/2017</t>
  </si>
  <si>
    <t>jacques-l-131390</t>
  </si>
  <si>
    <t>très satisfait d' AMV, depuis que je suis client, toutes assurances confondues, ma satisfaction est totale, tranquilité , facilité, et toujours, si besoin ,quequ'un au téléphone de gentil et compétent.</t>
  </si>
  <si>
    <t>05/09/2021</t>
  </si>
  <si>
    <t>celine-l-108295</t>
  </si>
  <si>
    <t xml:space="preserve">simple et pratique/ bon tarif
rapide/interlocutrice sympathique et efficace
je vais pas faire une dissertation pour un changement d'assurance quand même
</t>
  </si>
  <si>
    <t>28/03/2021</t>
  </si>
  <si>
    <t>linda-g-126070</t>
  </si>
  <si>
    <t xml:space="preserve">Simple  et pratique, assurance abordable avec différentes options, 
Devis envoyé rapidement et bien expliqué , possibilité  de payer mensuellement
Je recommande. </t>
  </si>
  <si>
    <t>david-53918</t>
  </si>
  <si>
    <t>J'ai fait une demande de prime de naissance en janvier 2017. Temps standard de traitement annoncé par leur service : 15 jours. 
Nous sommes en avril 2017, et rien ne se passe. Je les appelle toutes les semaines, ils me disent "vous avez notre parole, ça sera fait dans la semaine. Mais rien ne se passe.</t>
  </si>
  <si>
    <t>07/04/2017</t>
  </si>
  <si>
    <t>maggio-a-113946</t>
  </si>
  <si>
    <t>Prix et services au top. Simplicité dans le paiement et la contractualisation. Je recommande cette assurance réactive mais aussi compétitive part rapport aux autres</t>
  </si>
  <si>
    <t>17/05/2021</t>
  </si>
  <si>
    <t>nath12-58199</t>
  </si>
  <si>
    <t xml:space="preserve">Actuellement assurée depuis 8 ans, mais plus pour longtemps, je suis outrée de voir comment mon dossier est géré.
Tous d’abord, l' « expert » à sous-évalué le montant des réparations 785,20 €  pour la réfection peinture et papier d'une pièce de 27 m².
J'ai eu la bêtise de ne demander que la réfection partielle : un pan de mur et tout le plafond (là, il n'y a pas le choix). J'ai obtenu un devis à 1 090 € communiqué en mars. Début avril, je reçois un virement de 628,16 €. Je ne comprends rien et appelle la MAIF. Ils me disent que cela correspond au montant chiffré par l'expert (sur pièce (càd sur photo) puisqu'il ne s'est jamais déplacé) déduction faite d'une soi-disant franchise de 157,04 €. Il s’avère que cette information est fausse et qu’il s’agirait en fait d’une vétusté devant m’être restituée sur présentation de la facture, selon la même gestionnaire, qui n’a pas été choquée de m’affirmer au préalable que ce montant comportant des centimes était une franchise…. 
Je conteste l’évaluation et surtout leur reproche d’avoir procédé à un virement sans me laisser le choix de recourir à un artisan agréé. Je leur demande donc de revoir le chiffrage ou de missionner quelqu’un après que je leur ai remboursé la somme virée sans me demander mon avis.
La gestionnaire du dossier fait mine de faire revoir le devis par l’expert puis m’oppose un refus. Je demande une expertise sur place ; elle refuse au motif que cela couterait aussi cher que la différence entre mon devis (1 100) et le montant estimé par l’expert (700).
Je demande alors qu’elle me communique les coordonnées d’artisans agréés. Silence radio.
Une avocate intervient. Mi-juillet 2017 (souvenez-vous tout ceci a commencé début mars 2017, la gestionnaire dans sa grande bonté nous communique enfin des noms d’entreprises agréées (pas très proches de mon domicile, bien évidemment…) ou me laisse la possibilité de percevoir le montant du devis de mars 2017.
Je recontacte l’artisan qui refuse d’intervenir, sa société a changé de statut, il a de plus gros chantiers et n’a plus le temps… Bref, j’ai enfin de quoi le payer mais il ne veut pas intervenir.
Je refais faire des devis mais en précisant que l’assurance ne veut pas payer une reprise totale et ne versera que 1 000 €.  
Beaucoup ne se déplacent même pas ou refusent de me faire un devis, d’autres chiffres à 1 900 € la reprise partielle ou entre 4 et 6000 € la reprise totale. 
Désespérée, je demande à mon avocate s’il est possible que l’assurance accepte de verser la somme de 1 600 € estimée entre temps pas l’expert pour un reprise totale, afin d’amortir au maximum le seul devis à peu près dans les clous à 1 900 € (pour une reprise partielle uniquement).
Là, la gestionnaire, responsable de tout ce bazar s’offusque et ne comprend pas pourquoi je ne fais pas intervenir l’artisan de départ, qui rappelons-le ne veut plus intervenir plus de 4 mois après son devis. Et pire encore, m’accuse d’avoir perçu indûment, voleuse que je suis, le franchise qu’elle m’aurait soi-disant remboursée ! Oui, on parle bien de la franchise, qui n’en est pas une mais de la vétusté…  
Je n’ai pourtant jamais perçu ni la somme de 125 € ni la somme de 157,04 €. Cette dame qui ne connait pas son dossier et me cause préjudice m’accuse désormais de choses erronées, ce qui est facilement prouvable (aucun virement…). Vu ses compétences, peut-être a-t-elle viré cette somme à un heureux bénéficiaire….
Il est impossible d’avoir un autre interlocuteur que la personne qui a ruiné mon dossier et me cause du tracas depuis mars 2017 en raison de son ingérence.
Quand on sait que certaines personnes perçoivent 1 000 € pour un cabinet de toilette de 1 m² et que lorsque l’on veut être honnête en faisant une réfection partielle et donc à moindre coût d’une pièce de 27 m², on nous pourri comme ça… C’est honteux ! Je suis dégoutée, je n’ai plus de mot… 
C’est décidé, je vais voir ailleurs si j’y suis !
</t>
  </si>
  <si>
    <t>19/10/2017</t>
  </si>
  <si>
    <t>raslebol-77118</t>
  </si>
  <si>
    <t>tant qu'il s'agit de payer mes cotisations qui d'ailleurs augmentent régulièrement sans que mes remboursements fassent de meme tout va bien
par contre quand je fais une demande de prise en charge alors la plus rien et impossible de les joindre au téléphone et ils ne répondent pas au mail c'est le pire service client que je connaisse</t>
  </si>
  <si>
    <t>26/06/2019</t>
  </si>
  <si>
    <t>deborah-c-107141</t>
  </si>
  <si>
    <t>POUR LE MOMENT AUCUN PB JE VIENS DE M INSCRIRE 
rapidité pr l inscription,site simple à utiliser moins cher que les concurents
A voir qd nous aurons besoin d'eux si tout se passe bien</t>
  </si>
  <si>
    <t>gh59--91769</t>
  </si>
  <si>
    <t xml:space="preserve">En cas de conflits faites appel à l'ACPR sur Paris la démarche à suivre </t>
  </si>
  <si>
    <t>22/06/2020</t>
  </si>
  <si>
    <t>fabien-s-110991</t>
  </si>
  <si>
    <t>Le prix ne me convient pas du tout cette année!
Augmentation de prés de 5%
J essaie de joindre votre service commercial, et cela est impossible chez Direct Assurance.</t>
  </si>
  <si>
    <t>dzudzurv69-115803</t>
  </si>
  <si>
    <t>J'ai déclaré et déjà mis un avis sur cette page. Il devait me rappeler une première fois suite à un accident. Chose faite car impossible de les avoirs. Ils devaient soit disant me rappeler une seconde fois car le dossier était monté en Niveau 2 de réclamation ( selon leur terme). Sa promet le niveau 2. TOUJOURS AUCUN SIGNE VIE !!!!
Donc POURQUOI JE PAYE DES PRESTATIONS INEXISTANTE ??? CELA SERAI T'IL VRAIMENT UNE ARN ????
PAYER MAIS SURTOUT NE NOUS DONNER PAS SIGNE DE VIE !!!!</t>
  </si>
  <si>
    <t>cacyje-132520</t>
  </si>
  <si>
    <t>je suis satisfaite de l'assurance habitation et de la protection juridique, les tarifs me conviennent, et l'application et le site internet sont très simple d'utilisation</t>
  </si>
  <si>
    <t>12/09/2021</t>
  </si>
  <si>
    <t>benoit-72197</t>
  </si>
  <si>
    <t xml:space="preserve">Etant client chez la matmut depuis plus de 14ans pour plusieurs contrats auto habitation etc... Suite a un soucis de date de declaration de sinistre (4 jours) la matmut refuse de prendre en charge le changement de mon pare brise leur but est uniquement lucratif et a aucun moment ils ne se soucient de leurs clients en trouvant des solutions intermediaires... Bref pour garder leur clients ils ne font aucun effort par contre pour encaisser de l argent ca c est sur la matmut elle assure....... </t>
  </si>
  <si>
    <t>15/03/2019</t>
  </si>
  <si>
    <t>fred06800-112143</t>
  </si>
  <si>
    <t>Très bonne assurance remboursement réactif et conseiller super sympa.25 ans de GMF avec sinistre au top du top  par rapport aux autres assurances ....</t>
  </si>
  <si>
    <t>29/04/2021</t>
  </si>
  <si>
    <t>christophe-j-103578</t>
  </si>
  <si>
    <t xml:space="preserve">accueil et professionnalisme du conseiller. réactivité et très bons conseils 
je recommande zen up pour la facilité de remplissage des dossiers et l'accessibilité du site </t>
  </si>
  <si>
    <t>19/02/2021</t>
  </si>
  <si>
    <t>lynette-106733</t>
  </si>
  <si>
    <t xml:space="preserve">Très satisfaite de notre échange 
Interlocutrice à l écoute à Bien pris le temps de me renseigner et à contacté les services afin d avoir confirmation sur ma demande.
</t>
  </si>
  <si>
    <t>pascale-l-103390</t>
  </si>
  <si>
    <t>Très satisfait du suivi du dossier par le gestionnaire qui est très professionnel, très réactif, très compétent et très sympathique. Je recommanderai cette personne et ce service sans hésitation.</t>
  </si>
  <si>
    <t>moi-112363</t>
  </si>
  <si>
    <t>le premier devis est intéressant, ensuite le tarif augmente tout les ans à une très grande vitesse !!!!
et ce sans aucun sinistre !
je ne recommande absolument pas !</t>
  </si>
  <si>
    <t>marylene-c-125546</t>
  </si>
  <si>
    <t>Bonjour,
Je suis satisfaite du service Direct Assurance, les prix sont très abordables et le choix très varie. De plus le service est rapide.
Merci à vous,
Bonne journée.</t>
  </si>
  <si>
    <t>diva-gaia--105475</t>
  </si>
  <si>
    <t>Je suis en attente d'un remboursement de cotisation effectuée à tort par Cégéma suite à décès, on m'a réclamé une tonnede justificatifs mais pas de remboursement...les conseillers sont injoignables par téléphone, on me propose d'être rappelé mais pas de rappel, c'est la galère totale 
Je regrette profondément d'avoir souscrit un contrat chez Cégema !!!</t>
  </si>
  <si>
    <t>marie-64010</t>
  </si>
  <si>
    <t>Dégats électriques en décembre, je suis assurée en valeur à neuf et j'ai bien envoyé les factures d'appareils ménagers demandées par l'expert suite à son passage (non réparables), le CM m'a payé avec déduction d'une vétusté (alors qu'ils m'ont vendu un contrat en valeur à neuf donc sans vétusté) j'ai contesté le paiement par LR + AR, la caisse locale a également contesté. Je ne vous parle pas également de factures de réparation que l'expert ne juge pas bon de prendre en compte. Pas d'électricité pendant toutes les fêtes et un expert qui se déplace 3 semaines après..., nous devions couper le peut d'électricité que nous avions pendant la nuit et pendant notre absence par risque d'incendie. 
Ils restent imperturbables.  
Savent vendre des contrats avec conditions supplémentaires.
Mais pour gérer sont totalement NULS et je me demande même s'ils sont honnêtes....</t>
  </si>
  <si>
    <t>15/05/2018</t>
  </si>
  <si>
    <t>phil-la-savoie-110547</t>
  </si>
  <si>
    <t>A priori grande Mutuelle avec "pignon sur rue" (ce qui m avait fait les choisir) 
Coté Remboursements : pas de problème il reste opérationnel et rapide (mais par chance j ai peu de besoins de 0 a 2 par an).
pour autant tarif élevé versus prestation et surtout pas d écoute du client lors de mes petites demandes (chgt de banque, évolution niveau garantie, devis ...) enfin de l'écoute mais AUCUN retour ou action (et l excuse Covid a le "dos large") . La principale raison de mon changement en cours.</t>
  </si>
  <si>
    <t>brunofoort-103695</t>
  </si>
  <si>
    <t xml:space="preserve">suite à une portabilité lié à un licenciement, je ne suis plus couvert malgré l'envoi des documents dans les délais impartis. très rapide pour suspendre le contrat, mais aucune réactivité pour maintenir malgré les textes légaux, et de plus aucune réponse à nos différentes demandes </t>
  </si>
  <si>
    <t>04/02/2021</t>
  </si>
  <si>
    <t>pascal22360-97996</t>
  </si>
  <si>
    <t xml:space="preserve">Quand je lis les avis  négatifs, je me pose vraiment la question si les personnes sont honnêtes. J'ai 2 chiens assurés depuis plusieurs années (Dogue argentin de 8 ans et un Whippet de 3 ans).
Dogues Argentin : rupture ligaments croisés patte arrière gauche. Otites. Problèmes de peau. Ablation oeil gauche. Actuellement perte de l'oeil droit avec sans doute une ablation prochaine. 
J'ai un contrat qui me rembourse à 70%. JE N'AI JAMAIS EU DE PROBLEMES DE REMBOURSEMENT (DELAI HYPER RAPIDE); 
Whippets : autre contrat  Forfait vaccins respectés.
Avant SantéVet, j'ai été dans une autre assurance pour la dogue argentin : j'ai été VIRE au bout d'un an car trop de problèmes....
JE RECOMMANDE SANTEVET A 100%.
</t>
  </si>
  <si>
    <t>29/09/2020</t>
  </si>
  <si>
    <t>fernandes-e-130324</t>
  </si>
  <si>
    <t xml:space="preserve">Je suis satisfait et le prix est intéressant service complet et sympa et sérieux très gentil et serviable le tarif a changé du jour au lendemain ??? Plus chère </t>
  </si>
  <si>
    <t>doudou-58085</t>
  </si>
  <si>
    <t>Sociétaire depuis plus de 35 sans aucun sinistre, en février 2017 ,fuite d'eau à mon domicile , malgré une déclaration en règle , malgré la fourniture de toutes les pièces à plusieurs reprises après une carence du dossier fin mai pour de fausses raisons, malgré des dizaines d'appels,de mail, d'interlocuteurs en octobre mon dossier est toujours en cours et aucun travaux à l'horizon ....avec en plus le silence des gestionnaires du dossier ....</t>
  </si>
  <si>
    <t>15/10/2017</t>
  </si>
  <si>
    <t>sarah-55592</t>
  </si>
  <si>
    <t>Que dire à part fuyez les. Une assurance qui ne respecte pas du tout ses clients. Lors d'un accident pendant que je me garais un monsieur me rentre dedans. J'ai un témoignage qui prouve que c'est lui qui est rentré dans ma voiture. La matmut m'envoie une lettre pour me dire "vous etiez en marche arrière votre témoin le confirme vous êtes en tord a 100%" sans même prendre en compte la suite du témoignage qui dit que c'est l'autre qui m'est rentré dedans. Le comble c'est que par téléphone un conseiller m'a dit témoignage ou pas vous êtes en marche arrière vous êtes responsable. Au téléphone c'est discours de sourd  Ma collègue a eu également des soucis avec eux et m'avait conseiller de ne pas aller chez eux. J'aurais du l'écouter. Cette assurance est la juste pour prélever de l'argent</t>
  </si>
  <si>
    <t>23/06/2017</t>
  </si>
  <si>
    <t>perrot-b-124372</t>
  </si>
  <si>
    <t xml:space="preserve">Je suis relativement satisfait de l'assurance auto j'ai déjà souscrit trois contrats très simples pour souscrire et renplire les documents je valide. </t>
  </si>
  <si>
    <t>mamoune17-63173</t>
  </si>
  <si>
    <t>Cliente Santiane depuis plusieures années contacté pour changement de contrat. .faire le point . Demande de mutuelle avec meilleures prestations.</t>
  </si>
  <si>
    <t>11/04/2018</t>
  </si>
  <si>
    <t>mystmail17-100317</t>
  </si>
  <si>
    <t>Bonjour,
j'ai effectué une demande d'adhésion le 18/11/2020 contrat EPSIL Sénior+ N°S7518-9374648.
J'ai fait valoir mon droit de rétraction ce matin le 19/11/2020.
Malgré cela, j'ai reçu le certificat d'adhésion avec son échéancier.
Merci de bien vouloir prendre en compte mon annulation de demande d'adhésion.
cordialement</t>
  </si>
  <si>
    <t>19/11/2020</t>
  </si>
  <si>
    <t>alexialma-64557</t>
  </si>
  <si>
    <t>J'ai eu un accident non responsable, un face à face avec une personne alcoolisée, ma fille de 18 mois avec moi dans le véhicule. Assurée tout risques  on m'a tout d'abord refusé de me reconduire chez moi après avoir été emmenée par les pompiers aux urgences de l’hôpital, il fallait que je rentre en bus n'étant plus sur les lieux de l'accident, puis on m'a refusé le prêt du véhicule, j'ai du sortir les textes de loi pour y avoir le droit et j'ai du déboursé 25% de la location, puis on m'informe que ma fille de 18 mois n'est pas considérée comme victime de l'accident puisque je cite "elle ne s'en souviendra plus une fois adulte". Après cela, on m'envoie vers un expert qui juge indispensable d'avoir un suivi psy, j'ai du avancer toutes mes séances car mon interlocutrice en charge de mon dossier ne me rappelait jamais, malgré les nombreuses relance où il manquait toujours un papier ! Au bout de 10 séances et 400 euros déboursés, elle m'informe que je n'ai le droit qu'a 3 séances de remboursées et que j'en aurais pas plus ! j'ai du stoppé les séances immédiatement. Après consultation du médecin expert, il m'informe que la MACIF n'aurait jamais du avoir de tels propos puisque c'est à lui de décider le nombre de séances utiles. Pour ma fille qui n'était soit disant pas victime on m'a tout d'abord proposé la somme de 110euros en réparation, après avoir écrit une lettre pour indiqué mon mécontentement on m'envoie vers un médecin expert qui estime le montant à 1400 euros !  10 ans que j'ai mon permis, 10 ans que je suis assurée, aucun accident à tord, j'attendais de mon assurance chez qui j'ai 4 contrats, qu'elle fasse son boulot, à savoir me défendre auprès de l'assurance adverse ! Aucun soutien, aucune aide, service déplorable ! Maintenant que cette histoire est derrière moi, mes 2 assurances auto, mon assurance moto et mon assurance habitation vont se faire un plaisir d'aller voir ailleurs !</t>
  </si>
  <si>
    <t>06/06/2018</t>
  </si>
  <si>
    <t>marion-58629</t>
  </si>
  <si>
    <t xml:space="preserve">Bonjour je suis dégoûtée et effondré par cette assurance je suis assuré tout risque je paye 150€ d'assurance par mois je me suis fait volé mon véhicule familial Peugeot 508 toute option à présent je me retrouve dans l'enbarras à prendre le bus avec ma fille et mon mari le jour où j'ai ramené la plainte du vol de mon véhicule du commissariat la macif ma fait remplir un document en me demandant le nombre de kilomètres approximatif la macif m'a répondu négativement en m'annonçant qu'il prendrait pas en charge le remboursement de mon véhicule dut a des erreurs de ma part concernant le nombre de kilomètres suite à sa j'ai envoyé au service réclamation un dossier prouvant ma bonne foi en démontrant le chèque de banque de 14000€ les photo de mon véhicule les factures à l'appuie puis on me répond par message vocal en inconnu que les déclarations que j'ai fournis sont frauduleuse tout sa pour dire que c'est grave tres tres grave de réagir ainsi et honteux des économies de 10 année j'ai pas méritée sa et personne ne devrait le vivre. Je suis toujours dans l'attente j'ai re envoyé mon dossier mais en vain </t>
  </si>
  <si>
    <t>06/11/2017</t>
  </si>
  <si>
    <t>debrief-89549</t>
  </si>
  <si>
    <t>Sociétaire depuis 1988, depuis quelques années je me pose beaucoup de questions sur la Macif!!! Prix, prestations, service client. Les assurances font de la finances, et les banques font de l'assurance. A méditer... La concurrence est vive et dieu merci car cela nous permet d'y voir certaines failles, également à la Macif. 
Après 32 ans de bon et loyaux services, je vais regarder vers d'autres horizons. J'ai plus financé que bénéficié à la Macif. On connait la règle du jeu. Je vais arrêté là chez la Macif, et voir ce qui est le plus avantageux pour moi en rapport qualité prix.</t>
  </si>
  <si>
    <t>12/05/2020</t>
  </si>
  <si>
    <t>kim-59816</t>
  </si>
  <si>
    <t xml:space="preserve">Des prix attractifs mais cela fait presque 1 mois que tout les jours je renvoie les pièces justificatifs afin de recevoir la carte verte définitive je reçois des mails me stipulant que ma demande va être traitée dans les plus brefs délais mais rien quand j'appelle je tombe sur des conseillères qui ne comprennent pas ce que je leur demande en plus des appels à 80 centimes la minutes vraiment très très déçu je me suis fait verbalisé car n'ayant pas de vignette et pourtant ma cotisation des 3 mois a bien été débitée </t>
  </si>
  <si>
    <t>20/12/2017</t>
  </si>
  <si>
    <t>jules-b-111370</t>
  </si>
  <si>
    <t>Rien à dire, assurance réactive et à des prix défiant toutes concurrences
J'ai pu assurer en 1 journée et à la moindre question ou demande, le service client est là.</t>
  </si>
  <si>
    <t>momo-88828</t>
  </si>
  <si>
    <t xml:space="preserve">vous payez tous les mois mais quand vous avez un sinistre ( vol ) il ne faut pas vous attendre a êtres rembourser  par compte la franchise ,il ne l'oublie pas de vous la réclamer,pour environ 5 000  a 6000 euro vous aurez  400 euro c'est SUPER je vous recommande la MACIF MACIF a ne pas oublier </t>
  </si>
  <si>
    <t>10/04/2020</t>
  </si>
  <si>
    <t>ldopa-45916</t>
  </si>
  <si>
    <t>Assurance chère droits d'entrées élevées, rendement mauvais avec des fluctuations à la baisse extrêmement forte, et très faible à la hausse. Un site internet lourd souvent hors service et donnant les résultats de manière aléatoire. Assureur peu combatif pour défendre les intérêts de ses clients lors de litiges avec une autre assurance.</t>
  </si>
  <si>
    <t>03/08/2017</t>
  </si>
  <si>
    <t>slavica-126875</t>
  </si>
  <si>
    <t>ATTENTION
Surveiller bien vos prélèvement, avoir eu des prélèvements automatique et pas problème d'argent ont ces rendu compte tardivement qu'ils ont prélevé la prime pendent 3 ans pour un véhicule vendu.Malgré qu'on a fournie la preuve que la voiture est exporté et meme fournie la carte grise étrangère prouvant que la voiture est bien en dehors de France et assuré a l'étranger le MACIF rembourse que 2 ans. donc argent encaissé mais ne veulent pas remboursé. La raison de non remboursement il ne peuvent pas remonter dans leur fichier a plus de 2 ans et ne rembourse pas malgré qu'ils ont les preuves devant leurs yeux.
Client a la macif depuis 1988 et jamais de sinistre, vous dire la considération des clients fidèle a la macif.</t>
  </si>
  <si>
    <t>molle-b-108043</t>
  </si>
  <si>
    <t>Je suis satisfait du service. Le conseiller en ligne est disponible et explique clairement les garanties souscrites. Amabilité des conseillers en assurances.</t>
  </si>
  <si>
    <t>zack-c-114937</t>
  </si>
  <si>
    <t xml:space="preserve">Je ne suis pas satisfait des montants appliqués cette année, alors que la voiture ne roule pas. Je ne peux pas voir depuis le site, les différentes formules accessibles à mon véhicule... </t>
  </si>
  <si>
    <t>adam-88569</t>
  </si>
  <si>
    <t>Client depuis 3 ans, je suis très mitigé envers cette assurance. La partie administrative est très procédurière, demandant des quantités de justificatifs qu'elle égare et redemande sans cesse, des annexes du contrat aux preuves d'achat d'antivol. C'est pénible et cela s'est produit sur mes 3 motos successives. J'ai également eu un sinistre et mon garagiste a abimé la selle de la moto pendant la réparation. Axa n'a fait aucun suivi du problème, arguant du fait que ce garagiste moto n'était pas agréé (il n'y en a aucun à Paris en fait). Enfin, lorsque j'ai changé de moto ils ont continué à prélever la cotisation de l'ancienne moto (pourtant résiliée et CG barrée fournie) pendant 6 mois malgré mes interventions. 440 € de litige toujours en cours avec un agent général qui s'en fiche totalement.Je suis en train de chercher un autre assureur.</t>
  </si>
  <si>
    <t>30/03/2020</t>
  </si>
  <si>
    <t>camchal-75882</t>
  </si>
  <si>
    <t>Comme beaucoup j'ai cru utile de prendre la moins chere des assurances pour ma voiture et résultat 
JAMAIS reçu de vignette d'assurance depuis 8 mois
AUCUN AUCUN AUCUN service client, pire une hotline qui coute 80 ct la minute !! 
AUCUNE réponse aux mails envoyés 
une cotisation qui augmente SANS EXPLICATION NI RAISON !! 
DES FRAIS de résiliation exorbitants 
A fuir au plus vite !! Un pur scandale, cette entreprise n'est organisée que pour vous piéger et nous rappeler qu'un prix anormalement bas est TOUJOURS suspect</t>
  </si>
  <si>
    <t>14/05/2019</t>
  </si>
  <si>
    <t>amelie-l-129003</t>
  </si>
  <si>
    <t xml:space="preserve">Satisfait des services proposés chez direct assurance 
Rapide et clair prix attractif comparer à d’autres assureurs 
Je vous remercie 
Merci je recommande 
</t>
  </si>
  <si>
    <t>yann-130078</t>
  </si>
  <si>
    <t>Notre studio de 27m carre a  subis un grand degas des eaux le 5 Juin 2020. Des le debut ils ont refuse de compenser  le faite que nous pouvions pas utiliser le studio et n'offrait aucune compensation. La chambre etait 90%humide. Ils ont refuse de mettre en place un deshumificateur qui l'aurait seche en 3 semaines et ont attendu 11 mois avant de commencer les travaux. Nous attendons toujours en Aout 2021 qu'ils finissent de le remettre en etat le sol, les placards et la fenetre. Evitez AXA a tout pris.</t>
  </si>
  <si>
    <t>madou-75542</t>
  </si>
  <si>
    <t>une close souscrite en plus sur mon assurance habitation. j'ai été bien indemnisée dans le respect du contrat pour un vol de portable.</t>
  </si>
  <si>
    <t>n95-66074</t>
  </si>
  <si>
    <t>Minables, petit, incompétents, un accrochage qui dure depuis 3 semaines  aucune réponse de leur part. IL FAUT QUE LE CLIENT GERE SON PROPRE SINISTRE AUSSI BIEN DE L ASSISTANCE QUE PAR LE CHOISI DU GARAGE, BREF TOUT DE A A Z</t>
  </si>
  <si>
    <t>08/08/2018</t>
  </si>
  <si>
    <t>td-02-50756</t>
  </si>
  <si>
    <t>après 25 année au sein de la maiif je me rend compte depuis 2 ans que cette société n'a plus rien à voir avec celle que je connaissais. après 2 sinistres, une inondation et un portail enfoncé par une voiture, le principe est toujours le même, l'envoi d'un expert arrogant et à la limite de l’irrespect qui établit un rapport égale à la franchise, c'est à dire que lui est payé et vous assuré n'avez rien ! Alors comme me l'a dit un  de ces "expert"  seul ceux qui pleurent obtienne quelque chose ! Je place mon avis ici.
Si quelqu'un connait une bonne assurance je suis preneur.</t>
  </si>
  <si>
    <t>02/01/2017</t>
  </si>
  <si>
    <t>gerard-81829</t>
  </si>
  <si>
    <t xml:space="preserve">suite a un sinistre (voiture incendiée)impossible de me faire rembourser.ils cherchent sans cesse de nouvelles excuses style documents manquant sachant qu'ils les ont déjà en 2 voir 3 exemplaires
personne qui vous raccroche au nez bref à vomir...
je vous déconseille fortement cet assureur </t>
  </si>
  <si>
    <t>12/12/2019</t>
  </si>
  <si>
    <t>marre-71330</t>
  </si>
  <si>
    <t>Arrêtez de nous contacter avec cet appel: "Une anomalie a été détectée dans votre dossier santé" et avec un numéro aléatoire. Comment peut-on avoir confiance en vous?</t>
  </si>
  <si>
    <t>15/02/2019</t>
  </si>
  <si>
    <t>mukoko-s-107262</t>
  </si>
  <si>
    <t xml:space="preserve">Je suis satisfait du service, le prix me convient 
ce simple et rapide, vous êtes parmi les assurances du premier catégorie
donc je dis simplement bravo   </t>
  </si>
  <si>
    <t>20/03/2021</t>
  </si>
  <si>
    <t>alo-69078</t>
  </si>
  <si>
    <t xml:space="preserve">Assureur à fuir !j'ai un dossier d'assistance juridique en cours depuis 2015.Impossible de contacter le responsable du dossier. Aucun rappel de cette personne .Mon dossier sur mon compte est vide .
Un sinistre voiture jamais résolu !!
</t>
  </si>
  <si>
    <t>03/12/2018</t>
  </si>
  <si>
    <t>cherifi-m-116727</t>
  </si>
  <si>
    <t>Assurance top. Il s'agit de ma 1ère assurance auto, et j'ai réalisé beaucoup beaucoup de devis dans d'autres assurances et les prix étaient exorbitant ! vraiment satisfaite du prix et des services et "protection" proposés.</t>
  </si>
  <si>
    <t>mathieujuh-75877</t>
  </si>
  <si>
    <t xml:space="preserve">Tout dépend sur quel conseiller on tombe car parfois certains sont méprisants. Il est noté un remboursement en 48h00 mais toujours rien au bout de deux semaines pour une facture de 100 euros. Dommage pour un début de relation commerciale ce n'est pas au top. </t>
  </si>
  <si>
    <t>13/05/2019</t>
  </si>
  <si>
    <t>kristian-138321</t>
  </si>
  <si>
    <t>Assurance intéressa pour les deux roues par contre je ne peux me prononcer sur les démarches et la réactivité en cas de sinistre n’ayant fort heureusement pas eu le besoin d’y avoir recours.Dommage qu’il n’y ait pas non plus d’assurance pour les petits rouleurs comme moi (2000 km par an voir moins depuis que je sus en retraite)</t>
  </si>
  <si>
    <t>bihel-t-115349</t>
  </si>
  <si>
    <t>JE DONNERAI MON AVIS DEFINITIF PLUS TARD MAIS PAS AU DEBUT DE MON CONTRAT. jE SUIS SATISFAIT DE MES PREMIERS CONTACTS AVEC L OLIVIER ASSURANCE MAIS C 4EST LORSQUE SURGIT UN PROBLEME QUE L ON MESURE LE DEGRE DE REACTVITE DE SON ASSUREUR</t>
  </si>
  <si>
    <t>30/05/2021</t>
  </si>
  <si>
    <t>peresse11-125652</t>
  </si>
  <si>
    <t>Bonjour, j'ai eu à discuter avec Mr GEORGES pour la resiliation de mon contrat parceque je bénéficie deja de CMU pour et je suis au chômage pour le moment donc je n'ai pas voulu s'adherer deja.</t>
  </si>
  <si>
    <t>off-81080</t>
  </si>
  <si>
    <t xml:space="preserve">Service client à l'écoute, merci CAROLINE pour vos réponses claires ! Je sors de cet appel déstressée et rassurée suite à un chevauchement de nos deux mutuelles. </t>
  </si>
  <si>
    <t>18/11/2019</t>
  </si>
  <si>
    <t>sandra87-100593</t>
  </si>
  <si>
    <t xml:space="preserve">Je suis très satisfaite de la mgp 
Ils sont  toujours facile à joindre et  toujours très aimable
Ils répondent à mes questions de manière  très compétentes 
Aucun problème de remboursement </t>
  </si>
  <si>
    <t>25/11/2020</t>
  </si>
  <si>
    <t>pyh-99094</t>
  </si>
  <si>
    <t>Bonjour,
Je déconseille fortement la MAIF. Adhérent depuis 25 ans , aucun sinistre, je me bat avec eux depuis 3 ans suite à une malfaçon faite lors d'un agrandissement.
Depuis 2018, la MAIF m'a annoncé qu'il n'y avait pas de recours contre l'entreprise qui avait exécuté les travaux étant donné qu'elle avait été radiée du registre des commerces et sociétés.
Cette affirmation était totalement fausse, l'entreprise , certes en difficulté financière, existe toujours en Octobre 2020..Il suffit d'aller consulter internet..
Voilà malgré cette erreur énorme, La MAIF ne reconnait pas son erreur et pire encore refuse un réexamen de ma situation..
Je déconseille fortement donc cette assurance.</t>
  </si>
  <si>
    <t>22/10/2020</t>
  </si>
  <si>
    <t>brazz94-62782</t>
  </si>
  <si>
    <t xml:space="preserve">Pour la petite histoire, 7 ans assuré chez eux pour le prix au départ, mais chaque année vous devez faire le mendiant pour économiser quelques euros,  car comme par magie quand votre bonus augmente le coût de votre cotisation aussi (j’ai jamais compris le concept du « soit un bon conducteur et tu payeras plus).
Cette année j'ai le droit à la plus grosse blague, je réalise un devis en tant que nouveau client et je vois que la cotisation annuelle et de 348 € sachant que la mienne est de 436, je me dis qu'il y a un problème je contacte la conseillère via le chat, elle me dit d'enregistrer le devis et  étrangement je ne peux pas, la session a expiré (au bout de 4 minutes seulement ??!!).
Pas de problème je recommence je rentre les mêmes infos et la BOOOM 606 € !!!!! Mais WTF !!!!! J'ouvre donc une page en connexion privée et là en rentrant les mêmes infos le prix 360 € (noter qu'on ne retrouvera jamais les 348 € on ou s’est enfuit ce devis, mais il a dû partir loinnnnnn). 
J'appelle un conseiller et là j'ai le droit à un ramassis d'âneries comme quoi mes infos ne serait pas les mêmes et que c’est pour ça que les tarifs changent, je lui demande de vérifier, il  me dit qu'il ne peut pas alors que tous les autres, les années précédentes le pouvaient. Moi je vérifie de mon côté elles sont bien exact. Là il faut qu’il trouve autre chose, donc il me dit que les prix des assurances change de jour en jour, ok mais bon de là à changer de minute en minute, avec des écarts de prix gigantesques, pour un même contrat  quand même il y a un marge.
Mais la plus grosse blague de conseillers ça a été de me dire  « mais pourquoi vous vous plaignez, vous regardez que le tarif de 348 € et vous dit c'est trop cher mais si vous regardez celui de 606 c'est moins cher non ?? » FATALITY !!!
Là j'en pouvais, je savais à quel type d’être vivant j’avais à faire, ne voulant pas être contaminé par son imbécilité, j'ai raccroché.
C'est la plus belle phase que j'ai eu en ce début d’année,  apparemment ce mec quand il voit une voiture à 20000 euros et qu’il sait qu’il peut l'avoir à 10000 euros, il la paye quand même 20000 euros parce qu'il en a vu une autre 25000 euros. Où va ce monde avec ce genre de personne ???
</t>
  </si>
  <si>
    <t>29/03/2018</t>
  </si>
  <si>
    <t>gingou-32607</t>
  </si>
  <si>
    <t>Que ce soit n importe qu elle assurance.
De pire en pire, de plus en plus lamentable, plate forme /employés qui ne connaissent pas votre dossier( ça  a la limite je comprend) mais ne cherchant pas a vous aider,se moque de vos soucis, n'accepte pas notre état d'énervement quand cela fait 4 fois sur la journée que vous appeler car ils refusent de vous passer le responsable de votre sinistre.bref a la macif vous etes bon a payer les primes d assurance mais ATTENTION!! si sinistre vous n'êtes pas aidé.Pire et un internaut l a écrit, je viens de me'en rendre compte, vous avez un profil a la macif Je m"explique ..Le conseiller a sur son écran le profil de l assuré c'est a dire, vous appelé souvent, vous êtes pénible, vous vous plaignez toujours ect ect..Et oui, quelques fois certains pensent lire tout bas, en réalité ils ne font pas attention que vous êtes au bout du fil... ET vous entendez.. 
AUTRE POINT.J'ai arrete 4 assurances ce début d année assurance  résilié par ma nouvelle, MACIF m a refusé la résiliation habitation, motif:" c 'est votre nouvelle assurance qui doit résilier!!!" ce qui a été fait , mais depuis 2 mois la macif me prélève toujours cette assurance habitation, qui coute quand même 395 euros a l année, alors que le necessaire a été fait.Quand aux autres problèmes" SINISTRE" en 18 ans de MACIF,4 ou 5 je crois donc pas trop, ??lisez mes aventures.
Je déconseille très fortement cette assurance.OK ils sont un peu moins cher mais croyez moi que de soucis que d appels que de stress et aucune aide même pour un accident qui m'a obligé a faire plus d'une année de rééducation.Aucune compréhension, et si vous voulez avoir gain de cause car je n'étais pas en tort, et bien débrouillez vous vous m^mes.</t>
  </si>
  <si>
    <t>03/06/2019</t>
  </si>
  <si>
    <t>michel-m-129440</t>
  </si>
  <si>
    <t>Je suis agréablement surpris par votre prestation dans le cadre de la mise en place de ce contrat. Nous verrons à l'usage et en particulier en cas de 'problème'........!
J'ai dèja  fait de la pub pour vous dans mon cercle familial et amical.....</t>
  </si>
  <si>
    <t>ioan-daniel-m-133628</t>
  </si>
  <si>
    <t xml:space="preserve">super prix, le plus bas 
parcours rapid avec tout le documents
très facile pour faire le démarche
je suis très content pour la rapidité et la présentation </t>
  </si>
  <si>
    <t>20/09/2021</t>
  </si>
  <si>
    <t>thomas95-56822</t>
  </si>
  <si>
    <t>Assurance a fuire absolument !!!! J'ai voulu bénéficier de mon pack assistance mécanique que je paye tous les mois. J'appelle le service client pour savoir comment procéder, on m'explique qu'il faut déposer la voiture dans un garage avec une remorque donc moi j'explique que ma voiture roule encore et si je suis obligé de quand meme appeler une remorque on me dit que non deposer la voiture et vous n'avez qu'a transmettre vos informations au garage pour qu'il prenne contact avec eux pour la mise en place de la garantie. Et a ma grande surprise Eurofil refuse la prise en charge car ce n'est pas une remorque qui a deposer ma
Voiture. Malgré mon appel pour leurs dire que c'est eux qui m'avait donner de fausses informations il n'ont rien voulu savoir!!! Bref fuyez!!!!!</t>
  </si>
  <si>
    <t>mimi560-87740</t>
  </si>
  <si>
    <t xml:space="preserve">Comme d'autres avant moi j'ai été démarché au téléphone par des conseillers et abusé. Ces personnages (pour rester poli) exercent sous le nom de MMI courtage et sont mandatés par NEOLIANE SANTE. Par des méthodes scandaleuses et indignes sur lesquelles je ne m'étendrai pas sur ce forum, ils arrivent à vous extirper votre N° IBAN et à produire une signature électronique au nom de NEOLIANE pour vous prélever des sommes d'argent à votre insu. Avant même avoir raccroché, je me suis rendu compte de la supercherie. Le personnage indélicat que j'avais en ligne a fini par me faire comprendre qu'il venait de remplir une bulletin d'adhésion en ligne en mon nom. Il m'a indiqué que j'allai recevoir un contrat d'adhésion et que pourrai me rétracter facilement dans les 14 jours qui suivraient. J'ai attendu plus d'une semaine avant de recevoir un pli de la part de NEOLIANE.
Bien entendu dés réception, j'ai tout de suite fait valoir mon droit de rétractation par courrier recommandé à NEOLIANE et à MMI courtage. J'ai également fait copie de mes courriers par E-mail à l'adresse indiquée sur l'offre reçue par courrier: neolianne@owliance.com.
Deux jours plus tard, mon facteur est venu vers moi avec le courrier envoyé à MMI courtage en m'indiquant que le destinataire était inconnu à l'adresse mentionnée. Cette adresse était pourtant celle qui était portée sur le bulletin d'adhésion de NEOLIANE. J'ai alors vérifié l'adresse de NEOLIANE sur internet et là encore je suis tombé des nu. L'adresse internet ne correspondait pas à celle indiquée sur le bulletin d'adhésion. Le site résilier.fr indique une adresse à Nice alors que le bulletin d'adhésion mentionne une adresse sous forme de boite postale (sans autre indications) à Muret.
A plusieurs reprises, j'ai essayé de joindre NEOLIANE par téléphone au numéro indiqué sur le bulletin d'adhésion: aucune réponse. En revanche, je suis harcelé (le mot n'est pas trop fort) sur mon portable par un numéro niçois qui correspond à un des numéros utilisés par NEOLIANE. Quand je décroche, aucune réponse ! A force j'ai fini par ne plus y répondre. Des appels juste pour prouver ma mauvaise foi ? Peut-être. J'ai donc à nouveau repris ma plume et envoyé mon courrier de résiliation sous pli recommandé à l'adresse niçoise. Une copie a été envoyé à l'adresse mail reclamation@neoliane.fr. Tout cela s'est fait en moins de 14 jours.
 Je n'ai pour l'instant reçu aucune réponse et je n'en attendais d'ailleurs pas vu les efforts manifestes entrepris par NEOLIANE et son courtier pour brouiller les pistes. Je dépense de l'argent pour des recommandés et passe un temps fou à chercher des coordonnées valides pour faire valoir mon droit de rétractation. A mon sens tous les moyens sont mis en œuvre délibérément pour que les démarches de résiliation n'arrivent pas dans les délais impartis. 
Je demande donc à NEOLIANE de m'envoyer un courrier dans lequel la société prend acte de ma rétractation. Sur les conseils de mon avocat et excédé par cette communication volontairement faussée , j'irai porter plainte si NEOLIANE ne me répond pas avant le délais des 14 jours.
</t>
  </si>
  <si>
    <t>jean-philippe-p-109576</t>
  </si>
  <si>
    <t>Je suis satisfait du service, l'assurance a été rapidement mise en place et les tarifs sont plutôt corrects. J'aurais tout de même préféré envoyer les documents avant le règlement...</t>
  </si>
  <si>
    <t>jerome-g-123534</t>
  </si>
  <si>
    <t>Tarif correct avec de bonnes garanties. Pas encore eu besoin des services de l'assurance depuis ma souscription, tout va bien. L'actualisation du contrat par internet ne fonctionne pas.</t>
  </si>
  <si>
    <t>adrien-g-112065</t>
  </si>
  <si>
    <t>le service est bon et repond a nos attentes lors nottament d une discution telephonique.
le prix de mon assurance vehicule etant seulement au tiers , est bien trop elevée</t>
  </si>
  <si>
    <t>vince-80449</t>
  </si>
  <si>
    <t>sinistre dégâts des eaux datant de mai 2019, impossible de relouer mon appartement depuis 5 mois, échéances mensuelles du prêt fait au CMUT de 900euros n'ont pas été reportées malgré ma demande, perte de loyers non prise en compte, devis inexistants, expertise mal faite etc. découvert chaque mois de plus en plus important car mon assureur n'assume pas ses responsabilités</t>
  </si>
  <si>
    <t>27/10/2019</t>
  </si>
  <si>
    <t>ahmed-versailles-94284</t>
  </si>
  <si>
    <t>Le service client compétent, à l'écoute avec des tarifs très attractifs. Mon ancien assureur me faisait payer un prix exorbitant pour une voiture vieille de 15ans. J'ai réussi avec eux à réduire ma cotisation pour mon nouveau véhicule (qui est de surcroit neuf) et qui vaut dix fois plus le prix de mon ancien véhicule.</t>
  </si>
  <si>
    <t>16/07/2020</t>
  </si>
  <si>
    <t>tess-139075</t>
  </si>
  <si>
    <t xml:space="preserve">J'ai reçus un appel tel ce jour ,un conseille complètement stresse et empressé qui m'indique que ma banque n'a pas validé mes assurances de la il me demande de confirme mon RIB et me demande le code d'activation 
Dans la précipitation étant dans la rue je le reprend car je le trouve très directif et autoritaire d'où le  doute .
Il m'indique qu'une collègue va me tel pour confirme la validation 
J'appelle donc rapidement mon conseiller en banque pour lui faire part du doute de la démarche et celui-ci me dis qu'il n'y a aucuns compte décrit  
Méfiez vous de leur démarche téléphonique 
il je nous laisse pas le temps de réagir prise sur le fait et enchaîne sur leur lecture de vente  forcing confirme vous n'avez pas le temps de comprendre  
Vous signe et vous vous retrouvé avec des contrats souscrit alors que vous en avez déjà ailleurs .
Ils disent que vos contrat ne sont pas validé ou activé gros mensonge 
La sois disante conseillère qui m'a recontacté après m'a confirmé l'annulation des contrat a suivre </t>
  </si>
  <si>
    <t>ilgenmann-l-110279</t>
  </si>
  <si>
    <t>Je suis très satisfait du service et du prix , en espérant obtenir un meilleur prix l'année prochaine . merci a vous très bonne accueille téléphonique !</t>
  </si>
  <si>
    <t>jobiker-105121</t>
  </si>
  <si>
    <t xml:space="preserve">Je suis plus que déçue du service d'ALLIANZ !!! 
J'ai souscrit à une assurance en janvier et j'ai fournis tout les documents, deux fois.
ils ont résilier mon contrat depuis le 22 février pour défaut de justificatif, et je ne l'ai su qu'hier, c’est scandaleux !!! 
personne ne peut me donner de réponse quand j'appelle. On m'as dit "ca peut arriver parce que nous avons beaucoup de client" IL FAUT SAVOIR ASSUMER SES CLIENTS
Et si j'avais eu un accident ? </t>
  </si>
  <si>
    <t>quinquin-136715</t>
  </si>
  <si>
    <t>Je déconseille fortement cette compagnie d'assurance pour plusieurs raisons:
- sur le relevé d'information seul le bonus moto est retenu contrairement à la concurrence qui se base sur le bonus auto si celui-ci est meilleur
-augmentation de la cotisation par 3 suite à un changement de moto de même marque mais modèle plus récent, soit 200 euros plus chère que la concurrence
-une résiliation de contrat que je n'ai pas demandé (certainement une erreur informatique...)</t>
  </si>
  <si>
    <t>mariam--108526</t>
  </si>
  <si>
    <t xml:space="preserve">Très  insatisfaite de harmonie mutuelle,  les remboursements peinent à arriver et encore, il faut fournir toujours des justificatifs dont elle a accès mais ne fait aucun effort. Demande toujours des factures acquittées et des factures  détaillées. En gros je dois payer leurs échéances et en même temps m'acquitter des factures de soins. Hâte de voir ailleurs. </t>
  </si>
  <si>
    <t>richard-r-115997</t>
  </si>
  <si>
    <t xml:space="preserve">Conseillé très sympas, par contre a chaque appel une demande satisfaction clientèle qui a la longue peut être énervant. Sinon dans l'ensemble satisfait pour l'instant.
Merci                              </t>
  </si>
  <si>
    <t>deborah-93922</t>
  </si>
  <si>
    <t xml:space="preserve">Je suis satisfaite du service, je ne suis pas tout à fait satisfaite du prix
Je souhaite voir pour assurer les 4 véhicules chez vous, mon conjoint étant assuré chez vous et très sastisfait </t>
  </si>
  <si>
    <t>beche-s-130771</t>
  </si>
  <si>
    <t xml:space="preserve">simple et pratique je suis satisfais de la rapidité de réaction des conseillées. 
les prix sont attractif ainsi que les prestations proposer par l'olivier assurance.  </t>
  </si>
  <si>
    <t>domi-111402</t>
  </si>
  <si>
    <t>Un grand merci à Pape qui a répondu avec efficacité à ma demande.
Très courtois au téléphone, aimable, il a su gérer mon dossier avec rapidité. Bonne journée.</t>
  </si>
  <si>
    <t>virginie-d-112528</t>
  </si>
  <si>
    <t>simple et pratique , j'ai souscrit en ligne de façon très rapide et sans difficultés majeures.
j'attends de voir la suite du traitement de mon dossier.</t>
  </si>
  <si>
    <t>tom-103912</t>
  </si>
  <si>
    <t>Les publicités qui passe a la tv sont des mensonges, il y a personnes pour vous écouter ou accompagner.
Les seules fois ou j'ai essayer de les contacter pour savoir ou en ais mon dossier pour un sinistre auto, je me fais remballer comme une m***e, excusez moi pour ce terme mais c'est le sentiments que j'ai eu.
Cela fais 2 semaines.
J'appelle un numéro expert joint dans un mail.
Et la au bout d'insistance pour que une personne décroche, une femme nathalie me répond un peu sec sans bonjour.
Oui la politesse c'est pas donner a tout le monde malheureusement.
J'explique la situation et la elle me stoppe en disant que ce probleme ne lui concerne pas et que pour le moment c'est en cours d'examination et elle décroche en répondant vaguement a mes questions, je suis rester sans voix aprés ça!!!!!
On se sent accuser pour des crimes non commises.
Moi qui suis une personne anxieux, ça me donne pas envie de les recontacter pour l'avancement qui sûrement sera une personne différente a expliquer le problème, si elle veut bien.   
Il y a pas cette proximité comme mon ancien assureur avec des gens aimable et a l'écoute et en physique. 
Une fois cette histoire fini, je retourne a mon ancien assureur
De mon avis personnel, je vous déconseille, c'est comme prendre une assurance en ligne avec personne a votre écoute</t>
  </si>
  <si>
    <t>druzicka86-72447</t>
  </si>
  <si>
    <t>ancien client nexx 2010 a 2017 puis maaf 2017 a 2019, 2 sinistres NR et tous pris en charge! pret de voiture pendant 6 mois, rien a dire, le top au niveau garantie et meme dans les pays de l'est.
Sauf que suite a la vente de ma mondeo il refuse de me reprendre!...je suis triste</t>
  </si>
  <si>
    <t>chantal-g-137470</t>
  </si>
  <si>
    <t>JE SUIS ASSEZ SATISFAITE RAPIDITE SIMPLICITE TARIF PLUTOT MOYEN;
toUT EST PLUS BIEN EXPLIUQUE ET COMPREHENSIBLE
VOILA C EST TOUT CE QUE J AI A DIRE MERCI</t>
  </si>
  <si>
    <t>patrick-104983</t>
  </si>
  <si>
    <t>Mutuelle d'assurance qui n'est pas à l'écoute de sa clientèle. Fortement déçu alors que j'étais chez eux depuis 40 ans , je me vois dans l'obligation de les quitter avec regret.</t>
  </si>
  <si>
    <t>lantoine-c-110988</t>
  </si>
  <si>
    <t>Je trouve que l'olivier assurance est :
- Rapidité pour avoir un devis,
- Retour assez rapide,
- Tarif très attractif,
- Service de qualité,
- Délai de réponse rapide</t>
  </si>
  <si>
    <t>pavinou-69844</t>
  </si>
  <si>
    <t xml:space="preserve">Très mauvais placement de ma part avec un rendement négatif pour l'année 2018 de -7,4% sur un mandat défensif en gestion pilotée!!
Je déconseillerai sans réserve ce produit surexposé en termes de publicités. </t>
  </si>
  <si>
    <t>03/01/2019</t>
  </si>
  <si>
    <t>luc-i-124155</t>
  </si>
  <si>
    <t xml:space="preserve">JE SUIS SATISFAIT DU SERVICE SIMPLE ET PRATIQUE LES TARIFS D ASSURANCE SONT CORRECT LA COMMUNICATION EST TRES BONNE                                   </t>
  </si>
  <si>
    <t>21/07/2021</t>
  </si>
  <si>
    <t>radidja-b-108512</t>
  </si>
  <si>
    <t>J'attends de voir les offres exceptionnelles tant promises. J'attends de voir les offres qui peuvent me faire changer d'avis à l'avenir. Bref pas d'avis favorable pour l'instant</t>
  </si>
  <si>
    <t>laurene-86372</t>
  </si>
  <si>
    <t>Nous avons souscrit un contrat Equilibre pour deux personnes. Progressivement, des remboursements ont tardé à arriver, voire n'ont plus eu lieu pour certains dépassements d'honoraires (ophtalmo), alors que nous avions choisi cette formule car elle nous les remboursait. Il nous fallait sans cesse garder un oeil sur nos dépenses et nos remboursements. La cerise sur le gâteau a été lorsque nous avons décidé de partir en novembre dernier, bénéficiant d'une mutuelle d'entreprise à caractère familial et obligatoire. La MGEN, malgré nos nombreuses relances, n'a jamais annulé la télétransmission Noémie, empêchant notre mutuelle actuelle de nous rembourser nos soins. Deux mois plus tard, il nous a fallu téléphoner directement à la Sécurité sociale pour qu'elle force l'arrêt de la télétransmission. Au passage, 135 euros de cotisation ont été prélevés sur notre compte pour le mois de décembre et ne nous ont toujours pas été remboursés, malgré nos nombreuses réclamations. Mutuelle à fuir.</t>
  </si>
  <si>
    <t>27/01/2020</t>
  </si>
  <si>
    <t>tanguy-b-131474</t>
  </si>
  <si>
    <t xml:space="preserve">etapes très simples à suivre, prix ultra compétitifs ! Merci de me sauver des griffes de Groupama qui même après 11 ans chez eux sans aucun incident sur mon véhicule, me prennent 24€/mois pour moins de 8000km/an. </t>
  </si>
  <si>
    <t>micbric-99457</t>
  </si>
  <si>
    <t>Suite à une erreur du conseiller clientèle je me retrouve avec 2 contrats d'assurance pour ma maison.Une au nom de la Sci et une en mon nom propre.
Malgré des dizaines d'échanges par téléphone et mails la Macif ne veut pas reconnaitre son erreur , ni supprimer un de mes deux contrats et encore moins me rembourser !
Ma seule solution est de supprimer tous mes contrats et compte bancaire chez la Macif et de faire appel à un médiateur.
Voila la solidarité de la " Mutuelle" Macif....</t>
  </si>
  <si>
    <t>31/10/2020</t>
  </si>
  <si>
    <t>phine-123575</t>
  </si>
  <si>
    <t xml:space="preserve">Désolant après avoir été adhérente depuis plus de 10 ans résilier car 4 sinistre en de 2016 à 2020 dont 2 non responsable 
Je ne trouve pas cela juste et la fidélité et les annees sans sinistre ne comptent pas hélas </t>
  </si>
  <si>
    <t>sonia-78716</t>
  </si>
  <si>
    <t>Mon compagnon s'est assuré chez l'olivier la semaine passée au telephone avec les commerciaux tout est possible. le matin il appelle pour effectuer la souscription sur un véhicule que l'on devait acheter le soir, une heure après il decide de se rétracter sauf que entre temps il a donné son numéro de carte, l'assurance le débite directement de 250.00 euros, il envoi une lettre de rétractation n'ayant pas acheté le véhicule. Il a envoyé lARC la semaine passée etant dans le delai legal de retractation à ce jour par de nouvelle hormis le debit sur son compte et lorsqu'il a appelé afin de savoir comment se passe le remboursement la conseillère lui a indiqué qu'il y aurait des frais lié a la résiliation alors que c'est une rétractation  le véhicule n'était meme pas en notre possession aucun contrat signé!!!!.cela ne les a pas empêché de débiter son compte malgré tout. C'est lamentable service client deplorable, je comptai mettre mes 2 véhicules à la rentrée chez eux mais après cet episode c'est hors de question. je les avais recommandé pour le prix. Mais a fuir ! j'ai fait appel à ma protection juridique il y a des lois qui encadrent les consommateurs je ne laisserai pas passer cela, ils savent te rappeler dans la minute pour la souscription en revanche pour avoir des explications sur le remboursement de la somme débitée sans avoir signé aucun contrat par voie dematerialisée somme importante de surcroit toujours pas de nouvelles</t>
  </si>
  <si>
    <t>27/08/2019</t>
  </si>
  <si>
    <t>jean-francois-t-117801</t>
  </si>
  <si>
    <t>une assurance moto rapport qualité prix intéressante !
J'ai un ami qui est assuré chez vous et il m'a conseillé de faire un devis pour ma prochaine moto, chose faite !</t>
  </si>
  <si>
    <t>22/06/2021</t>
  </si>
  <si>
    <t>demaz-79136</t>
  </si>
  <si>
    <t>Fuyez 
Les démarches pour s inscrire sont faciles les paiements d autant plus rapides 
Par contre j avais un scooter d'une valeur de 3000euros prouvée et ils ne veulent m indemniser que 800euros Bien entendu contesté je n ai plus de nouvelles depuis plus de 3 mois L assurance n est pas adhérente à la médiation d assurance donc vous pouvez toujours courir si quelconque décision ne vous plait pas
Sinistre en février toujours pas remboursé en septembre</t>
  </si>
  <si>
    <t>steve-b-114607</t>
  </si>
  <si>
    <t>Je suis tres satisfait du service client. Personnel agreable et qui prend le temps de nous conseiller, ce qui est fort appreciable.
La seule chose qui est dommage c'est qu'il n'y ait pas d'application ...</t>
  </si>
  <si>
    <t>al-66800</t>
  </si>
  <si>
    <t xml:space="preserve">J'ai souscrit un contrat auto chez active assurance, depuis j'ai envoyé les papiers demandés afin de finaliser, mais ils refusent un relevé de situation parfaitement valable pour on ne sait quelle raison. depuis impossible de se connecter sur l'accès client </t>
  </si>
  <si>
    <t>12/09/2018</t>
  </si>
  <si>
    <t>bece973-56484</t>
  </si>
  <si>
    <t>Il ne faut surtout pas avoir de problème car ils n'hésitent pas à vous enfoncer au lieu de vous défendre.</t>
  </si>
  <si>
    <t>04/08/2017</t>
  </si>
  <si>
    <t>cabalero-79968</t>
  </si>
  <si>
    <t>Nouveau client chez vous, très satisfait du service client au téléphone j'ai eu comme conseillère Ikram super sympathique, aimable, à l'écoute du problème rien à redire.</t>
  </si>
  <si>
    <t>de-oliviera-m-109985</t>
  </si>
  <si>
    <t>Je suis satisfait du prix et de l’accueil par téléphone, je conseillerais l’olivier assurance à mon entourage et surtout à mes proches.je suis désolé du retard de la signature de mon contrat.</t>
  </si>
  <si>
    <t>11/04/2021</t>
  </si>
  <si>
    <t>paga-108062</t>
  </si>
  <si>
    <t xml:space="preserve">Très déçu du service sinistre de la Macif malgré plusieurs relances ma demande n’est pas traitée je déconseille .
Le prix est avantageux mais manque de professionnalisme dans les réponses </t>
  </si>
  <si>
    <t>bardouni-s-123139</t>
  </si>
  <si>
    <t>Je suis saisfait de l'accueil téléphone et du conseil que j'ai reçu par téléphone
Documents reçus rapidement par email, tout est ok.
Prix correct et vite assuré</t>
  </si>
  <si>
    <t>12/07/2021</t>
  </si>
  <si>
    <t>nordine-z-130382</t>
  </si>
  <si>
    <t xml:space="preserve">je suis satsfais de ces prestations et du prix que vous proposez mais pour l instand je suis un nouveau client a voir plus tard dans la duree merci de votre servce </t>
  </si>
  <si>
    <t>boney-104673</t>
  </si>
  <si>
    <t>Très bon accueil téléphonique et réponses claires et sans ambiguïtés. Le délai d'attente parfois long est compensé par une proposition de rappel automatique. Top</t>
  </si>
  <si>
    <t>23/02/2021</t>
  </si>
  <si>
    <t>maryon20-80607</t>
  </si>
  <si>
    <t>Assurance au top! Meilleur contrat sur le marché! J'ai utilisé l'assistante, ils sont vraiment serviables et agréables. Toujours quelqu'un pour répondre à mes questions. Personnel qualifié.</t>
  </si>
  <si>
    <t>31/10/2019</t>
  </si>
  <si>
    <t>caron-j-117761</t>
  </si>
  <si>
    <t>A la suite d'un devis fait sur internet, l'équipe commerciale a été réactive et attentive. Les prix défient toute concurrence. Les démarches sont simplifiées via internet. Jusqu'ici, tout est parfait.</t>
  </si>
  <si>
    <t>lahyene78-77415</t>
  </si>
  <si>
    <t>Vous êtes au top rapidité et efficacité sont vos maîtres mots, e vous en remercie</t>
  </si>
  <si>
    <t>08/07/2019</t>
  </si>
  <si>
    <t>stephen-l-137730</t>
  </si>
  <si>
    <t>La souscription de mon contrat de ma complémentaire santé chez April a été très simple: pratique, rapide à réaliser et parfaitement adapté à mes besoins. C'est positif.</t>
  </si>
  <si>
    <t>eric42-65394</t>
  </si>
  <si>
    <t>Suite à accident je n'ai pas pu faire appel à l'assistance vu que j’étais pris en charge par les pompiers
Donc la gendarmerie à fait appel a leur dépanneur pour enlever ma moto.Pour la récupérer j'ai avancé les frais de dépannage qui doivent être prendre en charge par l'assistance et la 2 mois après avoir envoyer la facture tjrs pas de remboursement malgré les multiples relance.Amv c'est l'assistance qui doit payer nous les relançons et le même discours depuis 2 mois</t>
  </si>
  <si>
    <t>10/07/2018</t>
  </si>
  <si>
    <t>garcia-a-124462</t>
  </si>
  <si>
    <t xml:space="preserve">je suis satisfait, rapidité et efficacité du devis au contrat/.en outre des prix tres compétitifs et un accueil des plus agréable.
je recommanderai l olivier a mes amis
</t>
  </si>
  <si>
    <t>silvia-marcela-j-132476</t>
  </si>
  <si>
    <t>En tant que conducteur secondaire, Direct Assurance a été un très bon choix, maintenant je suis contente avec ma première voiture et une assurance fiable et pratique !</t>
  </si>
  <si>
    <t>kleven-69536</t>
  </si>
  <si>
    <t xml:space="preserve">ah là pas du tout satisfait, j'ai l'impression que plus tu te fidélise avec direct Assurance plus ta facture devient amère, de 55 euros a ma première souscription apres 2 ans je suis à plus de 67 euros </t>
  </si>
  <si>
    <t>19/12/2018</t>
  </si>
  <si>
    <t>carvalho-macedo-gomes-a-126654</t>
  </si>
  <si>
    <t>Je suis satisfait du service.
Niveau prix je pensais avoir meilleur prix que ça mais content comme même.
Deux voitures sur 3 chez L'olivier Assurance ça méritait un meilleur contrat.</t>
  </si>
  <si>
    <t>ostma-61024</t>
  </si>
  <si>
    <t xml:space="preserve">A fuir absolument ! J’ai souscrit à cette mutuelle suite à une site de comparaison de mutuelles. J’ai voulu me rétracter dans le délai, ayant pris la décision trop vite, mais la: impossible!! A chaque fois ils trouvent quelque chose que j’aurais du faire en plus pour manifester ma volonté de les quitter. J’ai bloqué les prélèvements mais rien n’y fait...!!!! Je deviens désespérée, je n’en peux pas payer deux mutuelles!!! </t>
  </si>
  <si>
    <t>lolo-85287</t>
  </si>
  <si>
    <t>Quelle kata ! Des cotisations qui s'envolent et des soins de moins en moins bien remboursés. Aucune réactivité, 15 jours pour une réponse par mail... j'envoie une lettre de résiliation en bonne et due forme et pas de réponse... ni au téléphone, ni par mail, ni en agence !</t>
  </si>
  <si>
    <t>27/12/2019</t>
  </si>
  <si>
    <t>lolo67-64943</t>
  </si>
  <si>
    <t xml:space="preserve">apres un sinistre qui a mis 6 mois a être statué j ai exprimé un billet d'humeur  au service sinistre qui s'occupe du dossier de ma fille et 30 minutes plus tard elle a été sanctionné par un mail  statuant mon sinistre sur un 50/50 avec le tiers qui lui a causé le sinistre dont ma fille n'etait pas en tort!! bravo! pour une assurance qui doit défendre les intérêts des adhérents c'est scandaleux! assureur incompétent ! et peu scrupuleux!
</t>
  </si>
  <si>
    <t>20/06/2018</t>
  </si>
  <si>
    <t>anne-94624</t>
  </si>
  <si>
    <t>RAS pour le moment mais 
Je regrette de ne pas pouvoir voir tout de suite le devis et notamment les conditions de Bros de glace (franchisé ou pas).........</t>
  </si>
  <si>
    <t>20/07/2020</t>
  </si>
  <si>
    <t>kev-56882</t>
  </si>
  <si>
    <t>C'est un assurance qui met du temps à vous rembourser et vous croule sous la paperasse avant de pouvoir vous rembourser même lors d'un sinistre non responsable.</t>
  </si>
  <si>
    <t>25/08/2017</t>
  </si>
  <si>
    <t>riberot-bariolade-s-112124</t>
  </si>
  <si>
    <t>je suis satisfaite du service tres bon rapport qualite prix et tres simple d utilisation  .
nous pensons assurer nos autres vehicules ainsi que notre logement .</t>
  </si>
  <si>
    <t>audrey-h-116031</t>
  </si>
  <si>
    <t>je suis très satisfeste du service client avec les prestation de service proposer au client et l'accompagnement pour trouver les solution relative à nos demande</t>
  </si>
  <si>
    <t>antolinos-j-115391</t>
  </si>
  <si>
    <t>adhésion rapide, simple et claire.
Accueil téléphonique rapide et efficace, information claire, tarif toujours trop élevé mais compétitif. 
Je ne vois pas ce que je peux dire de plus.</t>
  </si>
  <si>
    <t>Nous avons eu 2 sinistres : un dégât des eaux et un appareil ménager endommagé par la foudre et nous n'avons eu aucun problème avec l'assurance. Un seul bémol pour nous, c'est que n'étant pas client de la banque en dehors de l'assurance d'habitation, nous ne pouvons avoir d'espace client sur internet.</t>
  </si>
  <si>
    <t>jeanne-t-125857</t>
  </si>
  <si>
    <t>Souscription facile et rapide, minoration de la note car trop de relances téléphoniques. Pour ma part, j'aime prendre le temps de réfléchir SEULE avant de m'engager.</t>
  </si>
  <si>
    <t>kari-93759</t>
  </si>
  <si>
    <t>Les prix chez direct ont tendance à augmenter t ne sont plus compétitifs. Le service en ligne est très bon et les conseillers sont très affables.  Par contre, l'espace personnel n'est pas réactualisé régulièrement on se retrouve avec des devis d' il y a 2 ou 3 ans et qui sont toujours  affichés..</t>
  </si>
  <si>
    <t>10/07/2020</t>
  </si>
  <si>
    <t>dou974-49480</t>
  </si>
  <si>
    <t>Bonjour je souhaiterais savoir si vous avez un numéro sur le quel je peux vous joindre à partir de la réunion ! Car le 0892020423 ne fonctionne pas. Merci d'avance                     .
                                         .    
.
.
.
.
.
.
.
.
.</t>
  </si>
  <si>
    <t>23/11/2016</t>
  </si>
  <si>
    <t>ludovic-v-133293</t>
  </si>
  <si>
    <t>Simple et rapide par contre rajouter bris glace et réduire la franchise
Coute bien plus de 100€.sinon site de bonne facture et conseiller
Très réactif.</t>
  </si>
  <si>
    <t>papa-68012</t>
  </si>
  <si>
    <t>trés bonne compagnie . personnel a l'ecoute reponse rapide .assistance trés reactive et surtout efficace .pneu eclater voiture immobiliser . depaner 30MN aprés</t>
  </si>
  <si>
    <t>24/10/2018</t>
  </si>
  <si>
    <t>nad-128373</t>
  </si>
  <si>
    <t>J'ai changé il y a deux ans de mutuelle pour souscrire à la MGP. J'ai obtenu un prix de cotisation inférieur à celui que je payais précédemment pour une couverture santé similaire.
Les remboursements sont très rapides après transmission par la Sécurité Sociale.</t>
  </si>
  <si>
    <t>smain-65123</t>
  </si>
  <si>
    <t>Depuis le 13/06 j'essaie de contacter direct assurance par téléphone, mail, whatsapp mais on me dit que toutes les lignes sont prises dû au intempérie.
J'ai envoyé plusieurs mails via le site internet, des fois je reçois des mails de confirmation et des fois rien.
Quand je reçois des mails de confirmation que mes messages sont bien passé, on me dit qu'on va me contacter sous 24h mais on ne m'a jamais rappelé 10j plus tard.
Aujourd'hui gros RAS LE BOL, assurance injoignable, je regrette d'avoir souscrit à une assurance en ligne, j'avais une crainte de joindre personne quand j'ai souscrit, ma crainte vient d'être confirmer.
Je n'en peux plus, on fait tout pour que je ne sois pas pris en charge, depuis 2 semaine j'ai eu aucun conseillé qui m'a contacté ou répondu malgré mais messages, mails et appels.
A FUIRE!!!!!</t>
  </si>
  <si>
    <t>28/06/2018</t>
  </si>
  <si>
    <t>steppi-71563</t>
  </si>
  <si>
    <t>Un Assurance pas sérieux, je signe contrat chez April Moto et jusqu'à aujourd'hui hui je ne pas reçu ma carte verte, il ya toujours quelques choses qui manque et chaque fois dans 10 jours, définitivement pas sérieux</t>
  </si>
  <si>
    <t>22/02/2019</t>
  </si>
  <si>
    <t>jbb-139676</t>
  </si>
  <si>
    <t xml:space="preserve">Les remboursements sont inexistants 
Heureusement qu'il y a la sécurité sociale 
Je déconseille cette mutuelle 
Je suis en catégorie 3 et pour plus de 2000 euros par ans c'est ce que nous payons il vaut mieux ne pas s'assurer 
J'ai eu a peine 500€ de remboursement dans l'année pour moi et mon épouse .
Les mutuelles font du fric sur le dos des assurés c'est pourquoi il y en a tant !
</t>
  </si>
  <si>
    <t>loic-86726</t>
  </si>
  <si>
    <t>Suite a l envoi de 2 recommandés de demande de résiliation, ils n ont pas pris en compte l un des deux et j ai du payé l assurance d un appartement que je n habitais plus pour l année.
J avais deja assuré le nouveau et maintenant ils ont résilié mon contrat pour manque de paiement en Janvier (sans aucun avertissement!) cependant je dois tout de même payé la cotisation pour l année 2020! Aucun moyen de régler le problème a l amiable avec leurs service client basé en Afrique du nord.
A FUIR A TOUT PRIX!</t>
  </si>
  <si>
    <t>romain-r-137659</t>
  </si>
  <si>
    <t>Je suis satisfait du service les prix me convient je serai ravi d’en parler à mes amis Et de leur expliquer que c’est assurance est l’une des plus faciles que j’ai vu sur Internet je vous remercie de votre part de votre professionnalisme</t>
  </si>
  <si>
    <t>mederic-b-123058</t>
  </si>
  <si>
    <t>Rapide efficace, pas cher, a voir ce que ca donne dans le futur niveau assurance
Sachant que je vais bientôt déménager aussi je verrais si les demarches sont simples ou non</t>
  </si>
  <si>
    <t>ysold-112852</t>
  </si>
  <si>
    <t xml:space="preserve">J'ai un contrat Véhicule Tout Risque pour une voiture , et un contrat Multirisque Habitation pour mon habitation principale dans le 92 et un appartement de vacance à Cannes.
Cette assurance est chère mais sérieuse
Je roule peu et je regrette que le prix payé n'en tienne pas compte </t>
  </si>
  <si>
    <t>mapomme78-131310</t>
  </si>
  <si>
    <t>Excellent contact initial, on m’a vendu du rêve et surtout des mensonges ! Quand j’ai eu besoin de me faire rembourser une partie des frais de soins pour mon chien, il est apparu un délai de carence pour ceci, un refus pour cela et je n’ai été remboursé de rien.
FUYEZ LES</t>
  </si>
  <si>
    <t>caline-65473</t>
  </si>
  <si>
    <t xml:space="preserve">Je déconseille fortement AFI.
J'ai signé une complémentaire santé ( hospitalisation)fin février 2018. Signature électronique 01/03/2018.
La conseillère me dit alors qu'il y a un mois de carence et que l'assurance prendra effet le 1/04/2018.
J'ai été hospitalisé un jour (26/04 au 27/04).
Le centre hospitalier m'envoie une lettre me disant que l'assurance refuse de prendre en charge cette hospitalisation car j'étais en période d'attente.
Le mois de mars n'est pas pris en compte et c'est le mois d'avril qui est pris en compte . Donc j'ai payé 1 mois pour rien 
Merci AFI 
</t>
  </si>
  <si>
    <t>13/07/2018</t>
  </si>
  <si>
    <t>guy-f-116822</t>
  </si>
  <si>
    <t>Satisfait de vos services.
Prêt a les recommander.
J'ai déja rempli ce document une fois ,il ne m'est très compliqué a le refaire.
En vous en souhaitant bonne réception</t>
  </si>
  <si>
    <t>abdul-t-112745</t>
  </si>
  <si>
    <t xml:space="preserve">Satisfait de l ouverture du dossier mais frais de transfert eleve 183 euro pour une échéance a 65 euros c est dur si possibilité d avoir un remboursement se serait le bienvenue </t>
  </si>
  <si>
    <t>denis-l-122484</t>
  </si>
  <si>
    <t>Compliqué pour finaliser le contrat
on reçoit un mail sans explications
bon service client au téléphone
tarifs corrects
rien de plus..................</t>
  </si>
  <si>
    <t>samira-b-112173</t>
  </si>
  <si>
    <t>super réactivités des services contacter.Bonne prise en charge. très rapide.
demande de souscription en ligne effectué avec une personne sur le chat.
Très bon service client je recommande</t>
  </si>
  <si>
    <t>gustave-d-124369</t>
  </si>
  <si>
    <t>Tres simple et intuitif lors de l'inscription sur le site. tarifs abordables et tout est clair. A voir sur le long termes mais pour l'instant sa commence tres bien.</t>
  </si>
  <si>
    <t>j2m-78248</t>
  </si>
  <si>
    <t>gmf !! à part nous dire "" votre sinistre ne peut pas être pris en charge"" et augmenter chaque année de 10.1 à 15.3% la cotisation, vous servez à quoi, en fait ?
Toutes ces assurances forment une bulle très opaque, constituée d'individus injoignables et formés pour vous manipuler et vous obliger à abandonner les démarches. A fuir sans hésiter, GMF en tête !</t>
  </si>
  <si>
    <t>08/08/2019</t>
  </si>
  <si>
    <t>erika-s-129417</t>
  </si>
  <si>
    <t xml:space="preserve">SIMPLE D UTILISATION  ET AGREABLE FACILE ET BIEN EXPLIQUER SUITE AU EXPLICATION TELEPHONIQUE JESPERE RECEVOIR MON ASSURANCE ROUR ROULER EN TOUTE SECURITER </t>
  </si>
  <si>
    <t>zabrodskaya-t-110232</t>
  </si>
  <si>
    <t xml:space="preserve">Le site est bien fait, le service au telephone a laissé une agreable impression,
les prix ne sont pas les plus bas, mais n'exedent pas la concurence,
 on verra a la longue... </t>
  </si>
  <si>
    <t>kiki-75170</t>
  </si>
  <si>
    <t xml:space="preserve">j'ai appelé service client pour un petit soucis, je suis tombé sur sami tres professionnelle et efficace, il m'a tres bien aidé , je suis tres satisfaite du service en général et de sami en particulier </t>
  </si>
  <si>
    <t>audrey-r-105431</t>
  </si>
  <si>
    <t>la conseillère était très sympathique au téléphone , prix raisonnable et attestation reçu rapidement !
je suis satisfaite et recommanderai avec plaisir votre assurance .</t>
  </si>
  <si>
    <t>meunier-j-124676</t>
  </si>
  <si>
    <t xml:space="preserve">Procedure Souscription contrat automobile simple , rapide et efficace , tarif attractif , merci a vous , cordialement Mr Meunier Jean-Jacques , merci à votre équipe.  </t>
  </si>
  <si>
    <t>collin-89141</t>
  </si>
  <si>
    <t xml:space="preserve">Très bonne assurance. Suite à sinistre tempête. </t>
  </si>
  <si>
    <t>25/04/2020</t>
  </si>
  <si>
    <t>marc-r-109297</t>
  </si>
  <si>
    <t>tres satisafait du tarif et des garanties tout va bien 
pourvue que le service soit à la hauteur en cas de problème 
les garanties ont l air au point</t>
  </si>
  <si>
    <t>caid-s-122439</t>
  </si>
  <si>
    <t xml:space="preserve">Je suis très satisfait du prix et du service je vous recommande cette assurance ils sont au top merci à vous bien à vous Monsieur Caid Samir merci beaucoup </t>
  </si>
  <si>
    <t>celine-m-125494</t>
  </si>
  <si>
    <t>difficile d'avoir un conseiller en ligne
la démarche en ligne est simple et rapide
prix compétitif mais informations claires
je ne sais pas si en raoutant des contrats, nous bénéficions d'une réduction ?</t>
  </si>
  <si>
    <t>roydgers06-104708</t>
  </si>
  <si>
    <t>Excellent accueil , toujours à l'écoute quelque soit la demande. A noter le grand professionnalisme du personnel toujours disponible. Temps d'attente téléphonique relativement court</t>
  </si>
  <si>
    <t>sab-89613</t>
  </si>
  <si>
    <t xml:space="preserve">Satisfaite du service, les prix restent élevés pour les jeunes 
mais service rapide tout de même et malgré cela vous restez les moins cher 
cordialement </t>
  </si>
  <si>
    <t>olivier--109289</t>
  </si>
  <si>
    <t>J'ai eu un sinistre début fevrier.
Je demande à être indemnise directement pour réparer le véhicule moi même. 
Le report d'expertise initial est de 2000€, comme je suis particulier il m'indemnise sur la base d un second rapport de 1537€.
Mais en plus il retirent la tva donc 1537€ - 299€ de franchise - la tva il me donne 962€.
Cherchez l'erreur il paye moins parce que je suis particulier mais il retiennent la tva comme un pro.
Je viens de les appeler il doivent me tenir au courant ?...</t>
  </si>
  <si>
    <t>couraye-p-126187</t>
  </si>
  <si>
    <t>très réactif et facile via le site internet, la hot line répond rapidement, et suite à plusieurs appels, j'ai toujours à faire à des personnes très agréables au téléphone</t>
  </si>
  <si>
    <t>enio-p-131534</t>
  </si>
  <si>
    <t xml:space="preserve">je suis très content. et je vais aussi ajouter ma deuxième voiture. merci pour la qualité de service que j'attends être au point et en ligne avec mes attentes. </t>
  </si>
  <si>
    <t>mumu-116451</t>
  </si>
  <si>
    <t xml:space="preserve">Assurance bien jusqu'au jour ou il vous arrive quelque chose pour mon dossier incendie qui a eu lieu en janvier et on est en juin je n arrive toujours a pas resilier mon contrat donc à être prélevé tout les mois car l expert n'a pas rédigé son rapport. Les conseiller qui vous disent que je vais être remboursé alors que  la gestionnaire dit le contraire. Franchement assurance a fuir. </t>
  </si>
  <si>
    <t>d-j-105471</t>
  </si>
  <si>
    <t xml:space="preserve">On me compte une majoration pour un sinistre alors que je suis la victime d'un chauffard. Je n'ai absolument pas été indemnisée depuis le 28/08. Pas efficace Direct assurance... </t>
  </si>
  <si>
    <t>maxime2542-55728</t>
  </si>
  <si>
    <t>Cela fait 6 mois que j ai souscrit mon contrat d'assurance et toujours pas de carte verte definitive  Je vois que le probleme est que reccurent dans cette compagnie ...
Envoi d au moins 7 mails et 5 appels et toujours rien  
Entre temps j ai assuré d autres vehicules ailleurs et j ai recu les cartes vertes definitives.
Num de contrat:
1080145834</t>
  </si>
  <si>
    <t>30/06/2017</t>
  </si>
  <si>
    <t>tony-106452</t>
  </si>
  <si>
    <t xml:space="preserve">Absolument dégouté a la reception de mon avis d'echeance 2021 ,18 % d'augmentation alors qu'avec le covid nous avons fait  2800 kms de moins avec 2 scooters assurés  J'avais d'ailleurs fait un courrier au printemps demandant une baisse de prime correspondant a une non utilisation forcée de nos scooter ,ma femme travaillant dans la restauration et n'ayant plus de travail  ...j'ai reçu un courrier fort peu courtois ;
Manifestement on se fout du monde a la mutuelle ,augmenter leurs tarifs dans une telle periode de 18 %   
je recherche une autre assurance de suite mais a mon avis ils se sont tous mis d'accord </t>
  </si>
  <si>
    <t>alidra-s-114150</t>
  </si>
  <si>
    <t>Service rapide, couverture satisfaisante, process simple et rapide. Le avis clients m'ont également beaucoup rassurée, cette assurance a l'air sérieuse</t>
  </si>
  <si>
    <t>bibou70-52900</t>
  </si>
  <si>
    <t>A fuir comme touts les assurances des qu il faut indemnisé un sinistre c est tout un programme on nous mènes tous simplement en bateau .Inondation avec intervention des pompier depuis le 31/01/2021 et dossier toujours au meme point .L'expert donne sont accord et comme le devis est trop élever pour eux il mandate un autre expert .Lamentable en attendant le parquet est tout gonflé les portes ne se ferme plus .Quand les échéances sont c est prélever c est bon mais quand sa doit aller dans l'autre sens c est lamentable .</t>
  </si>
  <si>
    <t>valentin-g-122430</t>
  </si>
  <si>
    <t>je suis satisfait du services proposé par April moto 
Leurs site est facile d'accès et d'utilisation ainsi que les prix sont correcte et devis simple et rapide</t>
  </si>
  <si>
    <t>c-h-117058</t>
  </si>
  <si>
    <t xml:space="preserve">Je ne recommande absolument cet compagnie d'assurances. 
Il faut suivre et vérifier tous les remboursements et cela fait un mois que je réclame le complément d'un soin dentaire sans succès , ni même un signe de vie à mes nombreux mails et courriers, je ne parle pas des appels téléphoniques, longs et fastidieux, qui restent bien sûr sans réponse. </t>
  </si>
  <si>
    <t>kayshou-64079</t>
  </si>
  <si>
    <t xml:space="preserve"> 3 ans que je suis chez direct assurance et ce sera la dernière. J'ai dû mettre une étoile car ce n'est pas possible de mettre zéro.
J'ai contacté direct assurance afin de passer en mensualisation et arrêter de payer en une fois mon assurance. Ils ont monté de presque 200 euros mon assurance pour cela, ok pas de problème j’accepte. Mais SURPRISE ils m'ont quand même débité de plus de 1400 euros en une fois sans me prévenir Ce qui me met dans une  panade monumental au niveau de ma banque. Donc, ils montent mon assurance de 200 euros pour une mensualisation qu'ils ne font pas et lorsque j'appelle pour qu'ils me rembourse la différence sur la mensualisations ils me disent sous 48h nous vous remboursons. Une semaine après toujours rien.. Je rappelles ce jour et ils me disent qu'il faut attendre qu'ils n'ont pas de délai à me fournir qu'il faut juste être patiente...
Je peux vous dire que cette année sera ma dernière année chez eux. UNE HONTE </t>
  </si>
  <si>
    <t>18/05/2018</t>
  </si>
  <si>
    <t>philfch-77617</t>
  </si>
  <si>
    <t>Cette assurance pratique le harcèlement, vous recevez des relances SMS, EMAIL, Lettre recommandée pour un règlement non effectué alors que votre contrat est résilié en bonne et due forme depuis 1 mois. Il essaie de prélever directement sur votre compte des sommes dont vous ne savez même pas à quoi cela correspond !!! Il vous facture des frais de rejet alors que vous n'etes plus client chez eux et prétende en bug du logiciel !!!
Méfiance méfiance si vous résiliez un contrat chez eux vous n'êtes pas aux bout de vos surprises !!!</t>
  </si>
  <si>
    <t>aurelia99-92034</t>
  </si>
  <si>
    <t xml:space="preserve">
La publicité faite par Direct assurance pour le remorquage du véhicule en cas de panne est très attractive sauf qu'il ne faut pas oublier de souscrire l'extension de garantie pour une panne débutant à O Kms de chez vous et pour le prêt de voiture. Encore faut-il le savoir si lors de la souscription, cela n'est pas précisé. Par ailleurs, il y a un forfait de 153 euros pour le remorquage. en cas de panne du véhicule, ce qui est peut-être suffisant si la panne survient en ville mais largement insuffisant si cela arrive sur une autoroute d'autant plus que le dépannage sur auroroute est réglementé. Et bien sûr, le mntant de ce forfait est indiqué dans les conditions spéciales à la fin des conditions générales que personne ne lit, surtout lorsque l'on signe un contrat en ligne, et que la personne qui fait signer le contrat se garde bien de mentionner. 
Cela fait peur si un sinistre survient pour l'habitation. 
</t>
  </si>
  <si>
    <t>cristal-62265</t>
  </si>
  <si>
    <t>A fuir!! Ils ne craignent ni leur clients ni la justice!surtout ne souscrivez pas en cas de sinistre il voys ignorent!!! Lorsque vous declarez votre maladie ils vous rendent encore plus malade!!! Fuyez!</t>
  </si>
  <si>
    <t>amano-l-128446</t>
  </si>
  <si>
    <t xml:space="preserve">TRES SATISFAITE. COMMUNICATION FLUIDE ET CLAIRE, PRIX ATTRACTIF. LA PERSONNE QUE J'AI EU EN LIGNE ETAIT TRES A L'ECOUTE ET TRES PROFESSIONNELLE. SUPER SERVICE </t>
  </si>
  <si>
    <t>alex-77333</t>
  </si>
  <si>
    <t>On dit souvent qu'une assurance ne paraît chère qu'avant l'accident. Avec la MAIF, c'est l'inverse : l'assurance ne s'avère chère que lorsque vous avez un sinistre et que vous constatez que le niveau d'indemnisation est ridiculement bas, après que le "service client" (à tous niveaux) et autres "experts" maison soient intervenus.
Assureur militant surtout pour son image en marketting et publicité, la MAIF ferait mieux de s'orienter vers ses sociétaires, qui comme moi sont restés accrochés à l'image d'un passé lointain prestigieux qui malheureusement ne cesse de se dégrader sans que cela ne semble affecter les dirigeants et le personnel</t>
  </si>
  <si>
    <t>04/07/2019</t>
  </si>
  <si>
    <t>fran-90804</t>
  </si>
  <si>
    <t xml:space="preserve">Ne prenez pas la couverture dommage aux canalisations exterieures ,ayant le contrat de niveau 2 , j'ai eu la fosse bouchée il voulais m'envoyer un expert le lendemain mais resultat aucun expert ne ma appellé  il ne sont pas serieux  </t>
  </si>
  <si>
    <t>abdelhamid-s-124509</t>
  </si>
  <si>
    <t>je suis satisfait des services. merci beaucoup pour la rapidité d'action. l'espace client est trés pratique pour avois tous ses contrats dans un seul endroit et avoir un seul contact. merci</t>
  </si>
  <si>
    <t>dimitri-b-127389</t>
  </si>
  <si>
    <t>Je suis en train de tout changer mes véhicules pour les mettre chez vous à quel point je suis content comment le dis tout le temps vaut mieux payé son assureur que lui demander quoi que ce soit vos tarifs sont vraiment intéressant bonne route</t>
  </si>
  <si>
    <t>nanou-137685</t>
  </si>
  <si>
    <t xml:space="preserve">Je me suis faite piegee par une conseillère par téléphone elle m a fait adhérer a NEOLIANE  mais je ne suis du tout contente de leurs services...depuis le 7 mai 2021 j attends les decomptes de remboursements   impossible d ouvrir l espace personnel. Impossible de leur adresser par email les decomptes de ma caisse maladie 
Depuis le mois de Mai Neoliane n a pas encore mis en place le FLUX avec AMELI et ma caisse.
Par contre ce qui fonctionne bien c est le prélèvement mensuel !!!
J attends un an et je les quitte SANS REGRET ! 
MUTUELLE a éviter...
</t>
  </si>
  <si>
    <t>yvon-l-134533</t>
  </si>
  <si>
    <t xml:space="preserve">Très bon tarif les moins chère de tous les devis à voir avec le temps si il n y aura pas de soucis en cas de panne ou autres J espère que tous se passera bien et j assurerait sûrement mon autre véhicule </t>
  </si>
  <si>
    <t>25/09/2021</t>
  </si>
  <si>
    <t>helddmarques-129577</t>
  </si>
  <si>
    <t>Une panne en 4 ans . A l'étranger service client complètement nulle aucune réponse aucune solution . Au bout de plus de 3h de attente sans solution et de plus de 20 appels on a du se débrouiller par nous mêmes dépannage et taxi a nos frais .service completamente inutile on portera plainte !! Attention 
Je déconseille vivement</t>
  </si>
  <si>
    <t>jomard-s-105646</t>
  </si>
  <si>
    <t xml:space="preserve">je suis ravie de votre service le prix très bien j'espère que rester avec vous baucoup temps
</t>
  </si>
  <si>
    <t>jeanclaude87000-107089</t>
  </si>
  <si>
    <t>Bonjour, c'est assez simple, j'ai comparé plusieurs assureurs et je n'ai pas trouvé moins cher avec un tel niveau de garanties, je recommande fortement l'Olivier  Assurance, un des rare assureur dont la pub télé n'est pas mensongère!</t>
  </si>
  <si>
    <t>rd-101340</t>
  </si>
  <si>
    <t>Recommande vivement. Inscription simple et rapide, conseillers à l'écoute et compétent et meilleur rapport qualité/prix. Alors qu'attendez vous pour passer chez Direct assurance !</t>
  </si>
  <si>
    <t>12/12/2020</t>
  </si>
  <si>
    <t>villessot-108821</t>
  </si>
  <si>
    <t xml:space="preserve">Je n’arrive pas à joindre une personne compétente pour résilier mon prélèvement alors que je n’ai rien demandé.
Le conseiller m’a raccroché au nez.
Une honte </t>
  </si>
  <si>
    <t>senior-115786</t>
  </si>
  <si>
    <t>Bonjour,
Nous avons avec mon épouse deux contrats multi supports chez AFER ouverts en 1995. Jusqu'à ces dernières années nous avions été satisfaits et avions ouverts des comptes pour nos enfants et petits enfants. Avec les difficultés actuelles pour obtenir une bonne gestion de nos adhésions comme par le passé, nous regrettons nos parrainages. Nous avons un conseiller dédié qui semble subir également les dysfonctionnements actuels.
En effet nous avions des avances sur deux comptes et comptions faire des versements pour les rembourser. On nous a imposé de les faire par chèque et de rembourser la totalité, or le règle des avances précise que l'on peut rembourser partiellement par chèque, virement ou versement . J'ai posé la question par écrit par avoir la bonne procédure et encore blocage par le conseiller. Cela dure depuis 1 mois (les fonds sont versés) et le serveur, contrairement à ce qui est dit ne répond pas et renvoie vers un conseiller....c'est lamentable. Il ne suffit pas de parader devant les autorités politiques pour être efficace .Je voudrais saisir le Médiateur mais je cherche ses coordonnées sur le site. Je suis impuissant et furieux ....</t>
  </si>
  <si>
    <t>gili-95532</t>
  </si>
  <si>
    <t>j'aimerai avoir une réévaluation de mon Assurance Auto.
Je viens de changer de voiture; j'ai cherché dans d'autres assurances; 2 d'entres elles m'on proposé des tarifs plus intéressants pour les m^m garanties.(
 donc je voudrai que celle ci soit révisée a la baisse comme cela je resterai  a PACIFICA pour mon contrat AUTO et HABITATION.</t>
  </si>
  <si>
    <t>28/07/2020</t>
  </si>
  <si>
    <t>sixt1992-97929</t>
  </si>
  <si>
    <t>L'assurance auto est assez chère.
Le peu de fois où j'ai contacté la MACIF le délai d'attente pour obtenir une réponse était très long et ils ne sont pas enclin à accorder le moindre geste commercial malgré le fait que je n'ai jamais eu d'accident en 5 ans et que j'ai souscris à plusieurs contrats chez eux.
C'est dommage.</t>
  </si>
  <si>
    <t>jean-s-126551</t>
  </si>
  <si>
    <t xml:space="preserve">Je suis très satisfait  du prix de la rapidité 
Les prix sont très attractif et compétitif
Le dossier a été créée en moins de 5 minutes je recommande direct assurance a tout le monde
</t>
  </si>
  <si>
    <t>titan-89170</t>
  </si>
  <si>
    <t xml:space="preserve">Titulaire d'un contrat PLAN EPARGNE RETRAITE, j'ai fais une demande de rachat total depuis 2 mois passé, les documents ont été envoyés et réceptionnés. Aucunes réponses de leur part aux différents mails et je suis toujours en attente de leur paiement, donc mon argent !!!  </t>
  </si>
  <si>
    <t>27/04/2020</t>
  </si>
  <si>
    <t>gazzarin-l-112610</t>
  </si>
  <si>
    <t>très satisfaite du tarif et des informations données lors de la demande du devis par votre collaborateur. Solutions trouvées par la compagnie dans la limite de mon budget financier</t>
  </si>
  <si>
    <t>jjbfse-63021</t>
  </si>
  <si>
    <t>Attends le remboursement des cotisations annuelles depuis juillet 2016 suite décès de mon mari en 2016. Ont prélévé en 2017, ai fait une mise en demeure mais rien en retour aussi bien par mail, courrier...C'est la Cafpi me nous l'a proposé mais vraiment très déçue de leurs incompétences. Je ne sais plus quoi faire et la Cafpi ne bouge pas non plus.Si vous avez une idée. Un grand merci</t>
  </si>
  <si>
    <t>06/04/2018</t>
  </si>
  <si>
    <t>tanlet-r-124551</t>
  </si>
  <si>
    <t>des tarif attractifs avec de bonnes couverture dans l'ensemble. toutes fois une relation entre les contrat existant n'est pas toujours très clair. a améliorer</t>
  </si>
  <si>
    <t>cerise-80041</t>
  </si>
  <si>
    <t xml:space="preserve">Nous sommes clients de Groupama depuis 14 ans, ayant toutes nos assurances chez eux. Nous sommes extrêmement déçus de leur réactivité par rapport aux dégâts causés dans une location (fuite toiture).
De plus nous avons constaté une augmentation de 25 % sans justification...
Nous sommes très insatisfait, aucune communication, un devis envoyé au 03 octobre et toujours en attente de leur part...
</t>
  </si>
  <si>
    <t>14/10/2019</t>
  </si>
  <si>
    <t>arnithorynk-57118</t>
  </si>
  <si>
    <t>Suite à l'ajout d'un box de parking privatif sur mon contrat d'assurance habitation, j'ai appelé la MAIF afin de les informer du changement. Ce changement n'est, en général, matérialisé que par un simple avenant ne modifiant pas ou quasiment pas la prime d'assurance. Quelle agréable surprise de découvrir que la formule minimum (primordiale) que j'avais jusqu'alors souscrite ne permet pas d'assurer un simple box de parking. Impossible d'obtenir la moindre information constructive au téléphone, si ce n'est en résumé "c'est comme ça". Je n'ai pas trouvé l'information excluant l'assurance du box dans les conditions générales du contrat et la conseillère n'a pas été capable de m'énoncer clairement le texte allant dans ce sens. Me voilà donc obligé de souscrire l'assurance d'un niveau supérieure, faisant flamber ma prime d'assurance annuelle de plus de 90 euros pour un box de 12m2.</t>
  </si>
  <si>
    <t>05/09/2017</t>
  </si>
  <si>
    <t>goussot-j-114694</t>
  </si>
  <si>
    <t>Je suis satisfait du service,le personnel est à l'écoute de la personne, quand j'ai appelé pour me renseigner de mon petit soucis pour mon nouveau contrat,il ont été à l'écoute</t>
  </si>
  <si>
    <t>yetis-78218</t>
  </si>
  <si>
    <t xml:space="preserve">J'ai eu des problèmes avec la mutuelle MGEN Istya Collectives : pas de réponse claire voire aucune et finalement s'ils disent vrai, ce que je conteste, un très faible remboursement pour des frais dentaires
Je déconseille fortement </t>
  </si>
  <si>
    <t>06/08/2019</t>
  </si>
  <si>
    <t>ghasacharlo-109246</t>
  </si>
  <si>
    <t>Une véritable horreur, je me suis fait renversé a vélo il y a plus d'un an maintenant et malgré mon combat pour réunir chaque mois une nouvelle preuve de ma bonne foi, je suis le seul a essayer de me sortir de ce pétrin, alors que l'assuré adverse qui nie en bloc (dans son intérêt), son assurance qui la protège (bien évidement c'est leur rôle) la GMF se contente de transmettre les documents sans même prendre la peine de les lires. Je n'ai donc aucun poids contre eux malgré le constat, témoignage, rapport d'expertise etc.
Aujourd'hui je reçois un mail pour m'informer que le dossier est clos et que je dois m'assoir sur les 1300€ de réparation causé par cet accident. Un dossier pourtant si facile a traiter en vu des preuves et documents en ma possession.
Moi qui attendais la fin du sinistre pour résilier l'intégralité de mes contrats exclusivement chez la GMF depuis toujours, c'est chose faite a présent ...
A fuir d'urgence, quite a n'avoir personne en face, les assurances en ligne le font aussi bien pour moins cher</t>
  </si>
  <si>
    <t>jonathan-k-128731</t>
  </si>
  <si>
    <t xml:space="preserve">Service au top, prix géniaux, application bonne, je recommande direct assurance pour beaucoup de raisons, surtout le prix et la qualité de service. Jonathan </t>
  </si>
  <si>
    <t>salime-104153</t>
  </si>
  <si>
    <t xml:space="preserve">Assurez depuis de nombreuses années chez eux, avec plusieurs contrat, tout ce  passer a peu pres normal et depuis 1 année, ils sont devenu tres dur et trouve la moindre excuse pour ne pas remboursé meme un bris de glace. Je n ai pas effectué mon changement de carte grise donc on vous rembourse pas, allez voir chez les concurrents c est beaucoup mieux et j ai deja eu la meme chose ailleurs et j ai été remboursé. Ne vous fiez pas on note c est basé sur avant que ca change </t>
  </si>
  <si>
    <t>joel-m-107869</t>
  </si>
  <si>
    <t>beaucoup de déception suite à plusieurs sinistres déclarés dont l'un n'est toujours pas réglé. Jamais les mêmes interlocuteurs au téléphone, il faut a chaque repeter la même histoire</t>
  </si>
  <si>
    <t>chacha13-79360</t>
  </si>
  <si>
    <t xml:space="preserve">Terrible... Je déconseille fortement ! Non prise en compte de mes nombreuses demandes concernant le prélèvement des cotisations !!! Service client non compétent ! 1an pour réagir à ma première demande !!! Il faudra peut-être accélérer la cadence là ! </t>
  </si>
  <si>
    <t>21/09/2019</t>
  </si>
  <si>
    <t>toto27-96658</t>
  </si>
  <si>
    <t xml:space="preserve">Assurance pas chère très facile à prendre je conseil à un amie prix très atra tif on m à bien consigner avec le comparateur sur internet je les fait pendent le confinement et je ne regrette pas </t>
  </si>
  <si>
    <t>coccinelle-102467</t>
  </si>
  <si>
    <t xml:space="preserve">Je suis satisfaite pleinement mais les cotisations un peu élevée
Mon contrat a été modifié récemment donc pas encore de remboursement mais je pense que sa sera comme au paravant très bien </t>
  </si>
  <si>
    <t>11/01/2021</t>
  </si>
  <si>
    <t>aucun-pseudo-137941</t>
  </si>
  <si>
    <t>Bonjour
Assuré à la MAIF depuis plus de 20 ans je suis extrêmement satisfait des services de ce partenaire en qui j'ai toute confiance. Assistance immédiate et de qualité, remboursements rapides et complets, la MAIF est un assureur de grande qualité qui propose, sur laz base d'un même contrat ou dossier,  une multitude de produits adaptés aux diverses situations qui nécessitent d'être assuré (habitation, voiture perso et pro....).
A recommander.</t>
  </si>
  <si>
    <t>elelisabeth-b-128434</t>
  </si>
  <si>
    <t xml:space="preserve">Plutôt satisfaite, bien que la conseillère que j'ai eu 2 fois ne m'ai pas rappelé pour des renseignements
Le plus d'après les avis, c'est que nous avons un conseiller en cas de problème
</t>
  </si>
  <si>
    <t>laulau-129506</t>
  </si>
  <si>
    <t xml:space="preserve">La couverture santé sur la plan kiné, dentaire et ophtalmo sont catastrophiques. Je compte changer ma mutuelle à n'a fin de l'année pour avoir un meilleur remboursement </t>
  </si>
  <si>
    <t>pierre-55779</t>
  </si>
  <si>
    <t>un début de contrat laborieux ,faute de communication,mais par la suite les personnes contactées se sont mis en quatre pour me satisfaire avec compétence, un bon point pour la suite</t>
  </si>
  <si>
    <t>03/07/2017</t>
  </si>
  <si>
    <t>clergyman--96344</t>
  </si>
  <si>
    <t xml:space="preserve">Tout est compliqué à la G.M.F, Hélas ! Ou bien encore comment assurer des fonctionnaires en s'octroyant des privilèges sur leur dos !
Je déplore d'avoir eu des déboires avec un responsable régional en pays de la Loire qui profitait allègrement d'assurer également les élus locaux pour assurer, en plus, des ses revenus, ses passes droits : Sans commentaire mais une commission parlementaire devra, un jour, investiguer la G.M.F...
</t>
  </si>
  <si>
    <t>fanny-a-127420</t>
  </si>
  <si>
    <t>Je suis satisfaite du service mais les prix pourraient être un peu plus attractifs pour un 1er contrat. J'aurais également souhaité pouvoir assurer mon habitation avec un pack auto-habitation.</t>
  </si>
  <si>
    <t>maurel-l-138443</t>
  </si>
  <si>
    <t xml:space="preserve">satisfaite de la prestationc rapide efficace simple détaillée avec beaucoup de détail pour etre sur de ce que l’ont fait. Hate de recommendé à quelqu’un votre assurance </t>
  </si>
  <si>
    <t>xav-86731</t>
  </si>
  <si>
    <t>Suite à une intervention chirurgicale sur un doigt cassé avec dépassement d'honoraires. Section locale contactée par téléphone pour la prise en charge qui répond OUI. Ensuite envoi des documents et non prise en charge. Nouveau contact téléphonique et réponse : Non nous ne prenons pas en charge, impossible que l'on vous réponde cela.
Merci la MGEN. Ayez confiance...</t>
  </si>
  <si>
    <t>suzanne-139270</t>
  </si>
  <si>
    <t xml:space="preserve">Merci à Daouda d"avoir résolu mon problème. Il a été à l'écoute et très aimable. Un conseiller au top. J'ai immédiatement reçu par mail les éléments dont j'avais besoin. </t>
  </si>
  <si>
    <t>09/11/2021</t>
  </si>
  <si>
    <t>andrec-94600</t>
  </si>
  <si>
    <t>Sur le Site Direct Assurance pour faire un devis pour ma voiture facile à utiliser fuible et bien fait.  le prix de l'assurance est tres interessant par rapport au marché</t>
  </si>
  <si>
    <t>19/07/2020</t>
  </si>
  <si>
    <t>dylan-s-131173</t>
  </si>
  <si>
    <t xml:space="preserve">Je suis satisfait du service bien expliquer
Simple efficace et surtout à prix abordable ce qui n'est pas donné à tout le monde sur les assurances en lignes </t>
  </si>
  <si>
    <t>yvong-69494</t>
  </si>
  <si>
    <t xml:space="preserve">Même si vous êtes assuré tous riques, la #Maaf utilise son expert pour contester le constat ce qui lui permet de ne pas vous rembourser. J'ai un constat précisant que ma voiture a subi un choc da.s une statiion de lavage. Bien que les conditions soient admises par la station, l expert nie l'incident sans explication probantes. Conclusion: la maaf ne me rembourse pas.
</t>
  </si>
  <si>
    <t>mp-133353</t>
  </si>
  <si>
    <t xml:space="preserve">À éviter
Impossible d'obtenir un remboursement malgré un dossier complet et vérifier par le télé opérateur qui ne peut communiquer avec le service des paiements.
Pas sérieux. </t>
  </si>
  <si>
    <t>motard46-57560</t>
  </si>
  <si>
    <t>Deux mois d'attente toujours sans réponse malgré plusieurs relances !!!</t>
  </si>
  <si>
    <t>srs-90468</t>
  </si>
  <si>
    <t>J'essai de joindre le service client d'Eurofil depuis une semaine et à part la musique d'ambiance, aucun conseillé ne décroche!
Le site client ne permet pas de se faire rappeler, faire un devis impose de contacter le service client...qui ne répond pas!
pour une assurance en ligne, le contrat est rompu.
Je ne désespère pas d'obtenir un conseiller, mais ce sera pour supprimer tous mes contrats.</t>
  </si>
  <si>
    <t>11/06/2020</t>
  </si>
  <si>
    <t>aucun-102836</t>
  </si>
  <si>
    <t>Cette compagnie n'est pas faiable.Il y a 2 ans,je n'ai JAMAIS obtenu le remboursemnt des frais télévision en hosptitalisation ( 2 mois).En 2020,j'ai éffectué une cure thermale a LA BOURBOULE (63).J'attends toujour le remboursement de mes frais,malgré les nombreuses réclamations de mon courtier.Je suis a disposition pour tous renseignements.Ne pas faire confiance.Changez d'assureur comme je viens de le faire.</t>
  </si>
  <si>
    <t>jean-luc-d-136290</t>
  </si>
  <si>
    <t>Très pratique pour la souscription. Après on verra à l'usage.
Je n'ai pas d'autre chose a dire pour le moment, je donnerai mon avis plus tard dès lors que j'aurai eu besoin de leur service.</t>
  </si>
  <si>
    <t>06/10/2021</t>
  </si>
  <si>
    <t>kouadio-k-123943</t>
  </si>
  <si>
    <t>Je suis satisfait pour la qualité de l'accueil, toutes mes questions ont eu un réponse bien expliqué détaillé. Niveau prix l'acompte de me convenait pas trop</t>
  </si>
  <si>
    <t>jean-pierre-d-107348</t>
  </si>
  <si>
    <t>Je suis totalement satisfait du service rapide et simple.
 J'ai obtenu le devis d'assurance en ligne très rapidement et j'ai pu souscrire au contrat le jour même</t>
  </si>
  <si>
    <t>riton-137776</t>
  </si>
  <si>
    <t>rawane est à l'ecoute des adherants avec gentillesse avec les reponses attendues.
                cordialement.
   certains courtiers qui gere les contrats mon basculé sur aesio avec des remboursements inferieurs à mon contrat actuel chez vous,pouquoi cette politique.</t>
  </si>
  <si>
    <t>19/10/2021</t>
  </si>
  <si>
    <t>steph-66407</t>
  </si>
  <si>
    <t xml:space="preserve">Assurance très restrictive concernant les garanties </t>
  </si>
  <si>
    <t>26/08/2018</t>
  </si>
  <si>
    <t>stef-103192</t>
  </si>
  <si>
    <t xml:space="preserve">Cette mutuelle me donne entière satisfaction depuis de nombreuses années. J'ai essayé d'en changer,  mais peine perdue c'est le meilleur rapport qualité des prestations / prix !
</t>
  </si>
  <si>
    <t>25/01/2021</t>
  </si>
  <si>
    <t>houley-s-132653</t>
  </si>
  <si>
    <t>Assurance qui rembourse très mal, prise en charge des soins très mal remboursé, POUR MES RDV DE SUVIS DE GROSSESSE JE N'AI QUASIMENT PAS ÉTÉ PRISE EN CHARGE avec la  formule de base; Entre autre et se dit l'assurance des fonctionnaires mais présente quasi aucuns avantages pour nous; je compte changer d'assurance dès que j'aurais accouché;</t>
  </si>
  <si>
    <t>jean-a-110480</t>
  </si>
  <si>
    <t>JE VOUS AI EXPRIME MON AVIS TOUT EST NICKEL J ESPERE QUE PAR LA SUITE JE NE SERAI PAS DECU PAR LA SUITE VU QUE J AI PAYE 
CORDIALEMENT 
JLOUIS ALADENISE</t>
  </si>
  <si>
    <t>technico-59179</t>
  </si>
  <si>
    <t>Rapidité des renseignements, franchise élevé .Je reste client quand même en espérant que GMF va consentir une petite remise !!!....Car je suis client depuis un certain nombre d'années.</t>
  </si>
  <si>
    <t>sandrine-p-111949</t>
  </si>
  <si>
    <t>Service trrészsatisfaisant.
Accueil téléphonique et renseignements rapides et trés compétent et professionnel.
Les prix sont corrects et raisonnables.</t>
  </si>
  <si>
    <t>marioncloclo-102543</t>
  </si>
  <si>
    <t xml:space="preserve">Je suis très satisfaite de mon assurance AMV.
Le prix est très intéressant 
dernièrement j'ai eu un petit accident. 
J'ai bien été conseillé pour déclarer ce sinistre.
J'en profite pour vous dire MERCI !
</t>
  </si>
  <si>
    <t>fouad69-87868</t>
  </si>
  <si>
    <t xml:space="preserve">Le service client n'est pas du tout réactif, vous avez deux question sur vos cotisations et tout de suite il faut rentrer en contact avec le siège sociale qui lui est bien souvent fermé. personne ne vous réponds par mail, personne ne vous répond via l'espace adherent. </t>
  </si>
  <si>
    <t>02/03/2020</t>
  </si>
  <si>
    <t>nathalie-63248</t>
  </si>
  <si>
    <t>satisfaite de votre mutuelle, merci de nous recontacter pour des nouveaux contacts car j ´etais chez vous depuis 2013 les remboursements sont satifaisants</t>
  </si>
  <si>
    <t>lou-64568</t>
  </si>
  <si>
    <t>DECONSEILLEE!!!résiliation des contrats sous des prétextes bidons.Ils enregitrent en déclaration sinistres des demandes d'information sur la couverture du contrat!J'ai demandé des informations sur des couvertures de contrat il y a plus d'un an et j'attends toujours une réponse malgré deux relances.</t>
  </si>
  <si>
    <t>07/06/2018</t>
  </si>
  <si>
    <t>marine-j-124400</t>
  </si>
  <si>
    <t>Vue le tarif pour une petite fiât 500 essence 1.2 de 2014 c’est exagéré , je suis vraiment dessus heureusement que ce n’est pas ma fille qui vas payé l’assurance 
Comment une étudiante peut payé une assurance voiture 2200€ à l’année ????</t>
  </si>
  <si>
    <t>math6-78271</t>
  </si>
  <si>
    <t xml:space="preserve">Apres avoir souscrit a l olivier assurance auto et d avoir  coché qu il  applique la loi hammon je me suis rendu compte 2 mois apres que celle ci n'avais pas était appliquer j ai donc payer pendant 2 mois 2 assurance apres avoir appele l'olivier et qu il constste leurs erreur aucun geste commercial proposé encore moi de remboursement malgre plus de 200e payer a cause de leurs erreur bref une honte a tout les étages une organisation pitoyable et un sav du meme niveau ne vous assurer pas labas 
Le prix mais qui annonce la couleur de la piètre qualité de l organisation et du sav
</t>
  </si>
  <si>
    <t>lucas-m-126721</t>
  </si>
  <si>
    <t>Le service est rapide et efficace. Les prix sont attractifs. Les différentes options proposées permettent de choisir la bonne assurance qui correspond pour chaque conducteur.</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</si>
</sst>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 customWidth="1" min="7" max="7" width="16.71"/>
    <col customWidth="1" min="8" max="26" width="8.71"/>
  </cols>
  <sheetData>
    <row r="1">
      <c r="A1" s="1" t="s">
        <v>0</v>
      </c>
      <c r="B1" s="1" t="s">
        <v>1</v>
      </c>
      <c r="C1" s="1" t="s">
        <v>2</v>
      </c>
      <c r="D1" s="1" t="s">
        <v>3</v>
      </c>
      <c r="E1" s="1" t="s">
        <v>4</v>
      </c>
      <c r="F1" s="1" t="s">
        <v>5</v>
      </c>
      <c r="G1" s="1" t="s">
        <v>6</v>
      </c>
      <c r="H1" s="1" t="s">
        <v>7</v>
      </c>
      <c r="I1" s="1" t="s">
        <v>8</v>
      </c>
      <c r="J1" s="1" t="s">
        <v>9</v>
      </c>
      <c r="K1" s="1" t="s">
        <v>10</v>
      </c>
    </row>
    <row r="2">
      <c r="A2" s="2">
        <v>5.0</v>
      </c>
      <c r="B2" s="2" t="s">
        <v>11</v>
      </c>
      <c r="C2" s="2" t="s">
        <v>12</v>
      </c>
      <c r="D2" s="2" t="s">
        <v>13</v>
      </c>
      <c r="E2" s="2" t="s">
        <v>14</v>
      </c>
      <c r="F2" s="2" t="s">
        <v>15</v>
      </c>
      <c r="G2" s="2" t="s">
        <v>16</v>
      </c>
      <c r="H2" s="2" t="s">
        <v>17</v>
      </c>
      <c r="I2" s="2" t="str">
        <f>IFERROR(__xludf.DUMMYFUNCTION("GOOGLETRANSLATE(C2,""fr"",""en"")"),"Best insurance, prices, solutions, attentiveness, speed, and I recommend this company for you 
Attractive prices and quality and speed services ")</f>
        <v>Best insurance, prices, solutions, attentiveness, speed, and I recommend this company for you 
Attractive prices and quality and speed services </v>
      </c>
    </row>
    <row r="3">
      <c r="A3" s="2">
        <v>4.0</v>
      </c>
      <c r="B3" s="2" t="s">
        <v>18</v>
      </c>
      <c r="C3" s="2" t="s">
        <v>19</v>
      </c>
      <c r="D3" s="2" t="s">
        <v>13</v>
      </c>
      <c r="E3" s="2" t="s">
        <v>14</v>
      </c>
      <c r="F3" s="2" t="s">
        <v>15</v>
      </c>
      <c r="G3" s="2" t="s">
        <v>20</v>
      </c>
      <c r="H3" s="2" t="s">
        <v>21</v>
      </c>
      <c r="I3" s="2" t="str">
        <f>IFERROR(__xludf.DUMMYFUNCTION("GOOGLETRANSLATE(C3,""fr"",""en"")"),"I am generally satisfied, except that you have a problem with your website, it is impossible to declare a claim online after several attempts, declaration made by telephone or everything went very well, competent and very pleasant interlocutor ")</f>
        <v>I am generally satisfied, except that you have a problem with your website, it is impossible to declare a claim online after several attempts, declaration made by telephone or everything went very well, competent and very pleasant interlocutor </v>
      </c>
    </row>
    <row r="4">
      <c r="A4" s="2">
        <v>5.0</v>
      </c>
      <c r="B4" s="2" t="s">
        <v>22</v>
      </c>
      <c r="C4" s="2" t="s">
        <v>23</v>
      </c>
      <c r="D4" s="2" t="s">
        <v>13</v>
      </c>
      <c r="E4" s="2" t="s">
        <v>14</v>
      </c>
      <c r="F4" s="2" t="s">
        <v>15</v>
      </c>
      <c r="G4" s="2" t="s">
        <v>24</v>
      </c>
      <c r="H4" s="2" t="s">
        <v>25</v>
      </c>
      <c r="I4" s="2" t="str">
        <f>IFERROR(__xludf.DUMMYFUNCTION("GOOGLETRANSLATE(C4,""fr"",""en"")"),"Very affordable price several options are available to us such as the box connected to the car, the tranquility option and zero franchise which is quite pleasant")</f>
        <v>Very affordable price several options are available to us such as the box connected to the car, the tranquility option and zero franchise which is quite pleasant</v>
      </c>
    </row>
    <row r="5">
      <c r="A5" s="2">
        <v>4.0</v>
      </c>
      <c r="B5" s="2" t="s">
        <v>26</v>
      </c>
      <c r="C5" s="2" t="s">
        <v>27</v>
      </c>
      <c r="D5" s="2" t="s">
        <v>28</v>
      </c>
      <c r="E5" s="2" t="s">
        <v>14</v>
      </c>
      <c r="F5" s="2" t="s">
        <v>15</v>
      </c>
      <c r="G5" s="2" t="s">
        <v>29</v>
      </c>
      <c r="H5" s="2" t="s">
        <v>30</v>
      </c>
      <c r="I5" s="2" t="str">
        <f>IFERROR(__xludf.DUMMYFUNCTION("GOOGLETRANSLATE(C5,""fr"",""en"")"),"I am satisfied with the service, a very quick response from your service. Thank you, you are the cheapest insurance on the market, Best regards. ")</f>
        <v>I am satisfied with the service, a very quick response from your service. Thank you, you are the cheapest insurance on the market, Best regards. </v>
      </c>
    </row>
    <row r="6">
      <c r="A6" s="2">
        <v>1.0</v>
      </c>
      <c r="B6" s="2" t="s">
        <v>31</v>
      </c>
      <c r="C6" s="2" t="s">
        <v>32</v>
      </c>
      <c r="D6" s="2" t="s">
        <v>33</v>
      </c>
      <c r="E6" s="2" t="s">
        <v>14</v>
      </c>
      <c r="F6" s="2" t="s">
        <v>15</v>
      </c>
      <c r="G6" s="2" t="s">
        <v>34</v>
      </c>
      <c r="H6" s="2" t="s">
        <v>35</v>
      </c>
      <c r="I6" s="2" t="str">
        <f>IFERROR(__xludf.DUMMYFUNCTION("GOOGLETRANSLATE(C6,""fr"",""en"")"),"Customer for over 25 years, very disappointed with this ""mutual"" which no longer has anything of a Mutual, the search for immediate profit has become their priority. at the agency we only know how to try to force useless contracts out of you, we make yo"&amp;"u pay for legal protection on each contract but you will only be defended once!  as soon as there is the slightest disaster they are not there to defend you but on the contrary to automatically put all the wrongs on you to lower your bonus which is too hi"&amp;"gh! In short, they only have one goal: to make you pay as much as possible. Unfortunately, this is now the lot of all insurers. So try to pay as little as possible and above all not need them!!! ")</f>
        <v>Customer for over 25 years, very disappointed with this "mutual" which no longer has anything of a Mutual, the search for immediate profit has become their priority. at the agency we only know how to try to force useless contracts out of you, we make you pay for legal protection on each contract but you will only be defended once!  as soon as there is the slightest disaster they are not there to defend you but on the contrary to automatically put all the wrongs on you to lower your bonus which is too high! In short, they only have one goal: to make you pay as much as possible. Unfortunately, this is now the lot of all insurers. So try to pay as little as possible and above all not need them!!! </v>
      </c>
    </row>
    <row r="7">
      <c r="A7" s="2">
        <v>1.0</v>
      </c>
      <c r="B7" s="2" t="s">
        <v>36</v>
      </c>
      <c r="C7" s="2" t="s">
        <v>37</v>
      </c>
      <c r="D7" s="2" t="s">
        <v>38</v>
      </c>
      <c r="E7" s="2" t="s">
        <v>39</v>
      </c>
      <c r="F7" s="2" t="s">
        <v>15</v>
      </c>
      <c r="G7" s="2" t="s">
        <v>40</v>
      </c>
      <c r="H7" s="2" t="s">
        <v>41</v>
      </c>
      <c r="I7" s="2" t="str">
        <f>IFERROR(__xludf.DUMMYFUNCTION("GOOGLETRANSLATE(C7,""fr"",""en"")"),"Forced sale by telephone, claiming serious events for my loved ones, but without even knowing my date of birth!
Néoliane will say that it is the fault of the telephone platform in the Magreb, but this canvassing is abusive and distressing. In addition, I "&amp;"am registered on BLOCTEL
Avoid and report to fraud enforcement services")</f>
        <v>Forced sale by telephone, claiming serious events for my loved ones, but without even knowing my date of birth!
Néoliane will say that it is the fault of the telephone platform in the Magreb, but this canvassing is abusive and distressing. In addition, I am registered on BLOCTEL
Avoid and report to fraud enforcement services</v>
      </c>
    </row>
    <row r="8">
      <c r="A8" s="2">
        <v>3.0</v>
      </c>
      <c r="B8" s="2" t="s">
        <v>42</v>
      </c>
      <c r="C8" s="2" t="s">
        <v>43</v>
      </c>
      <c r="D8" s="2" t="s">
        <v>44</v>
      </c>
      <c r="E8" s="2" t="s">
        <v>39</v>
      </c>
      <c r="F8" s="2" t="s">
        <v>15</v>
      </c>
      <c r="G8" s="2" t="s">
        <v>45</v>
      </c>
      <c r="H8" s="2" t="s">
        <v>46</v>
      </c>
      <c r="I8" s="2" t="str">
        <f>IFERROR(__xludf.DUMMYFUNCTION("GOOGLETRANSLATE(C8,""fr"",""en"")"),"New customer satisfied with price and services.
I will not give more opinions because I am a new customer with you. I hope everything goes well thank you  ")</f>
        <v>New customer satisfied with price and services.
I will not give more opinions because I am a new customer with you. I hope everything goes well thank you  </v>
      </c>
    </row>
    <row r="9">
      <c r="A9" s="2">
        <v>1.0</v>
      </c>
      <c r="B9" s="2" t="s">
        <v>47</v>
      </c>
      <c r="C9" s="2" t="s">
        <v>48</v>
      </c>
      <c r="D9" s="2" t="s">
        <v>49</v>
      </c>
      <c r="E9" s="2" t="s">
        <v>50</v>
      </c>
      <c r="F9" s="2" t="s">
        <v>15</v>
      </c>
      <c r="G9" s="2" t="s">
        <v>51</v>
      </c>
      <c r="H9" s="2" t="s">
        <v>52</v>
      </c>
      <c r="I9" s="2" t="str">
        <f>IFERROR(__xludf.DUMMYFUNCTION("GOOGLETRANSLATE(C9,""fr"",""en"")"),"An insurer contacted me by telephone to sell me this insurance for my puppy by selling me only the pretty details, so I subscribed to the insurance to be reimbursed at 80%.
I then go to the vet to vaccinate my puppy, and I am prescribed an ointment for th"&amp;"e pimples he has, santé vet does not reimburse me because there is a 45 day gap which I was not told about, this detail still passes.
 1 month later I do the vaccine booster for my puppy (as for all puppies and buy dewormers), so I send an invoice for 118"&amp;" euros and I am told that I will not be reimbursed because I do not I am only entitled to 50 euros in fees per year (which I was not told either otherwise I would never have subscribed, the aim of the insurance is to be reimbursed)
I called the insurance "&amp;"to cancel and of course they told me that I had to wait 1 year to cancel, something they had never told me.
Run away from this insurance!!")</f>
        <v>An insurer contacted me by telephone to sell me this insurance for my puppy by selling me only the pretty details, so I subscribed to the insurance to be reimbursed at 80%.
I then go to the vet to vaccinate my puppy, and I am prescribed an ointment for the pimples he has, santé vet does not reimburse me because there is a 45 day gap which I was not told about, this detail still passes.
 1 month later I do the vaccine booster for my puppy (as for all puppies and buy dewormers), so I send an invoice for 118 euros and I am told that I will not be reimbursed because I do not I am only entitled to 50 euros in fees per year (which I was not told either otherwise I would never have subscribed, the aim of the insurance is to be reimbursed)
I called the insurance to cancel and of course they told me that I had to wait 1 year to cancel, something they had never told me.
Run away from this insurance!!</v>
      </c>
    </row>
    <row r="10">
      <c r="A10" s="2">
        <v>1.0</v>
      </c>
      <c r="B10" s="2" t="s">
        <v>53</v>
      </c>
      <c r="C10" s="2" t="s">
        <v>54</v>
      </c>
      <c r="D10" s="2" t="s">
        <v>55</v>
      </c>
      <c r="E10" s="2" t="s">
        <v>39</v>
      </c>
      <c r="F10" s="2" t="s">
        <v>15</v>
      </c>
      <c r="G10" s="2" t="s">
        <v>56</v>
      </c>
      <c r="H10" s="2" t="s">
        <v>57</v>
      </c>
      <c r="I10" s="2" t="str">
        <f>IFERROR(__xludf.DUMMYFUNCTION("GOOGLETRANSLATE(C10,""fr"",""en"")"),"I can only join the many negative reviews. I even regret having to give 1 star as the service AND reimbursements are non-existent. Waiting for optical and osteopathic reimbursements for more than 10 weeks now and still the same well-rehearsed speech: ""We"&amp;" are late but your requests will be processed before the end of the week!"". Allow on average 45 minutes per call to finally have an ""advisor"" with whom you will have to go through all the open files again (even though they are supposed to have full vis"&amp;"ibility in their system). The worst part, their site announces refunds processed even though they have still not been credited to my bank account!")</f>
        <v>I can only join the many negative reviews. I even regret having to give 1 star as the service AND reimbursements are non-existent. Waiting for optical and osteopathic reimbursements for more than 10 weeks now and still the same well-rehearsed speech: "We are late but your requests will be processed before the end of the week!". Allow on average 45 minutes per call to finally have an "advisor" with whom you will have to go through all the open files again (even though they are supposed to have full visibility in their system). The worst part, their site announces refunds processed even though they have still not been credited to my bank account!</v>
      </c>
    </row>
    <row r="11">
      <c r="A11" s="2">
        <v>1.0</v>
      </c>
      <c r="B11" s="2" t="s">
        <v>58</v>
      </c>
      <c r="C11" s="2" t="s">
        <v>59</v>
      </c>
      <c r="D11" s="2" t="s">
        <v>60</v>
      </c>
      <c r="E11" s="2" t="s">
        <v>61</v>
      </c>
      <c r="F11" s="2" t="s">
        <v>15</v>
      </c>
      <c r="G11" s="2" t="s">
        <v>62</v>
      </c>
      <c r="H11" s="2" t="s">
        <v>41</v>
      </c>
      <c r="I11" s="2" t="str">
        <f>IFERROR(__xludf.DUMMYFUNCTION("GOOGLETRANSLATE(C11,""fr"",""en"")"),"GENERALI ASSURANCES VIE ASSURANCE Very poor customer service, not serious, bad payer if you ask for an advance on your Generali Vie savings")</f>
        <v>GENERALI ASSURANCES VIE ASSURANCE Very poor customer service, not serious, bad payer if you ask for an advance on your Generali Vie savings</v>
      </c>
    </row>
    <row r="12">
      <c r="A12" s="2">
        <v>1.0</v>
      </c>
      <c r="B12" s="2" t="s">
        <v>63</v>
      </c>
      <c r="C12" s="2" t="s">
        <v>64</v>
      </c>
      <c r="D12" s="2" t="s">
        <v>65</v>
      </c>
      <c r="E12" s="2" t="s">
        <v>14</v>
      </c>
      <c r="F12" s="2" t="s">
        <v>15</v>
      </c>
      <c r="G12" s="2" t="s">
        <v>66</v>
      </c>
      <c r="H12" s="2" t="s">
        <v>67</v>
      </c>
      <c r="I12" s="2" t="str">
        <f>IFERROR(__xludf.DUMMYFUNCTION("GOOGLETRANSLATE(C12,""fr"",""en"")"),"it's a total shame. we have all our insurance with allianz. they handle our complaint incompetently, we threaten to leave them, they nevertheless cancel our insurance at the end of this contract. avoid!")</f>
        <v>it's a total shame. we have all our insurance with allianz. they handle our complaint incompetently, we threaten to leave them, they nevertheless cancel our insurance at the end of this contract. avoid!</v>
      </c>
    </row>
    <row r="13">
      <c r="A13" s="2">
        <v>5.0</v>
      </c>
      <c r="B13" s="2" t="s">
        <v>68</v>
      </c>
      <c r="C13" s="2" t="s">
        <v>69</v>
      </c>
      <c r="D13" s="2" t="s">
        <v>28</v>
      </c>
      <c r="E13" s="2" t="s">
        <v>14</v>
      </c>
      <c r="F13" s="2" t="s">
        <v>15</v>
      </c>
      <c r="G13" s="2" t="s">
        <v>70</v>
      </c>
      <c r="H13" s="2" t="s">
        <v>71</v>
      </c>
      <c r="I13" s="2" t="str">
        <f>IFERROR(__xludf.DUMMYFUNCTION("GOOGLETRANSLATE(C13,""fr"",""en"")"),"Totally satisfied with the quality of telephone support. Always well understood and with oral information followed by real effects.")</f>
        <v>Totally satisfied with the quality of telephone support. Always well understood and with oral information followed by real effects.</v>
      </c>
    </row>
    <row r="14">
      <c r="A14" s="2">
        <v>2.0</v>
      </c>
      <c r="B14" s="2" t="s">
        <v>72</v>
      </c>
      <c r="C14" s="2" t="s">
        <v>73</v>
      </c>
      <c r="D14" s="2" t="s">
        <v>38</v>
      </c>
      <c r="E14" s="2" t="s">
        <v>39</v>
      </c>
      <c r="F14" s="2" t="s">
        <v>15</v>
      </c>
      <c r="G14" s="2" t="s">
        <v>74</v>
      </c>
      <c r="H14" s="2" t="s">
        <v>74</v>
      </c>
      <c r="I14" s="2" t="str">
        <f>IFERROR(__xludf.DUMMYFUNCTION("GOOGLETRANSLATE(C14,""fr"",""en"")"),"The customer service telephone interface is quite intuitive. My contact (Erika) was very understanding and was able to explain the steps to follow clearly. I thank her for that")</f>
        <v>The customer service telephone interface is quite intuitive. My contact (Erika) was very understanding and was able to explain the steps to follow clearly. I thank her for that</v>
      </c>
    </row>
    <row r="15">
      <c r="A15" s="2">
        <v>4.0</v>
      </c>
      <c r="B15" s="2" t="s">
        <v>75</v>
      </c>
      <c r="C15" s="2" t="s">
        <v>76</v>
      </c>
      <c r="D15" s="2" t="s">
        <v>28</v>
      </c>
      <c r="E15" s="2" t="s">
        <v>14</v>
      </c>
      <c r="F15" s="2" t="s">
        <v>15</v>
      </c>
      <c r="G15" s="2" t="s">
        <v>77</v>
      </c>
      <c r="H15" s="2" t="s">
        <v>30</v>
      </c>
      <c r="I15" s="2" t="str">
        <f>IFERROR(__xludf.DUMMYFUNCTION("GOOGLETRANSLATE(C15,""fr"",""en"")"),"I am very satisfied with the service, advice and listening. The advisor I spoke to by telephone was friendly and very good at listening.                                
Sincerely")</f>
        <v>I am very satisfied with the service, advice and listening. The advisor I spoke to by telephone was friendly and very good at listening.                                
Sincerely</v>
      </c>
    </row>
    <row r="16">
      <c r="A16" s="2">
        <v>3.0</v>
      </c>
      <c r="B16" s="2" t="s">
        <v>78</v>
      </c>
      <c r="C16" s="2" t="s">
        <v>79</v>
      </c>
      <c r="D16" s="2" t="s">
        <v>80</v>
      </c>
      <c r="E16" s="2" t="s">
        <v>81</v>
      </c>
      <c r="F16" s="2" t="s">
        <v>15</v>
      </c>
      <c r="G16" s="2" t="s">
        <v>82</v>
      </c>
      <c r="H16" s="2" t="s">
        <v>83</v>
      </c>
      <c r="I16" s="2" t="str">
        <f>IFERROR(__xludf.DUMMYFUNCTION("GOOGLETRANSLATE(C16,""fr"",""en"")"),"Good morning,
It is very regrettable not to be able to benefit from a certain flexibility on the rates offered, especially when we insure an additional vehicle and we have never had a claim or late payment.
")</f>
        <v>Good morning,
It is very regrettable not to be able to benefit from a certain flexibility on the rates offered, especially when we insure an additional vehicle and we have never had a claim or late payment.
</v>
      </c>
    </row>
    <row r="17">
      <c r="A17" s="2">
        <v>5.0</v>
      </c>
      <c r="B17" s="2" t="s">
        <v>84</v>
      </c>
      <c r="C17" s="2" t="s">
        <v>85</v>
      </c>
      <c r="D17" s="2" t="s">
        <v>13</v>
      </c>
      <c r="E17" s="2" t="s">
        <v>14</v>
      </c>
      <c r="F17" s="2" t="s">
        <v>15</v>
      </c>
      <c r="G17" s="2" t="s">
        <v>86</v>
      </c>
      <c r="H17" s="2" t="s">
        <v>71</v>
      </c>
      <c r="I17" s="2" t="str">
        <f>IFERROR(__xludf.DUMMYFUNCTION("GOOGLETRANSLATE(C17,""fr"",""en"")"),"I am satisfied with direct insurance however I would have liked to be able to modify the contract holder if possible online which is not currently the case ")</f>
        <v>I am satisfied with direct insurance however I would have liked to be able to modify the contract holder if possible online which is not currently the case </v>
      </c>
    </row>
    <row r="18">
      <c r="A18" s="2">
        <v>1.0</v>
      </c>
      <c r="B18" s="2" t="s">
        <v>87</v>
      </c>
      <c r="C18" s="2" t="s">
        <v>88</v>
      </c>
      <c r="D18" s="2" t="s">
        <v>89</v>
      </c>
      <c r="E18" s="2" t="s">
        <v>39</v>
      </c>
      <c r="F18" s="2" t="s">
        <v>15</v>
      </c>
      <c r="G18" s="2" t="s">
        <v>90</v>
      </c>
      <c r="H18" s="2" t="s">
        <v>74</v>
      </c>
      <c r="I18" s="2" t="str">
        <f>IFERROR(__xludf.DUMMYFUNCTION("GOOGLETRANSLATE(C18,""fr"",""en"")"),"does not take into account the termination even after having given its agreement to the general agent - documented")</f>
        <v>does not take into account the termination even after having given its agreement to the general agent - documented</v>
      </c>
    </row>
    <row r="19">
      <c r="A19" s="2">
        <v>5.0</v>
      </c>
      <c r="B19" s="2" t="s">
        <v>91</v>
      </c>
      <c r="C19" s="2" t="s">
        <v>92</v>
      </c>
      <c r="D19" s="2" t="s">
        <v>28</v>
      </c>
      <c r="E19" s="2" t="s">
        <v>14</v>
      </c>
      <c r="F19" s="2" t="s">
        <v>15</v>
      </c>
      <c r="G19" s="2" t="s">
        <v>93</v>
      </c>
      <c r="H19" s="2" t="s">
        <v>94</v>
      </c>
      <c r="I19" s="2" t="str">
        <f>IFERROR(__xludf.DUMMYFUNCTION("GOOGLETRANSLATE(C19,""fr"",""en"")"),"The magnificent price. I'm interested. I recommend it for everyone.
It is simpler and more practical.
Just the green sticker I didn't receive for my first car.")</f>
        <v>The magnificent price. I'm interested. I recommend it for everyone.
It is simpler and more practical.
Just the green sticker I didn't receive for my first car.</v>
      </c>
    </row>
    <row r="20">
      <c r="A20" s="2">
        <v>5.0</v>
      </c>
      <c r="B20" s="2" t="s">
        <v>95</v>
      </c>
      <c r="C20" s="2" t="s">
        <v>96</v>
      </c>
      <c r="D20" s="2" t="s">
        <v>28</v>
      </c>
      <c r="E20" s="2" t="s">
        <v>14</v>
      </c>
      <c r="F20" s="2" t="s">
        <v>15</v>
      </c>
      <c r="G20" s="2" t="s">
        <v>97</v>
      </c>
      <c r="H20" s="2" t="s">
        <v>25</v>
      </c>
      <c r="I20" s="2" t="str">
        <f>IFERROR(__xludf.DUMMYFUNCTION("GOOGLETRANSLATE(C20,""fr"",""en"")"),"Very professional customer service, responds to requests and provides answers that are as clear as they are precise. To see in the long term and the management of files. ")</f>
        <v>Very professional customer service, responds to requests and provides answers that are as clear as they are precise. To see in the long term and the management of files. </v>
      </c>
    </row>
    <row r="21" ht="15.75" customHeight="1">
      <c r="A21" s="2">
        <v>1.0</v>
      </c>
      <c r="B21" s="2" t="s">
        <v>98</v>
      </c>
      <c r="C21" s="2" t="s">
        <v>99</v>
      </c>
      <c r="D21" s="2" t="s">
        <v>100</v>
      </c>
      <c r="E21" s="2" t="s">
        <v>101</v>
      </c>
      <c r="F21" s="2" t="s">
        <v>15</v>
      </c>
      <c r="G21" s="2" t="s">
        <v>102</v>
      </c>
      <c r="H21" s="2" t="s">
        <v>41</v>
      </c>
      <c r="I21" s="2" t="str">
        <f>IFERROR(__xludf.DUMMYFUNCTION("GOOGLETRANSLATE(C21,""fr"",""en"")"),"we have been waiting for more than a month for a response from the medical service for my wife, they first require that I subscribe before sending the proposal for Madam.")</f>
        <v>we have been waiting for more than a month for a response from the medical service for my wife, they first require that I subscribe before sending the proposal for Madam.</v>
      </c>
    </row>
    <row r="22" ht="15.75" customHeight="1">
      <c r="A22" s="2">
        <v>5.0</v>
      </c>
      <c r="B22" s="2" t="s">
        <v>103</v>
      </c>
      <c r="C22" s="2" t="s">
        <v>104</v>
      </c>
      <c r="D22" s="2" t="s">
        <v>13</v>
      </c>
      <c r="E22" s="2" t="s">
        <v>14</v>
      </c>
      <c r="F22" s="2" t="s">
        <v>15</v>
      </c>
      <c r="G22" s="2" t="s">
        <v>30</v>
      </c>
      <c r="H22" s="2" t="s">
        <v>30</v>
      </c>
      <c r="I22" s="2" t="str">
        <f>IFERROR(__xludf.DUMMYFUNCTION("GOOGLETRANSLATE(C22,""fr"",""en"")"),"Impeccable service, lived up to our expectations and more.
Fair price, hard to find better. 
I highly recommend it to everyone.
")</f>
        <v>Impeccable service, lived up to our expectations and more.
Fair price, hard to find better. 
I highly recommend it to everyone.
</v>
      </c>
    </row>
    <row r="23" ht="15.75" customHeight="1">
      <c r="A23" s="2">
        <v>1.0</v>
      </c>
      <c r="B23" s="2" t="s">
        <v>105</v>
      </c>
      <c r="C23" s="2" t="s">
        <v>106</v>
      </c>
      <c r="D23" s="2" t="s">
        <v>65</v>
      </c>
      <c r="E23" s="2" t="s">
        <v>14</v>
      </c>
      <c r="F23" s="2" t="s">
        <v>15</v>
      </c>
      <c r="G23" s="2" t="s">
        <v>107</v>
      </c>
      <c r="H23" s="2" t="s">
        <v>108</v>
      </c>
      <c r="I23" s="2" t="str">
        <f>IFERROR(__xludf.DUMMYFUNCTION("GOOGLETRANSLATE(C23,""fr"",""en"")"),"Insurance to be avoided at all costs!! excessively expensive price, but on the other hand as soon as there is the slightest problem, it's an obstacle course!  I had my car shocked in the parking lot of my workplace (shopping center, etc.), a small dent in"&amp;" the door, I declared the incident to my insurance, who asked me to file a complaint at the police station + a completed report that on the one hand, I comply (half day of work lost at my expense of course! my employer doesn't care about my stories), foll"&amp;"owing that after sending the docs, my interlocutor questions my word, great it starts well. After discussion he asked me to make a quote, I made 3! more time wasted and trips to the garage (another half day in the center). I present the quotes, repair 600"&amp;"euro (on which I have a deductible of 400euro). Allianz opens my file and asks me to go to a mechanic with whom they work in order to benefit from rapid expertise etc.... (the lady on the phone strongly advises me or even insists by telling me stories abo"&amp;"ut parts guarantees etc, to go to that one and not to a mechanic of my choice, in other words Peugeot), well I find it strange but I do it (another 2 hours lost from my working day to go, take photos, etc. ...). 2 weeks later radio silence, I called this "&amp;"garage again, they had forgotten to send my photos to the experts, they ended up doing so, and then I received a call from the expert telling me that the photos were not okay, he need an appointment!! all this for a simple bend on a door, for a repair whi"&amp;"ch will ultimately cost my insurer barely 100 euros!! Well, I called the expert back, and to my surprise, he asked me to immobilize the vehicle for half a day or to come to their house to carry out an assessment. I explain to them that I have already wast"&amp;"ed enough time as it is and that I am certainly not going to lose another 1/2 day of work to spend with them, I ask them to simply come, being not far from my workplace (they are 3 minutes away)! It’s a categorical No. so if I do my calculation, for a rep"&amp;"air at 600th, with 400th deductible and my 3 half days of work lost (200th salary) to still go to an expert and wait for a response which could be unfavorable, no thank you. I'm giving up on the matter, in the end it costs me more with all this than payin"&amp;"g for the repair entirely myself. So I ask myself the question what is the point of paying for such expensive all-risk insurance, if everything is done to discourage you for a simple repair, what would it be like if the shock or the repairs were more sign"&amp;"ificant? As soon as possible, I am removing my 2 vehicles from them, frankly, very bad experience. This is absurd... ")</f>
        <v>Insurance to be avoided at all costs!! excessively expensive price, but on the other hand as soon as there is the slightest problem, it's an obstacle course!  I had my car shocked in the parking lot of my workplace (shopping center, etc.), a small dent in the door, I declared the incident to my insurance, who asked me to file a complaint at the police station + a completed report that on the one hand, I comply (half day of work lost at my expense of course! my employer doesn't care about my stories), following that after sending the docs, my interlocutor questions my word, great it starts well. After discussion he asked me to make a quote, I made 3! more time wasted and trips to the garage (another half day in the center). I present the quotes, repair 600euro (on which I have a deductible of 400euro). Allianz opens my file and asks me to go to a mechanic with whom they work in order to benefit from rapid expertise etc.... (the lady on the phone strongly advises me or even insists by telling me stories about parts guarantees etc, to go to that one and not to a mechanic of my choice, in other words Peugeot), well I find it strange but I do it (another 2 hours lost from my working day to go, take photos, etc. ...). 2 weeks later radio silence, I called this garage again, they had forgotten to send my photos to the experts, they ended up doing so, and then I received a call from the expert telling me that the photos were not okay, he need an appointment!! all this for a simple bend on a door, for a repair which will ultimately cost my insurer barely 100 euros!! Well, I called the expert back, and to my surprise, he asked me to immobilize the vehicle for half a day or to come to their house to carry out an assessment. I explain to them that I have already wasted enough time as it is and that I am certainly not going to lose another 1/2 day of work to spend with them, I ask them to simply come, being not far from my workplace (they are 3 minutes away)! It’s a categorical No. so if I do my calculation, for a repair at 600th, with 400th deductible and my 3 half days of work lost (200th salary) to still go to an expert and wait for a response which could be unfavorable, no thank you. I'm giving up on the matter, in the end it costs me more with all this than paying for the repair entirely myself. So I ask myself the question what is the point of paying for such expensive all-risk insurance, if everything is done to discourage you for a simple repair, what would it be like if the shock or the repairs were more significant? As soon as possible, I am removing my 2 vehicles from them, frankly, very bad experience. This is absurd... </v>
      </c>
    </row>
    <row r="24" ht="15.75" customHeight="1">
      <c r="A24" s="2">
        <v>5.0</v>
      </c>
      <c r="B24" s="2" t="s">
        <v>109</v>
      </c>
      <c r="C24" s="2" t="s">
        <v>110</v>
      </c>
      <c r="D24" s="2" t="s">
        <v>80</v>
      </c>
      <c r="E24" s="2" t="s">
        <v>81</v>
      </c>
      <c r="F24" s="2" t="s">
        <v>15</v>
      </c>
      <c r="G24" s="2" t="s">
        <v>111</v>
      </c>
      <c r="H24" s="2" t="s">
        <v>111</v>
      </c>
      <c r="I24" s="2" t="str">
        <f>IFERROR(__xludf.DUMMYFUNCTION("GOOGLETRANSLATE(C24,""fr"",""en"")"),"Very good, I am happy with the price hoping that the insurance will follow I have received only praise from this insurance regarding the insurance coverage they have a range of coverage that no other offers")</f>
        <v>Very good, I am happy with the price hoping that the insurance will follow I have received only praise from this insurance regarding the insurance coverage they have a range of coverage that no other offers</v>
      </c>
    </row>
    <row r="25" ht="15.75" customHeight="1">
      <c r="A25" s="2">
        <v>4.0</v>
      </c>
      <c r="B25" s="2" t="s">
        <v>112</v>
      </c>
      <c r="C25" s="2" t="s">
        <v>113</v>
      </c>
      <c r="D25" s="2" t="s">
        <v>28</v>
      </c>
      <c r="E25" s="2" t="s">
        <v>14</v>
      </c>
      <c r="F25" s="2" t="s">
        <v>15</v>
      </c>
      <c r="G25" s="2" t="s">
        <v>114</v>
      </c>
      <c r="H25" s="2" t="s">
        <v>46</v>
      </c>
      <c r="I25" s="2" t="str">
        <f>IFERROR(__xludf.DUMMYFUNCTION("GOOGLETRANSLATE(C25,""fr"",""en"")"),"ok, good progress of the contract and smoothness of the site, correct and intuitive
all elements were clear and precise
I recommend this insurance to my loved ones")</f>
        <v>ok, good progress of the contract and smoothness of the site, correct and intuitive
all elements were clear and precise
I recommend this insurance to my loved ones</v>
      </c>
    </row>
    <row r="26" ht="15.75" customHeight="1">
      <c r="A26" s="2">
        <v>2.0</v>
      </c>
      <c r="B26" s="2" t="s">
        <v>115</v>
      </c>
      <c r="C26" s="2" t="s">
        <v>116</v>
      </c>
      <c r="D26" s="2" t="s">
        <v>28</v>
      </c>
      <c r="E26" s="2" t="s">
        <v>14</v>
      </c>
      <c r="F26" s="2" t="s">
        <v>15</v>
      </c>
      <c r="G26" s="2" t="s">
        <v>117</v>
      </c>
      <c r="H26" s="2" t="s">
        <v>17</v>
      </c>
      <c r="I26" s="2" t="str">
        <f>IFERROR(__xludf.DUMMYFUNCTION("GOOGLETRANSLATE(C26,""fr"",""en"")"),"During my renewal with Olivier Assurance, I have questions about my new postal address and the deadline for sending my green card. It's complicated to get to the customer service number, and above all this number is never accessible. The lack of exchange,"&amp;" and the labyrinth that this company puts me through, it does not respect the service owed to its customers. ")</f>
        <v>During my renewal with Olivier Assurance, I have questions about my new postal address and the deadline for sending my green card. It's complicated to get to the customer service number, and above all this number is never accessible. The lack of exchange, and the labyrinth that this company puts me through, it does not respect the service owed to its customers. </v>
      </c>
    </row>
    <row r="27" ht="15.75" customHeight="1">
      <c r="A27" s="2">
        <v>2.0</v>
      </c>
      <c r="B27" s="2" t="s">
        <v>118</v>
      </c>
      <c r="C27" s="2" t="s">
        <v>119</v>
      </c>
      <c r="D27" s="2" t="s">
        <v>120</v>
      </c>
      <c r="E27" s="2" t="s">
        <v>61</v>
      </c>
      <c r="F27" s="2" t="s">
        <v>15</v>
      </c>
      <c r="G27" s="2" t="s">
        <v>121</v>
      </c>
      <c r="H27" s="2" t="s">
        <v>21</v>
      </c>
      <c r="I27" s="2" t="str">
        <f>IFERROR(__xludf.DUMMYFUNCTION("GOOGLETRANSLATE(C27,""fr"",""en"")"),"An AFER member for more than 20 years, I now regret my choice. AFER was a remarkable idea at the time, but today the service absolutely does not match the management costs. Certainly the website has been modernized and is much more user-friendly than befo"&amp;"re, but it is currently impossible for me to make a partial redemption even though my account has the necessary funds. The computer system sends me back a message asking me to make my request by La Poste using a form not found on the site or to contact my"&amp;" ""provider"", a local company that is often unreachable. 
As for the GIE telephone number, it's welcome to the world of virtuality, version 0.0 because after various setbacks in the sub-menus the only help I found there was to contact my ""provider"". 
"&amp;"
To all those who might be tempted to bring their savings to AFER, be warned of the problems you will encounter, and as it is impossible to transfer your savings without tax consequences, you will only have to regret your choice. We are a long way from th"&amp;"e noble ideals which prevailed at the creation of the AFER.")</f>
        <v>An AFER member for more than 20 years, I now regret my choice. AFER was a remarkable idea at the time, but today the service absolutely does not match the management costs. Certainly the website has been modernized and is much more user-friendly than before, but it is currently impossible for me to make a partial redemption even though my account has the necessary funds. The computer system sends me back a message asking me to make my request by La Poste using a form not found on the site or to contact my "provider", a local company that is often unreachable. 
As for the GIE telephone number, it's welcome to the world of virtuality, version 0.0 because after various setbacks in the sub-menus the only help I found there was to contact my "provider". 
To all those who might be tempted to bring their savings to AFER, be warned of the problems you will encounter, and as it is impossible to transfer your savings without tax consequences, you will only have to regret your choice. We are a long way from the noble ideals which prevailed at the creation of the AFER.</v>
      </c>
    </row>
    <row r="28" ht="15.75" customHeight="1">
      <c r="A28" s="2">
        <v>1.0</v>
      </c>
      <c r="B28" s="2" t="s">
        <v>122</v>
      </c>
      <c r="C28" s="2" t="s">
        <v>123</v>
      </c>
      <c r="D28" s="2" t="s">
        <v>33</v>
      </c>
      <c r="E28" s="2" t="s">
        <v>14</v>
      </c>
      <c r="F28" s="2" t="s">
        <v>15</v>
      </c>
      <c r="G28" s="2" t="s">
        <v>124</v>
      </c>
      <c r="H28" s="2" t="s">
        <v>125</v>
      </c>
      <c r="I28" s="2" t="str">
        <f>IFERROR(__xludf.DUMMYFUNCTION("GOOGLETRANSLATE(C28,""fr"",""en"")"),"I strongly advise against it. We have just been released without delay (or almost, 2 months) for too many claims because unfortunately we have had 3 claims in 3 years (1 of which he does not cover as it is outside the contract anyway !) while nothing at a"&amp;"ll the previous 10 years. Not even a phone call, just a poor, extremely violent letter. Run away!
")</f>
        <v>I strongly advise against it. We have just been released without delay (or almost, 2 months) for too many claims because unfortunately we have had 3 claims in 3 years (1 of which he does not cover as it is outside the contract anyway !) while nothing at all the previous 10 years. Not even a phone call, just a poor, extremely violent letter. Run away!
</v>
      </c>
    </row>
    <row r="29" ht="15.75" customHeight="1">
      <c r="A29" s="2">
        <v>1.0</v>
      </c>
      <c r="B29" s="2" t="s">
        <v>126</v>
      </c>
      <c r="C29" s="2" t="s">
        <v>127</v>
      </c>
      <c r="D29" s="2" t="s">
        <v>128</v>
      </c>
      <c r="E29" s="2" t="s">
        <v>129</v>
      </c>
      <c r="F29" s="2" t="s">
        <v>15</v>
      </c>
      <c r="G29" s="2" t="s">
        <v>29</v>
      </c>
      <c r="H29" s="2" t="s">
        <v>30</v>
      </c>
      <c r="I29" s="2" t="str">
        <f>IFERROR(__xludf.DUMMYFUNCTION("GOOGLETRANSLATE(C29,""fr"",""en"")"),"Above all, do not take out insurance with them. Insured with them for 11 years for my wife's house and car and a problem with the withdrawal of 44 euros due to an error by the bank and we found ourselves canceled without warning us overnight. So we call t"&amp;"hem and they ask us to pay the entire amount over a year which we do and the magic is that we terminate the contract despite the fact that we have paid until 2022 and we have nothing to say, we pay but we don't have insurance. They take the money but don'"&amp;"t provide the benefits. Despite several calls from our banker as well as the agency director and ourselves, they don't want to hear anything. There is a big problem within this insurer, the agency director himself recognizes several problems with pacifica"&amp;" with several clients, flee as quickly as possible, you will find much better, cheaper and above all more competent among the competition. ")</f>
        <v>Above all, do not take out insurance with them. Insured with them for 11 years for my wife's house and car and a problem with the withdrawal of 44 euros due to an error by the bank and we found ourselves canceled without warning us overnight. So we call them and they ask us to pay the entire amount over a year which we do and the magic is that we terminate the contract despite the fact that we have paid until 2022 and we have nothing to say, we pay but we don't have insurance. They take the money but don't provide the benefits. Despite several calls from our banker as well as the agency director and ourselves, they don't want to hear anything. There is a big problem within this insurer, the agency director himself recognizes several problems with pacifica with several clients, flee as quickly as possible, you will find much better, cheaper and above all more competent among the competition. </v>
      </c>
    </row>
    <row r="30" ht="15.75" customHeight="1">
      <c r="A30" s="2">
        <v>5.0</v>
      </c>
      <c r="B30" s="2" t="s">
        <v>130</v>
      </c>
      <c r="C30" s="2" t="s">
        <v>131</v>
      </c>
      <c r="D30" s="2" t="s">
        <v>38</v>
      </c>
      <c r="E30" s="2" t="s">
        <v>39</v>
      </c>
      <c r="F30" s="2" t="s">
        <v>15</v>
      </c>
      <c r="G30" s="2" t="s">
        <v>132</v>
      </c>
      <c r="H30" s="2" t="s">
        <v>133</v>
      </c>
      <c r="I30" s="2" t="str">
        <f>IFERROR(__xludf.DUMMYFUNCTION("GOOGLETRANSLATE(C30,""fr"",""en"")"),"Néoliane has covered me for 2 years and despite a small increase in January 2017, it remains the most interesting supplement for me. It is important to make the comparison every year because the savings are there and they are still significant...")</f>
        <v>Néoliane has covered me for 2 years and despite a small increase in January 2017, it remains the most interesting supplement for me. It is important to make the comparison every year because the savings are there and they are still significant...</v>
      </c>
    </row>
    <row r="31" ht="15.75" customHeight="1">
      <c r="A31" s="2">
        <v>1.0</v>
      </c>
      <c r="B31" s="2" t="s">
        <v>134</v>
      </c>
      <c r="C31" s="2" t="s">
        <v>135</v>
      </c>
      <c r="D31" s="2" t="s">
        <v>136</v>
      </c>
      <c r="E31" s="2" t="s">
        <v>137</v>
      </c>
      <c r="F31" s="2" t="s">
        <v>15</v>
      </c>
      <c r="G31" s="2" t="s">
        <v>138</v>
      </c>
      <c r="H31" s="2" t="s">
        <v>139</v>
      </c>
      <c r="I31" s="2" t="str">
        <f>IFERROR(__xludf.DUMMYFUNCTION("GOOGLETRANSLATE(C31,""fr"",""en"")"),"Since May 2018 I have been fighting to get corrective lenses and frames, only SwissLife gave me 3 different quotes and above all which do not correspond to the contract amounts. It is impossible to date to have a person to regularize the situation and I a"&amp;"m making an observation that we are very bad. in this situation unfortunately. that wasted time is not a normal situation.
")</f>
        <v>Since May 2018 I have been fighting to get corrective lenses and frames, only SwissLife gave me 3 different quotes and above all which do not correspond to the contract amounts. It is impossible to date to have a person to regularize the situation and I am making an observation that we are very bad. in this situation unfortunately. that wasted time is not a normal situation.
</v>
      </c>
    </row>
    <row r="32" ht="15.75" customHeight="1">
      <c r="A32" s="2">
        <v>5.0</v>
      </c>
      <c r="B32" s="2" t="s">
        <v>140</v>
      </c>
      <c r="C32" s="2" t="s">
        <v>141</v>
      </c>
      <c r="D32" s="2" t="s">
        <v>80</v>
      </c>
      <c r="E32" s="2" t="s">
        <v>81</v>
      </c>
      <c r="F32" s="2" t="s">
        <v>15</v>
      </c>
      <c r="G32" s="2" t="s">
        <v>142</v>
      </c>
      <c r="H32" s="2" t="s">
        <v>111</v>
      </c>
      <c r="I32" s="2" t="str">
        <f>IFERROR(__xludf.DUMMYFUNCTION("GOOGLETRANSLATE(C32,""fr"",""en"")"),"hello, I went through les ferets.com, several proposals appeared to me, but april remains for me, simple, fast and inexpensive, 
price level I recommend.")</f>
        <v>hello, I went through les ferets.com, several proposals appeared to me, but april remains for me, simple, fast and inexpensive, 
price level I recommend.</v>
      </c>
    </row>
    <row r="33" ht="15.75" customHeight="1">
      <c r="A33" s="2">
        <v>1.0</v>
      </c>
      <c r="B33" s="2" t="s">
        <v>143</v>
      </c>
      <c r="C33" s="2" t="s">
        <v>144</v>
      </c>
      <c r="D33" s="2" t="s">
        <v>145</v>
      </c>
      <c r="E33" s="2" t="s">
        <v>14</v>
      </c>
      <c r="F33" s="2" t="s">
        <v>15</v>
      </c>
      <c r="G33" s="2" t="s">
        <v>146</v>
      </c>
      <c r="H33" s="2" t="s">
        <v>125</v>
      </c>
      <c r="I33" s="2" t="str">
        <f>IFERROR(__xludf.DUMMYFUNCTION("GOOGLETRANSLATE(C33,""fr"",""en"")"),"BEAUTIFUL PROMISES at registration but in reality liars.
A disaster, a car stuck behind me, I back up to be able to free myself, I damage the bumper of the car, the Maaf did not want to take into consideration all the explanations written on the report an"&amp;"d decides that I am alone 
Responsible. On the phone, someone told me that this time I wouldn't be hurt. 
However, I receive the due date notices and I am indeed penalized.
All our contracts are with them.
I have had other offers from local agencies where"&amp;" the contact is more commercial, competent, friendly secretaries.
So decisions will be quick")</f>
        <v>BEAUTIFUL PROMISES at registration but in reality liars.
A disaster, a car stuck behind me, I back up to be able to free myself, I damage the bumper of the car, the Maaf did not want to take into consideration all the explanations written on the report and decides that I am alone 
Responsible. On the phone, someone told me that this time I wouldn't be hurt. 
However, I receive the due date notices and I am indeed penalized.
All our contracts are with them.
I have had other offers from local agencies where the contact is more commercial, competent, friendly secretaries.
So decisions will be quick</v>
      </c>
    </row>
    <row r="34" ht="15.75" customHeight="1">
      <c r="A34" s="2">
        <v>4.0</v>
      </c>
      <c r="B34" s="2" t="s">
        <v>147</v>
      </c>
      <c r="C34" s="2" t="s">
        <v>148</v>
      </c>
      <c r="D34" s="2" t="s">
        <v>28</v>
      </c>
      <c r="E34" s="2" t="s">
        <v>14</v>
      </c>
      <c r="F34" s="2" t="s">
        <v>15</v>
      </c>
      <c r="G34" s="2" t="s">
        <v>149</v>
      </c>
      <c r="H34" s="2" t="s">
        <v>111</v>
      </c>
      <c r="I34" s="2" t="str">
        <f>IFERROR(__xludf.DUMMYFUNCTION("GOOGLETRANSLATE(C34,""fr"",""en"")"),"I am satisfied with the service, and efficient when you call the service quickly takes the call, I am happy to have been a customer of ours, I say thank you")</f>
        <v>I am satisfied with the service, and efficient when you call the service quickly takes the call, I am happy to have been a customer of ours, I say thank you</v>
      </c>
    </row>
    <row r="35" ht="15.75" customHeight="1">
      <c r="A35" s="2">
        <v>1.0</v>
      </c>
      <c r="B35" s="2" t="s">
        <v>150</v>
      </c>
      <c r="C35" s="2" t="s">
        <v>151</v>
      </c>
      <c r="D35" s="2" t="s">
        <v>65</v>
      </c>
      <c r="E35" s="2" t="s">
        <v>137</v>
      </c>
      <c r="F35" s="2" t="s">
        <v>15</v>
      </c>
      <c r="G35" s="2" t="s">
        <v>152</v>
      </c>
      <c r="H35" s="2" t="s">
        <v>125</v>
      </c>
      <c r="I35" s="2" t="str">
        <f>IFERROR(__xludf.DUMMYFUNCTION("GOOGLETRANSLATE(C35,""fr"",""en"")"),"To avoid, dismal pension insurance.... Very long processing times! They constantly ask you for documents that you have already sent to them; They certainly don’t open their emails, in fact they never respond to them. You have to call them all the time, fo"&amp;"llow up with them by phone and when you get them, you are told that it is being processed when that is completely false, you call them back 15 days later and you are still at the same point. that is to say nowhere... it's shameful to make fun of people li"&amp;"ke that and indeed, to accept it there is no problem, it's well settled on that side! Personally, I am already badly affected by my illness and what's more, they add additional stress and anxiety to me by putting me in a precarious situation. 
They advoca"&amp;"te 2020 excellence with more than 6,500 employees... well, we wonder where they are... in the cafeteria perhaps!!!
And if I could have given zero stars, I would have done so????????????")</f>
        <v>To avoid, dismal pension insurance.... Very long processing times! They constantly ask you for documents that you have already sent to them; They certainly don’t open their emails, in fact they never respond to them. You have to call them all the time, follow up with them by phone and when you get them, you are told that it is being processed when that is completely false, you call them back 15 days later and you are still at the same point. that is to say nowhere... it's shameful to make fun of people like that and indeed, to accept it there is no problem, it's well settled on that side! Personally, I am already badly affected by my illness and what's more, they add additional stress and anxiety to me by putting me in a precarious situation. 
They advocate 2020 excellence with more than 6,500 employees... well, we wonder where they are... in the cafeteria perhaps!!!
And if I could have given zero stars, I would have done so????????????</v>
      </c>
    </row>
    <row r="36" ht="15.75" customHeight="1">
      <c r="A36" s="2">
        <v>4.0</v>
      </c>
      <c r="B36" s="2" t="s">
        <v>153</v>
      </c>
      <c r="C36" s="2" t="s">
        <v>154</v>
      </c>
      <c r="D36" s="2" t="s">
        <v>28</v>
      </c>
      <c r="E36" s="2" t="s">
        <v>14</v>
      </c>
      <c r="F36" s="2" t="s">
        <v>15</v>
      </c>
      <c r="G36" s="2" t="s">
        <v>155</v>
      </c>
      <c r="H36" s="2" t="s">
        <v>71</v>
      </c>
      <c r="I36" s="2" t="str">
        <f>IFERROR(__xludf.DUMMYFUNCTION("GOOGLETRANSLATE(C36,""fr"",""en"")"),"very satisfied with the service
strange, the price did not really correspond to the simulations carried out.
Otherwise, subscribing is quick and easy.
Documents are received within a minute")</f>
        <v>very satisfied with the service
strange, the price did not really correspond to the simulations carried out.
Otherwise, subscribing is quick and easy.
Documents are received within a minute</v>
      </c>
    </row>
    <row r="37" ht="15.75" customHeight="1">
      <c r="A37" s="2">
        <v>5.0</v>
      </c>
      <c r="B37" s="2" t="s">
        <v>156</v>
      </c>
      <c r="C37" s="2" t="s">
        <v>157</v>
      </c>
      <c r="D37" s="2" t="s">
        <v>44</v>
      </c>
      <c r="E37" s="2" t="s">
        <v>39</v>
      </c>
      <c r="F37" s="2" t="s">
        <v>15</v>
      </c>
      <c r="G37" s="2" t="s">
        <v>158</v>
      </c>
      <c r="H37" s="2" t="s">
        <v>46</v>
      </c>
      <c r="I37" s="2" t="str">
        <f>IFERROR(__xludf.DUMMYFUNCTION("GOOGLETRANSLATE(C37,""fr"",""en"")"),"I am satisfied with the service
the prices suit me
the guarantees are enough for me for now
membership is quick, simple, efficient and practical 
Sincerely.")</f>
        <v>I am satisfied with the service
the prices suit me
the guarantees are enough for me for now
membership is quick, simple, efficient and practical 
Sincerely.</v>
      </c>
    </row>
    <row r="38" ht="15.75" customHeight="1">
      <c r="A38" s="2">
        <v>4.0</v>
      </c>
      <c r="B38" s="2" t="s">
        <v>159</v>
      </c>
      <c r="C38" s="2" t="s">
        <v>160</v>
      </c>
      <c r="D38" s="2" t="s">
        <v>80</v>
      </c>
      <c r="E38" s="2" t="s">
        <v>81</v>
      </c>
      <c r="F38" s="2" t="s">
        <v>15</v>
      </c>
      <c r="G38" s="2" t="s">
        <v>161</v>
      </c>
      <c r="H38" s="2" t="s">
        <v>83</v>
      </c>
      <c r="I38" s="2" t="str">
        <f>IFERROR(__xludf.DUMMYFUNCTION("GOOGLETRANSLATE(C38,""fr"",""en"")"),"A good site for information 
Simple, fast and quick 
I highly recommend this site for young people entering the world as bikers.      ")</f>
        <v>A good site for information 
Simple, fast and quick 
I highly recommend this site for young people entering the world as bikers.      </v>
      </c>
    </row>
    <row r="39" ht="15.75" customHeight="1">
      <c r="A39" s="2">
        <v>4.0</v>
      </c>
      <c r="B39" s="2" t="s">
        <v>162</v>
      </c>
      <c r="C39" s="2" t="s">
        <v>163</v>
      </c>
      <c r="D39" s="2" t="s">
        <v>13</v>
      </c>
      <c r="E39" s="2" t="s">
        <v>14</v>
      </c>
      <c r="F39" s="2" t="s">
        <v>15</v>
      </c>
      <c r="G39" s="2" t="s">
        <v>164</v>
      </c>
      <c r="H39" s="2" t="s">
        <v>30</v>
      </c>
      <c r="I39" s="2" t="str">
        <f>IFERROR(__xludf.DUMMYFUNCTION("GOOGLETRANSLATE(C39,""fr"",""en"")"),"The price is very advantageous, the service is responsive, it does not have 5 stars because like many insurance companies, there are lots of clauses not included in the packages unfortunately..
Overall satisfied")</f>
        <v>The price is very advantageous, the service is responsive, it does not have 5 stars because like many insurance companies, there are lots of clauses not included in the packages unfortunately..
Overall satisfied</v>
      </c>
    </row>
    <row r="40" ht="15.75" customHeight="1">
      <c r="A40" s="2">
        <v>4.0</v>
      </c>
      <c r="B40" s="2" t="s">
        <v>165</v>
      </c>
      <c r="C40" s="2" t="s">
        <v>166</v>
      </c>
      <c r="D40" s="2" t="s">
        <v>13</v>
      </c>
      <c r="E40" s="2" t="s">
        <v>14</v>
      </c>
      <c r="F40" s="2" t="s">
        <v>15</v>
      </c>
      <c r="G40" s="2" t="s">
        <v>167</v>
      </c>
      <c r="H40" s="2" t="s">
        <v>17</v>
      </c>
      <c r="I40" s="2" t="str">
        <f>IFERROR(__xludf.DUMMYFUNCTION("GOOGLETRANSLATE(C40,""fr"",""en"")"),"Thank you for this rapid processing of my file. It's a pleasure: fast, efficient and the prices are always as attractive. I wish you a very good day")</f>
        <v>Thank you for this rapid processing of my file. It's a pleasure: fast, efficient and the prices are always as attractive. I wish you a very good day</v>
      </c>
    </row>
    <row r="41" ht="15.75" customHeight="1">
      <c r="A41" s="2">
        <v>3.0</v>
      </c>
      <c r="B41" s="2" t="s">
        <v>168</v>
      </c>
      <c r="C41" s="2" t="s">
        <v>169</v>
      </c>
      <c r="D41" s="2" t="s">
        <v>13</v>
      </c>
      <c r="E41" s="2" t="s">
        <v>14</v>
      </c>
      <c r="F41" s="2" t="s">
        <v>15</v>
      </c>
      <c r="G41" s="2" t="s">
        <v>170</v>
      </c>
      <c r="H41" s="2" t="s">
        <v>111</v>
      </c>
      <c r="I41" s="2" t="str">
        <f>IFERROR(__xludf.DUMMYFUNCTION("GOOGLETRANSLATE(C41,""fr"",""en"")"),"I am satisfied with the Direct site, the prices are affordable and interesting. hoping that if necessary, the service will be just as responsive and efficient.")</f>
        <v>I am satisfied with the Direct site, the prices are affordable and interesting. hoping that if necessary, the service will be just as responsive and efficient.</v>
      </c>
    </row>
    <row r="42" ht="15.75" customHeight="1">
      <c r="A42" s="2">
        <v>5.0</v>
      </c>
      <c r="B42" s="2" t="s">
        <v>171</v>
      </c>
      <c r="C42" s="2" t="s">
        <v>172</v>
      </c>
      <c r="D42" s="2" t="s">
        <v>80</v>
      </c>
      <c r="E42" s="2" t="s">
        <v>81</v>
      </c>
      <c r="F42" s="2" t="s">
        <v>15</v>
      </c>
      <c r="G42" s="2" t="s">
        <v>173</v>
      </c>
      <c r="H42" s="2" t="s">
        <v>30</v>
      </c>
      <c r="I42" s="2" t="str">
        <f>IFERROR(__xludf.DUMMYFUNCTION("GOOGLETRANSLATE(C42,""fr"",""en"")"),"I am satisfied with the service and the efficiency of the fast, practical Internet. Thank you for your trust. I will share your site with friends at an advantageous rate.")</f>
        <v>I am satisfied with the service and the efficiency of the fast, practical Internet. Thank you for your trust. I will share your site with friends at an advantageous rate.</v>
      </c>
    </row>
    <row r="43" ht="15.75" customHeight="1">
      <c r="A43" s="2">
        <v>4.0</v>
      </c>
      <c r="B43" s="2" t="s">
        <v>174</v>
      </c>
      <c r="C43" s="2" t="s">
        <v>175</v>
      </c>
      <c r="D43" s="2" t="s">
        <v>33</v>
      </c>
      <c r="E43" s="2" t="s">
        <v>14</v>
      </c>
      <c r="F43" s="2" t="s">
        <v>15</v>
      </c>
      <c r="G43" s="2" t="s">
        <v>176</v>
      </c>
      <c r="H43" s="2" t="s">
        <v>57</v>
      </c>
      <c r="I43" s="2" t="str">
        <f>IFERROR(__xludf.DUMMYFUNCTION("GOOGLETRANSLATE(C43,""fr"",""en"")"),"Good car insurance. I am satisfied with it. 
Plus, they lowered my rate this year because I haven't had an accident in a long time. I recommend.")</f>
        <v>Good car insurance. I am satisfied with it. 
Plus, they lowered my rate this year because I haven't had an accident in a long time. I recommend.</v>
      </c>
    </row>
    <row r="44" ht="15.75" customHeight="1">
      <c r="A44" s="2">
        <v>2.0</v>
      </c>
      <c r="B44" s="2" t="s">
        <v>177</v>
      </c>
      <c r="C44" s="2" t="s">
        <v>178</v>
      </c>
      <c r="D44" s="2" t="s">
        <v>179</v>
      </c>
      <c r="E44" s="2" t="s">
        <v>50</v>
      </c>
      <c r="F44" s="2" t="s">
        <v>15</v>
      </c>
      <c r="G44" s="2" t="s">
        <v>180</v>
      </c>
      <c r="H44" s="2" t="s">
        <v>181</v>
      </c>
      <c r="I44" s="2" t="str">
        <f>IFERROR(__xludf.DUMMYFUNCTION("GOOGLETRANSLATE(C44,""fr"",""en"")"),"Big disappointment, if I had known I would have gone directly to the insurer even if it meant paying a little more, that's what I plan to do when my contract expires, signed in a bogus way over the phone.")</f>
        <v>Big disappointment, if I had known I would have gone directly to the insurer even if it meant paying a little more, that's what I plan to do when my contract expires, signed in a bogus way over the phone.</v>
      </c>
    </row>
    <row r="45" ht="15.75" customHeight="1">
      <c r="A45" s="2">
        <v>2.0</v>
      </c>
      <c r="B45" s="2" t="s">
        <v>182</v>
      </c>
      <c r="C45" s="2" t="s">
        <v>183</v>
      </c>
      <c r="D45" s="2" t="s">
        <v>55</v>
      </c>
      <c r="E45" s="2" t="s">
        <v>39</v>
      </c>
      <c r="F45" s="2" t="s">
        <v>15</v>
      </c>
      <c r="G45" s="2" t="s">
        <v>184</v>
      </c>
      <c r="H45" s="2" t="s">
        <v>108</v>
      </c>
      <c r="I45" s="2" t="str">
        <f>IFERROR(__xludf.DUMMYFUNCTION("GOOGLETRANSLATE(C45,""fr"",""en"")"),"Since September 30, I have been waiting for dental reimbursement for an expense exceeding 1000 euros. MERCER has received all the supporting documents, sent several times via the internet and by registered mail with A/R and nothing has happened. No way to"&amp;" contact anyone for a clear explanation. ")</f>
        <v>Since September 30, I have been waiting for dental reimbursement for an expense exceeding 1000 euros. MERCER has received all the supporting documents, sent several times via the internet and by registered mail with A/R and nothing has happened. No way to contact anyone for a clear explanation. </v>
      </c>
    </row>
    <row r="46" ht="15.75" customHeight="1">
      <c r="A46" s="2">
        <v>5.0</v>
      </c>
      <c r="B46" s="2" t="s">
        <v>185</v>
      </c>
      <c r="C46" s="2" t="s">
        <v>186</v>
      </c>
      <c r="D46" s="2" t="s">
        <v>13</v>
      </c>
      <c r="E46" s="2" t="s">
        <v>14</v>
      </c>
      <c r="F46" s="2" t="s">
        <v>15</v>
      </c>
      <c r="G46" s="2" t="s">
        <v>187</v>
      </c>
      <c r="H46" s="2" t="s">
        <v>25</v>
      </c>
      <c r="I46" s="2" t="str">
        <f>IFERROR(__xludf.DUMMYFUNCTION("GOOGLETRANSLATE(C46,""fr"",""en"")"),"I am very satisfied with the customer service as well as the regular rates;
more in the event of a disaster; everything went very well; thanks again to customer service.")</f>
        <v>I am very satisfied with the customer service as well as the regular rates;
more in the event of a disaster; everything went very well; thanks again to customer service.</v>
      </c>
    </row>
    <row r="47" ht="15.75" customHeight="1">
      <c r="A47" s="2">
        <v>3.0</v>
      </c>
      <c r="B47" s="2" t="s">
        <v>188</v>
      </c>
      <c r="C47" s="2" t="s">
        <v>189</v>
      </c>
      <c r="D47" s="2" t="s">
        <v>190</v>
      </c>
      <c r="E47" s="2" t="s">
        <v>14</v>
      </c>
      <c r="F47" s="2" t="s">
        <v>15</v>
      </c>
      <c r="G47" s="2" t="s">
        <v>191</v>
      </c>
      <c r="H47" s="2" t="s">
        <v>111</v>
      </c>
      <c r="I47" s="2" t="str">
        <f>IFERROR(__xludf.DUMMYFUNCTION("GOOGLETRANSLATE(C47,""fr"",""en"")"),"I am satisfied to have the certificate but I find that all your prices are expensive and having to pay for teleworking is unacceptable because of what I pay for the year
I am not satisfied to have received a promotional offer on July 30 for the technical "&amp;"inspection of my car when I did it on July 21 and it expired on July 24.")</f>
        <v>I am satisfied to have the certificate but I find that all your prices are expensive and having to pay for teleworking is unacceptable because of what I pay for the year
I am not satisfied to have received a promotional offer on July 30 for the technical inspection of my car when I did it on July 21 and it expired on July 24.</v>
      </c>
    </row>
    <row r="48" ht="15.75" customHeight="1">
      <c r="A48" s="2">
        <v>4.0</v>
      </c>
      <c r="B48" s="2" t="s">
        <v>192</v>
      </c>
      <c r="C48" s="2" t="s">
        <v>193</v>
      </c>
      <c r="D48" s="2" t="s">
        <v>28</v>
      </c>
      <c r="E48" s="2" t="s">
        <v>14</v>
      </c>
      <c r="F48" s="2" t="s">
        <v>15</v>
      </c>
      <c r="G48" s="2" t="s">
        <v>194</v>
      </c>
      <c r="H48" s="2" t="s">
        <v>83</v>
      </c>
      <c r="I48" s="2" t="str">
        <f>IFERROR(__xludf.DUMMYFUNCTION("GOOGLETRANSLATE(C48,""fr"",""en"")"),"I am satisfied with your services, the price and the responsiveness of the advisor 
Nothing to report at the moment 
I recommend Olivier Assurance to my loved ones ")</f>
        <v>I am satisfied with your services, the price and the responsiveness of the advisor 
Nothing to report at the moment 
I recommend Olivier Assurance to my loved ones </v>
      </c>
    </row>
    <row r="49" ht="15.75" customHeight="1">
      <c r="A49" s="2">
        <v>5.0</v>
      </c>
      <c r="B49" s="2" t="s">
        <v>195</v>
      </c>
      <c r="C49" s="2" t="s">
        <v>196</v>
      </c>
      <c r="D49" s="2" t="s">
        <v>197</v>
      </c>
      <c r="E49" s="2" t="s">
        <v>81</v>
      </c>
      <c r="F49" s="2" t="s">
        <v>15</v>
      </c>
      <c r="G49" s="2" t="s">
        <v>198</v>
      </c>
      <c r="H49" s="2" t="s">
        <v>83</v>
      </c>
      <c r="I49" s="2" t="str">
        <f>IFERROR(__xludf.DUMMYFUNCTION("GOOGLETRANSLATE(C49,""fr"",""en"")"),"Very satisfied (long-time insured with AMV).
Fair prices, hard to find cheaper.
Clear website.
Insuring a new vehicle is very quick.
")</f>
        <v>Very satisfied (long-time insured with AMV).
Fair prices, hard to find cheaper.
Clear website.
Insuring a new vehicle is very quick.
</v>
      </c>
    </row>
    <row r="50" ht="15.75" customHeight="1">
      <c r="A50" s="2">
        <v>2.0</v>
      </c>
      <c r="B50" s="2" t="s">
        <v>199</v>
      </c>
      <c r="C50" s="2" t="s">
        <v>200</v>
      </c>
      <c r="D50" s="2" t="s">
        <v>128</v>
      </c>
      <c r="E50" s="2" t="s">
        <v>129</v>
      </c>
      <c r="F50" s="2" t="s">
        <v>15</v>
      </c>
      <c r="G50" s="2" t="s">
        <v>187</v>
      </c>
      <c r="H50" s="2" t="s">
        <v>25</v>
      </c>
      <c r="I50" s="2" t="str">
        <f>IFERROR(__xludf.DUMMYFUNCTION("GOOGLETRANSLATE(C50,""fr"",""en"")"),"Excellent insurance when we don't need their service and we suffer a loss. As for the telephone reception, I didn't find the right person....")</f>
        <v>Excellent insurance when we don't need their service and we suffer a loss. As for the telephone reception, I didn't find the right person....</v>
      </c>
    </row>
    <row r="51" ht="15.75" customHeight="1">
      <c r="A51" s="2">
        <v>3.0</v>
      </c>
      <c r="B51" s="2" t="s">
        <v>201</v>
      </c>
      <c r="C51" s="2" t="s">
        <v>202</v>
      </c>
      <c r="D51" s="2" t="s">
        <v>28</v>
      </c>
      <c r="E51" s="2" t="s">
        <v>14</v>
      </c>
      <c r="F51" s="2" t="s">
        <v>15</v>
      </c>
      <c r="G51" s="2" t="s">
        <v>203</v>
      </c>
      <c r="H51" s="2" t="s">
        <v>25</v>
      </c>
      <c r="I51" s="2" t="str">
        <f>IFERROR(__xludf.DUMMYFUNCTION("GOOGLETRANSLATE(C51,""fr"",""en"")"),"Very simple and practical: very well created site
very simple also in terms of subscription
quick and convenient!!!
hoping to have more advantageous rates by subscribing for other vehicles")</f>
        <v>Very simple and practical: very well created site
very simple also in terms of subscription
quick and convenient!!!
hoping to have more advantageous rates by subscribing for other vehicles</v>
      </c>
    </row>
    <row r="52" ht="15.75" customHeight="1">
      <c r="A52" s="2">
        <v>1.0</v>
      </c>
      <c r="B52" s="2" t="s">
        <v>204</v>
      </c>
      <c r="C52" s="2" t="s">
        <v>205</v>
      </c>
      <c r="D52" s="2" t="s">
        <v>13</v>
      </c>
      <c r="E52" s="2" t="s">
        <v>14</v>
      </c>
      <c r="F52" s="2" t="s">
        <v>15</v>
      </c>
      <c r="G52" s="2" t="s">
        <v>206</v>
      </c>
      <c r="H52" s="2" t="s">
        <v>207</v>
      </c>
      <c r="I52" s="2" t="str">
        <f>IFERROR(__xludf.DUMMYFUNCTION("GOOGLETRANSLATE(C52,""fr"",""en"")"),"Insured with direct insurance via avanssur, my car has not been insured for several months without my being informed!!!! Still no news from these people despite formal notices... Seizure to court.")</f>
        <v>Insured with direct insurance via avanssur, my car has not been insured for several months without my being informed!!!! Still no news from these people despite formal notices... Seizure to court.</v>
      </c>
    </row>
    <row r="53" ht="15.75" customHeight="1">
      <c r="A53" s="2">
        <v>1.0</v>
      </c>
      <c r="B53" s="2" t="s">
        <v>208</v>
      </c>
      <c r="C53" s="2" t="s">
        <v>209</v>
      </c>
      <c r="D53" s="2" t="s">
        <v>13</v>
      </c>
      <c r="E53" s="2" t="s">
        <v>14</v>
      </c>
      <c r="F53" s="2" t="s">
        <v>15</v>
      </c>
      <c r="G53" s="2" t="s">
        <v>152</v>
      </c>
      <c r="H53" s="2" t="s">
        <v>125</v>
      </c>
      <c r="I53" s="2" t="str">
        <f>IFERROR(__xludf.DUMMYFUNCTION("GOOGLETRANSLATE(C53,""fr"",""en"")"),"to flee as quickly as possible
- prices are attractive the first year, but increase substantially each year
- yes I had claims, but it was 3 broken windows and a theft - over 4 years, all not responsible, and they just canceled us - A BIG BRAVO, that's "&amp;"called having the customer at the heart of their activity
therefore one advises - AVOID THIS INSURER, any one is better than Direct Assurance.
It's Direct, but it's direct in the trash")</f>
        <v>to flee as quickly as possible
- prices are attractive the first year, but increase substantially each year
- yes I had claims, but it was 3 broken windows and a theft - over 4 years, all not responsible, and they just canceled us - A BIG BRAVO, that's called having the customer at the heart of their activity
therefore one advises - AVOID THIS INSURER, any one is better than Direct Assurance.
It's Direct, but it's direct in the trash</v>
      </c>
    </row>
    <row r="54" ht="15.75" customHeight="1">
      <c r="A54" s="2">
        <v>5.0</v>
      </c>
      <c r="B54" s="2" t="s">
        <v>210</v>
      </c>
      <c r="C54" s="2" t="s">
        <v>211</v>
      </c>
      <c r="D54" s="2" t="s">
        <v>80</v>
      </c>
      <c r="E54" s="2" t="s">
        <v>81</v>
      </c>
      <c r="F54" s="2" t="s">
        <v>15</v>
      </c>
      <c r="G54" s="2" t="s">
        <v>212</v>
      </c>
      <c r="H54" s="2" t="s">
        <v>30</v>
      </c>
      <c r="I54" s="2" t="str">
        <f>IFERROR(__xludf.DUMMYFUNCTION("GOOGLETRANSLATE(C54,""fr"",""en"")"),"Contract signed quickly with prices for top options.
The conditions are explicit and all the necessary information is given. If necessary, calling an advisor works well")</f>
        <v>Contract signed quickly with prices for top options.
The conditions are explicit and all the necessary information is given. If necessary, calling an advisor works well</v>
      </c>
    </row>
    <row r="55" ht="15.75" customHeight="1">
      <c r="A55" s="2">
        <v>2.0</v>
      </c>
      <c r="B55" s="2" t="s">
        <v>213</v>
      </c>
      <c r="C55" s="2" t="s">
        <v>214</v>
      </c>
      <c r="D55" s="2" t="s">
        <v>190</v>
      </c>
      <c r="E55" s="2" t="s">
        <v>129</v>
      </c>
      <c r="F55" s="2" t="s">
        <v>15</v>
      </c>
      <c r="G55" s="2" t="s">
        <v>215</v>
      </c>
      <c r="H55" s="2" t="s">
        <v>216</v>
      </c>
      <c r="I55" s="2" t="str">
        <f>IFERROR(__xludf.DUMMYFUNCTION("GOOGLETRANSLATE(C55,""fr"",""en"")"),"Billing for change of address even though we had just had the house insured with them upon our purchase. The error came from their service which had not made the billing change with the new contract. As a result, my car insurance contract decreased in pri"&amp;"ce but the GMF refuses to reimburse ")</f>
        <v>Billing for change of address even though we had just had the house insured with them upon our purchase. The error came from their service which had not made the billing change with the new contract. As a result, my car insurance contract decreased in price but the GMF refuses to reimburse </v>
      </c>
    </row>
    <row r="56" ht="15.75" customHeight="1">
      <c r="A56" s="2">
        <v>1.0</v>
      </c>
      <c r="B56" s="2" t="s">
        <v>217</v>
      </c>
      <c r="C56" s="2" t="s">
        <v>218</v>
      </c>
      <c r="D56" s="2" t="s">
        <v>219</v>
      </c>
      <c r="E56" s="2" t="s">
        <v>137</v>
      </c>
      <c r="F56" s="2" t="s">
        <v>15</v>
      </c>
      <c r="G56" s="2" t="s">
        <v>220</v>
      </c>
      <c r="H56" s="2" t="s">
        <v>67</v>
      </c>
      <c r="I56" s="2" t="str">
        <f>IFERROR(__xludf.DUMMYFUNCTION("GOOGLETRANSLATE(C56,""fr"",""en"")"),"No advice, no communication
Constantly asks for additional files so as not to reimburse in the end.
Does not respect his commitments. No reimbursement following a 30-day stoppage for an inguinal hernia, I have been asked to provide information on all my a"&amp;"ppointments with the doctor for ten years, even though I have never had a single stoppage of work.
We have to fill out a new document from the doctor in the middle of the covid crisis, it’s lamentable")</f>
        <v>No advice, no communication
Constantly asks for additional files so as not to reimburse in the end.
Does not respect his commitments. No reimbursement following a 30-day stoppage for an inguinal hernia, I have been asked to provide information on all my appointments with the doctor for ten years, even though I have never had a single stoppage of work.
We have to fill out a new document from the doctor in the middle of the covid crisis, it’s lamentable</v>
      </c>
    </row>
    <row r="57" ht="15.75" customHeight="1">
      <c r="A57" s="2">
        <v>2.0</v>
      </c>
      <c r="B57" s="2" t="s">
        <v>221</v>
      </c>
      <c r="C57" s="2" t="s">
        <v>222</v>
      </c>
      <c r="D57" s="2" t="s">
        <v>145</v>
      </c>
      <c r="E57" s="2" t="s">
        <v>129</v>
      </c>
      <c r="F57" s="2" t="s">
        <v>15</v>
      </c>
      <c r="G57" s="2" t="s">
        <v>223</v>
      </c>
      <c r="H57" s="2" t="s">
        <v>224</v>
      </c>
      <c r="I57" s="2" t="str">
        <f>IFERROR(__xludf.DUMMYFUNCTION("GOOGLETRANSLATE(C57,""fr"",""en"")"),"An attractive price, certainly. Then when it came time to finalize a housing contract, 20 minutes of waiting on the phone to be told that the MAAF ultimately refuses to insure the apartment that I am going to rent because I will only be there during the w"&amp;"eek and I will return to Belgium for the weekend. ")</f>
        <v>An attractive price, certainly. Then when it came time to finalize a housing contract, 20 minutes of waiting on the phone to be told that the MAAF ultimately refuses to insure the apartment that I am going to rent because I will only be there during the week and I will return to Belgium for the weekend. </v>
      </c>
    </row>
    <row r="58" ht="15.75" customHeight="1">
      <c r="A58" s="2">
        <v>1.0</v>
      </c>
      <c r="B58" s="2" t="s">
        <v>225</v>
      </c>
      <c r="C58" s="2" t="s">
        <v>226</v>
      </c>
      <c r="D58" s="2" t="s">
        <v>28</v>
      </c>
      <c r="E58" s="2" t="s">
        <v>14</v>
      </c>
      <c r="F58" s="2" t="s">
        <v>15</v>
      </c>
      <c r="G58" s="2" t="s">
        <v>227</v>
      </c>
      <c r="H58" s="2" t="s">
        <v>228</v>
      </c>
      <c r="I58" s="2" t="str">
        <f>IFERROR(__xludf.DUMMYFUNCTION("GOOGLETRANSLATE(C58,""fr"",""en"")"),"They take a very long time for payments during a disaster + 2 months, in bad faith, he does not hesitate to hang up on customers.")</f>
        <v>They take a very long time for payments during a disaster + 2 months, in bad faith, he does not hesitate to hang up on customers.</v>
      </c>
    </row>
    <row r="59" ht="15.75" customHeight="1">
      <c r="A59" s="2">
        <v>2.0</v>
      </c>
      <c r="B59" s="2" t="s">
        <v>229</v>
      </c>
      <c r="C59" s="2" t="s">
        <v>230</v>
      </c>
      <c r="D59" s="2" t="s">
        <v>197</v>
      </c>
      <c r="E59" s="2" t="s">
        <v>81</v>
      </c>
      <c r="F59" s="2" t="s">
        <v>15</v>
      </c>
      <c r="G59" s="2" t="s">
        <v>231</v>
      </c>
      <c r="H59" s="2" t="s">
        <v>232</v>
      </c>
      <c r="I59" s="2" t="str">
        <f>IFERROR(__xludf.DUMMYFUNCTION("GOOGLETRANSLATE(C59,""fr"",""en"")"),"Attractive prices. Attractive company as long as you don't have a claim.
In my case, theft of my motorcycle. Evaluation of the expert made on the basis of a bad version (without ABS), impossibility of making him change his mind, despite the production of "&amp;"announcements demonstrating that the estimate was undervalued.
I ended up accepting after several vain attempts and no responses to letters. Damage of 1500 euros")</f>
        <v>Attractive prices. Attractive company as long as you don't have a claim.
In my case, theft of my motorcycle. Evaluation of the expert made on the basis of a bad version (without ABS), impossibility of making him change his mind, despite the production of announcements demonstrating that the estimate was undervalued.
I ended up accepting after several vain attempts and no responses to letters. Damage of 1500 euros</v>
      </c>
    </row>
    <row r="60" ht="15.75" customHeight="1">
      <c r="A60" s="2">
        <v>3.0</v>
      </c>
      <c r="B60" s="2" t="s">
        <v>233</v>
      </c>
      <c r="C60" s="2" t="s">
        <v>234</v>
      </c>
      <c r="D60" s="2" t="s">
        <v>28</v>
      </c>
      <c r="E60" s="2" t="s">
        <v>14</v>
      </c>
      <c r="F60" s="2" t="s">
        <v>15</v>
      </c>
      <c r="G60" s="2" t="s">
        <v>235</v>
      </c>
      <c r="H60" s="2" t="s">
        <v>236</v>
      </c>
      <c r="I60" s="2" t="str">
        <f>IFERROR(__xludf.DUMMYFUNCTION("GOOGLETRANSLATE(C60,""fr"",""en"")"),"New customer at l'olivier, I am very disappointed with the follow-up of the file in the event of a claim.
No luck, after 3 days of contract, a car hits my bumper and damages it. I follow their procedure... sending the report to my account and on a special"&amp;" disaster email. It's been 2 weeks and no news, impossible to contact them by phone. I think it's going to end badly for them. I understand the very unfavorable opinions.")</f>
        <v>New customer at l'olivier, I am very disappointed with the follow-up of the file in the event of a claim.
No luck, after 3 days of contract, a car hits my bumper and damages it. I follow their procedure... sending the report to my account and on a special disaster email. It's been 2 weeks and no news, impossible to contact them by phone. I think it's going to end badly for them. I understand the very unfavorable opinions.</v>
      </c>
    </row>
    <row r="61" ht="15.75" customHeight="1">
      <c r="A61" s="2">
        <v>1.0</v>
      </c>
      <c r="B61" s="2" t="s">
        <v>237</v>
      </c>
      <c r="C61" s="2" t="s">
        <v>238</v>
      </c>
      <c r="D61" s="2" t="s">
        <v>190</v>
      </c>
      <c r="E61" s="2" t="s">
        <v>129</v>
      </c>
      <c r="F61" s="2" t="s">
        <v>15</v>
      </c>
      <c r="G61" s="2" t="s">
        <v>239</v>
      </c>
      <c r="H61" s="2" t="s">
        <v>57</v>
      </c>
      <c r="I61" s="2" t="str">
        <f>IFERROR(__xludf.DUMMYFUNCTION("GOOGLETRANSLATE(C61,""fr"",""en"")"),"Never seen that the worst insurance I have had in twenty years during the pandemic impossible to contact them a canceled expertise is still counted negatively on me and the expert has paid himself I may be going to see a lawyer a scandal")</f>
        <v>Never seen that the worst insurance I have had in twenty years during the pandemic impossible to contact them a canceled expertise is still counted negatively on me and the expert has paid himself I may be going to see a lawyer a scandal</v>
      </c>
    </row>
    <row r="62" ht="15.75" customHeight="1">
      <c r="A62" s="2">
        <v>3.0</v>
      </c>
      <c r="B62" s="2" t="s">
        <v>240</v>
      </c>
      <c r="C62" s="2" t="s">
        <v>241</v>
      </c>
      <c r="D62" s="2" t="s">
        <v>13</v>
      </c>
      <c r="E62" s="2" t="s">
        <v>14</v>
      </c>
      <c r="F62" s="2" t="s">
        <v>15</v>
      </c>
      <c r="G62" s="2" t="s">
        <v>203</v>
      </c>
      <c r="H62" s="2" t="s">
        <v>25</v>
      </c>
      <c r="I62" s="2" t="str">
        <f>IFERROR(__xludf.DUMMYFUNCTION("GOOGLETRANSLATE(C62,""fr"",""en"")"),"I am sufficiently satisfied with your services. More than ten years with you and never any responsible claims unfortunately my good driving behavior is not reflected in the price of my insurance. ")</f>
        <v>I am sufficiently satisfied with your services. More than ten years with you and never any responsible claims unfortunately my good driving behavior is not reflected in the price of my insurance. </v>
      </c>
    </row>
    <row r="63" ht="15.75" customHeight="1">
      <c r="A63" s="2">
        <v>4.0</v>
      </c>
      <c r="B63" s="2" t="s">
        <v>242</v>
      </c>
      <c r="C63" s="2" t="s">
        <v>243</v>
      </c>
      <c r="D63" s="2" t="s">
        <v>13</v>
      </c>
      <c r="E63" s="2" t="s">
        <v>14</v>
      </c>
      <c r="F63" s="2" t="s">
        <v>15</v>
      </c>
      <c r="G63" s="2" t="s">
        <v>244</v>
      </c>
      <c r="H63" s="2" t="s">
        <v>111</v>
      </c>
      <c r="I63" s="2" t="str">
        <f>IFERROR(__xludf.DUMMYFUNCTION("GOOGLETRANSLATE(C63,""fr"",""en"")"),"The lowest prices I have seen for a young license, for comprehensive insurance. Very understandable and accessible site. Good communication. Alright.
")</f>
        <v>The lowest prices I have seen for a young license, for comprehensive insurance. Very understandable and accessible site. Good communication. Alright.
</v>
      </c>
    </row>
    <row r="64" ht="15.75" customHeight="1">
      <c r="A64" s="2">
        <v>5.0</v>
      </c>
      <c r="B64" s="2" t="s">
        <v>245</v>
      </c>
      <c r="C64" s="2" t="s">
        <v>246</v>
      </c>
      <c r="D64" s="2" t="s">
        <v>13</v>
      </c>
      <c r="E64" s="2" t="s">
        <v>14</v>
      </c>
      <c r="F64" s="2" t="s">
        <v>15</v>
      </c>
      <c r="G64" s="2" t="s">
        <v>247</v>
      </c>
      <c r="H64" s="2" t="s">
        <v>248</v>
      </c>
      <c r="I64" s="2" t="str">
        <f>IFERROR(__xludf.DUMMYFUNCTION("GOOGLETRANSLATE(C64,""fr"",""en"")"),"I am satisfied with the service, fast and efficient. I recommend your website and your car insurance which are at very reasonable prices. Awesome  ")</f>
        <v>I am satisfied with the service, fast and efficient. I recommend your website and your car insurance which are at very reasonable prices. Awesome  </v>
      </c>
    </row>
    <row r="65" ht="15.75" customHeight="1">
      <c r="A65" s="2">
        <v>5.0</v>
      </c>
      <c r="B65" s="2" t="s">
        <v>249</v>
      </c>
      <c r="C65" s="2" t="s">
        <v>250</v>
      </c>
      <c r="D65" s="2" t="s">
        <v>80</v>
      </c>
      <c r="E65" s="2" t="s">
        <v>81</v>
      </c>
      <c r="F65" s="2" t="s">
        <v>15</v>
      </c>
      <c r="G65" s="2" t="s">
        <v>251</v>
      </c>
      <c r="H65" s="2" t="s">
        <v>83</v>
      </c>
      <c r="I65" s="2" t="str">
        <f>IFERROR(__xludf.DUMMYFUNCTION("GOOGLETRANSLATE(C65,""fr"",""en"")"),"I am very happy with the price and the guarantees offered. 
I highly recommend Avril because after several quotes I finally found the guarantees I was looking for. ")</f>
        <v>I am very happy with the price and the guarantees offered. 
I highly recommend Avril because after several quotes I finally found the guarantees I was looking for. </v>
      </c>
    </row>
    <row r="66" ht="15.75" customHeight="1">
      <c r="A66" s="2">
        <v>1.0</v>
      </c>
      <c r="B66" s="2" t="s">
        <v>252</v>
      </c>
      <c r="C66" s="2" t="s">
        <v>253</v>
      </c>
      <c r="D66" s="2" t="s">
        <v>254</v>
      </c>
      <c r="E66" s="2" t="s">
        <v>14</v>
      </c>
      <c r="F66" s="2" t="s">
        <v>15</v>
      </c>
      <c r="G66" s="2" t="s">
        <v>255</v>
      </c>
      <c r="H66" s="2" t="s">
        <v>256</v>
      </c>
      <c r="I66" s="2" t="str">
        <f>IFERROR(__xludf.DUMMYFUNCTION("GOOGLETRANSLATE(C66,""fr"",""en"")"),"Deplorable, insured with Maif for 10 years without having had any claims, I became disillusioned following a car accident that occurred on 06/21/2019, I was transported to the emergency room because in a state of shock, it was my first accident in 32 year"&amp;"s of driving. very poorly informed by the Maif, so while the firefighter and gendarme present concluded at 50/50, I found myself 100 at fault because the Maif gave me poor information for the establishment of the report and on the other hand was very well"&amp;" informed the other part also to the Maif Fila. As a result of the races I am shortly terminating all of my contracts with them!
")</f>
        <v>Deplorable, insured with Maif for 10 years without having had any claims, I became disillusioned following a car accident that occurred on 06/21/2019, I was transported to the emergency room because in a state of shock, it was my first accident in 32 years of driving. very poorly informed by the Maif, so while the firefighter and gendarme present concluded at 50/50, I found myself 100 at fault because the Maif gave me poor information for the establishment of the report and on the other hand was very well informed the other part also to the Maif Fila. As a result of the races I am shortly terminating all of my contracts with them!
</v>
      </c>
    </row>
    <row r="67" ht="15.75" customHeight="1">
      <c r="A67" s="2">
        <v>1.0</v>
      </c>
      <c r="B67" s="2" t="s">
        <v>257</v>
      </c>
      <c r="C67" s="2" t="s">
        <v>258</v>
      </c>
      <c r="D67" s="2" t="s">
        <v>259</v>
      </c>
      <c r="E67" s="2" t="s">
        <v>61</v>
      </c>
      <c r="F67" s="2" t="s">
        <v>15</v>
      </c>
      <c r="G67" s="2" t="s">
        <v>260</v>
      </c>
      <c r="H67" s="2" t="s">
        <v>71</v>
      </c>
      <c r="I67" s="2" t="str">
        <f>IFERROR(__xludf.DUMMYFUNCTION("GOOGLETRANSLATE(C67,""fr"",""en"")"),"I took out borrower insurance through Société Générale. I have been fighting for 5 months, systematically he asks me for the same file that I have already sent 5 times.... No telephone contact because no one answers.. Avoid")</f>
        <v>I took out borrower insurance through Société Générale. I have been fighting for 5 months, systematically he asks me for the same file that I have already sent 5 times.... No telephone contact because no one answers.. Avoid</v>
      </c>
    </row>
    <row r="68" ht="15.75" customHeight="1">
      <c r="A68" s="2">
        <v>4.0</v>
      </c>
      <c r="B68" s="2" t="s">
        <v>261</v>
      </c>
      <c r="C68" s="2" t="s">
        <v>262</v>
      </c>
      <c r="D68" s="2" t="s">
        <v>28</v>
      </c>
      <c r="E68" s="2" t="s">
        <v>14</v>
      </c>
      <c r="F68" s="2" t="s">
        <v>15</v>
      </c>
      <c r="G68" s="2" t="s">
        <v>263</v>
      </c>
      <c r="H68" s="2" t="s">
        <v>46</v>
      </c>
      <c r="I68" s="2" t="str">
        <f>IFERROR(__xludf.DUMMYFUNCTION("GOOGLETRANSLATE(C68,""fr"",""en"")"),"I am satisfied with the service. 
Advisor on the phone provided me with very good information and guidance in getting the contract started. The prices of this insurance are correct")</f>
        <v>I am satisfied with the service. 
Advisor on the phone provided me with very good information and guidance in getting the contract started. The prices of this insurance are correct</v>
      </c>
    </row>
    <row r="69" ht="15.75" customHeight="1">
      <c r="A69" s="2">
        <v>5.0</v>
      </c>
      <c r="B69" s="2" t="s">
        <v>264</v>
      </c>
      <c r="C69" s="2" t="s">
        <v>265</v>
      </c>
      <c r="D69" s="2" t="s">
        <v>13</v>
      </c>
      <c r="E69" s="2" t="s">
        <v>14</v>
      </c>
      <c r="F69" s="2" t="s">
        <v>15</v>
      </c>
      <c r="G69" s="2" t="s">
        <v>70</v>
      </c>
      <c r="H69" s="2" t="s">
        <v>71</v>
      </c>
      <c r="I69" s="2" t="str">
        <f>IFERROR(__xludf.DUMMYFUNCTION("GOOGLETRANSLATE(C69,""fr"",""en"")"),"very satisfied except for the payment with card information. I prefer Cdiscount or Ali express type payments by paylib or paypal card")</f>
        <v>very satisfied except for the payment with card information. I prefer Cdiscount or Ali express type payments by paylib or paypal card</v>
      </c>
    </row>
    <row r="70" ht="15.75" customHeight="1">
      <c r="A70" s="2">
        <v>5.0</v>
      </c>
      <c r="B70" s="2" t="s">
        <v>266</v>
      </c>
      <c r="C70" s="2" t="s">
        <v>267</v>
      </c>
      <c r="D70" s="2" t="s">
        <v>13</v>
      </c>
      <c r="E70" s="2" t="s">
        <v>14</v>
      </c>
      <c r="F70" s="2" t="s">
        <v>15</v>
      </c>
      <c r="G70" s="2" t="s">
        <v>268</v>
      </c>
      <c r="H70" s="2" t="s">
        <v>111</v>
      </c>
      <c r="I70" s="2" t="str">
        <f>IFERROR(__xludf.DUMMYFUNCTION("GOOGLETRANSLATE(C70,""fr"",""en"")"),"I am satisfied with the service, the prices are affordable and resonable, I would like in the near future to advise those around me to subscribe with direct insurance because they are the best ")</f>
        <v>I am satisfied with the service, the prices are affordable and resonable, I would like in the near future to advise those around me to subscribe with direct insurance because they are the best </v>
      </c>
    </row>
    <row r="71" ht="15.75" customHeight="1">
      <c r="A71" s="2">
        <v>5.0</v>
      </c>
      <c r="B71" s="2" t="s">
        <v>269</v>
      </c>
      <c r="C71" s="2" t="s">
        <v>270</v>
      </c>
      <c r="D71" s="2" t="s">
        <v>28</v>
      </c>
      <c r="E71" s="2" t="s">
        <v>14</v>
      </c>
      <c r="F71" s="2" t="s">
        <v>15</v>
      </c>
      <c r="G71" s="2" t="s">
        <v>271</v>
      </c>
      <c r="H71" s="2" t="s">
        <v>83</v>
      </c>
      <c r="I71" s="2" t="str">
        <f>IFERROR(__xludf.DUMMYFUNCTION("GOOGLETRANSLATE(C71,""fr"",""en"")"),"Very satisfied. Easy and pleasant to talk to. Very good explanations. The contract is clear. I don't know what else to say! I recommend this insurance")</f>
        <v>Very satisfied. Easy and pleasant to talk to. Very good explanations. The contract is clear. I don't know what else to say! I recommend this insurance</v>
      </c>
    </row>
    <row r="72" ht="15.75" customHeight="1">
      <c r="A72" s="2">
        <v>2.0</v>
      </c>
      <c r="B72" s="2" t="s">
        <v>272</v>
      </c>
      <c r="C72" s="2" t="s">
        <v>273</v>
      </c>
      <c r="D72" s="2" t="s">
        <v>13</v>
      </c>
      <c r="E72" s="2" t="s">
        <v>14</v>
      </c>
      <c r="F72" s="2" t="s">
        <v>15</v>
      </c>
      <c r="G72" s="2" t="s">
        <v>274</v>
      </c>
      <c r="H72" s="2" t="s">
        <v>275</v>
      </c>
      <c r="I72" s="2" t="str">
        <f>IFERROR(__xludf.DUMMYFUNCTION("GOOGLETRANSLATE(C72,""fr"",""en"")"),"Very disappointed!! I have been insured with them for 3 months and have just canceled it because I did not sign the contract electronically, even though I received an email when I registered telling me that ""my file was complete"". No follow-up, neither "&amp;"by email, nor by post, nor by telephone. I'm disappointed. After calling them several times, no way to reverse this termination. I paid my contributions, sent all the necessary documents, I find this scandalous. It's now up to me to find a new insurance c"&amp;"ompany that will agree to insure me despite my cancellation without it ""costing me an arm and a leg""!!
If they had sent me a letter (as for my termination) I would of course have been able to sign this contract.
What was my point in not doing it?
")</f>
        <v>Very disappointed!! I have been insured with them for 3 months and have just canceled it because I did not sign the contract electronically, even though I received an email when I registered telling me that "my file was complete". No follow-up, neither by email, nor by post, nor by telephone. I'm disappointed. After calling them several times, no way to reverse this termination. I paid my contributions, sent all the necessary documents, I find this scandalous. It's now up to me to find a new insurance company that will agree to insure me despite my cancellation without it "costing me an arm and a leg"!!
If they had sent me a letter (as for my termination) I would of course have been able to sign this contract.
What was my point in not doing it?
</v>
      </c>
    </row>
    <row r="73" ht="15.75" customHeight="1">
      <c r="A73" s="2">
        <v>2.0</v>
      </c>
      <c r="B73" s="2" t="s">
        <v>276</v>
      </c>
      <c r="C73" s="2" t="s">
        <v>277</v>
      </c>
      <c r="D73" s="2" t="s">
        <v>13</v>
      </c>
      <c r="E73" s="2" t="s">
        <v>14</v>
      </c>
      <c r="F73" s="2" t="s">
        <v>15</v>
      </c>
      <c r="G73" s="2" t="s">
        <v>278</v>
      </c>
      <c r="H73" s="2" t="s">
        <v>71</v>
      </c>
      <c r="I73" s="2" t="str">
        <f>IFERROR(__xludf.DUMMYFUNCTION("GOOGLETRANSLATE(C73,""fr"",""en"")"),"The information is not communicated clearly. Elements are only communicated to you after subscription and validation of payment, extremely long waiting time and incompetent insurance advisors to ABSOLUTELY FLEE")</f>
        <v>The information is not communicated clearly. Elements are only communicated to you after subscription and validation of payment, extremely long waiting time and incompetent insurance advisors to ABSOLUTELY FLEE</v>
      </c>
    </row>
    <row r="74" ht="15.75" customHeight="1">
      <c r="A74" s="2">
        <v>1.0</v>
      </c>
      <c r="B74" s="2" t="s">
        <v>279</v>
      </c>
      <c r="C74" s="2" t="s">
        <v>280</v>
      </c>
      <c r="D74" s="2" t="s">
        <v>281</v>
      </c>
      <c r="E74" s="2" t="s">
        <v>39</v>
      </c>
      <c r="F74" s="2" t="s">
        <v>15</v>
      </c>
      <c r="G74" s="2" t="s">
        <v>161</v>
      </c>
      <c r="H74" s="2" t="s">
        <v>83</v>
      </c>
      <c r="I74" s="2" t="str">
        <f>IFERROR(__xludf.DUMMYFUNCTION("GOOGLETRANSLATE(C74,""fr"",""en"")"),"To flee! cancels me for a late payment that I understand 
while the amount of reimbursement they owe me far exceeds what he claims from me. 
Never the same information to avoid!!:!!")</f>
        <v>To flee! cancels me for a late payment that I understand 
while the amount of reimbursement they owe me far exceeds what he claims from me. 
Never the same information to avoid!!:!!</v>
      </c>
    </row>
    <row r="75" ht="15.75" customHeight="1">
      <c r="A75" s="2">
        <v>1.0</v>
      </c>
      <c r="B75" s="2" t="s">
        <v>282</v>
      </c>
      <c r="C75" s="2" t="s">
        <v>283</v>
      </c>
      <c r="D75" s="2" t="s">
        <v>284</v>
      </c>
      <c r="E75" s="2" t="s">
        <v>81</v>
      </c>
      <c r="F75" s="2" t="s">
        <v>15</v>
      </c>
      <c r="G75" s="2" t="s">
        <v>285</v>
      </c>
      <c r="H75" s="2" t="s">
        <v>286</v>
      </c>
      <c r="I75" s="2" t="str">
        <f>IFERROR(__xludf.DUMMYFUNCTION("GOOGLETRANSLATE(C75,""fr"",""en"")"),"Hello everyone
Since December 17, 2019, the day of my accident on the Paris ring road, my motorcycle is now a wreck, so I am no longer insured with the bikers' mutual insurance company. However, this insurance continued to charge me monthly. Despite sever"&amp;"al calls from me, or when I had someone, I was told that this was going to be regularized, today is July 25, 2020 and I still have not been reimbursed. My registered letter went unanswered, as did the emails. I therefore objected to the withdrawals from m"&amp;"y account, something that I should have done on December 18, 2019, the day after my accident. And then, Covid 19 spread and at the Mutuelle des Motards, you have to believe that it was more tragic than elsewhere because for three months, there was no ques"&amp;"tion of having anyone on the phone. We were told to go to the site where we could supposedly do everything and that on request, we could even have a call back. This is what I have done many times. I'm still waiting. Today I bought a new motorcycle and of "&amp;"course I insured it elsewhere. The Mutuelle des Motards is a long way from the biker spirit that it claims to defend and represent.  ")</f>
        <v>Hello everyone
Since December 17, 2019, the day of my accident on the Paris ring road, my motorcycle is now a wreck, so I am no longer insured with the bikers' mutual insurance company. However, this insurance continued to charge me monthly. Despite several calls from me, or when I had someone, I was told that this was going to be regularized, today is July 25, 2020 and I still have not been reimbursed. My registered letter went unanswered, as did the emails. I therefore objected to the withdrawals from my account, something that I should have done on December 18, 2019, the day after my accident. And then, Covid 19 spread and at the Mutuelle des Motards, you have to believe that it was more tragic than elsewhere because for three months, there was no question of having anyone on the phone. We were told to go to the site where we could supposedly do everything and that on request, we could even have a call back. This is what I have done many times. I'm still waiting. Today I bought a new motorcycle and of course I insured it elsewhere. The Mutuelle des Motards is a long way from the biker spirit that it claims to defend and represent.  </v>
      </c>
    </row>
    <row r="76" ht="15.75" customHeight="1">
      <c r="A76" s="2">
        <v>1.0</v>
      </c>
      <c r="B76" s="2" t="s">
        <v>287</v>
      </c>
      <c r="C76" s="2" t="s">
        <v>288</v>
      </c>
      <c r="D76" s="2" t="s">
        <v>13</v>
      </c>
      <c r="E76" s="2" t="s">
        <v>14</v>
      </c>
      <c r="F76" s="2" t="s">
        <v>15</v>
      </c>
      <c r="G76" s="2" t="s">
        <v>289</v>
      </c>
      <c r="H76" s="2" t="s">
        <v>30</v>
      </c>
      <c r="I76" s="2" t="str">
        <f>IFERROR(__xludf.DUMMYFUNCTION("GOOGLETRANSLATE(C76,""fr"",""en"")"),"Hello, I am writing to you for my insurance Brand: RENAULT CAPTUR Fiscal power: 5 HP Registration: 09/2018 Establishment of the registration document: 09/27/2018 Vehicle owner: Jean Jacques PISSON Registration: FA-702-RZ I I'm going on vacation on June 5 "&amp;"with this car and with a trailer hitch and a 2 bike rack at the back of the vehicle, I wish be insured for this bike rack with 2 bikes that I will transport. My question am I insured under these conditions above or must I pay additional insurance. Kind re"&amp;"gards Mr PISSON Jean Jacques")</f>
        <v>Hello, I am writing to you for my insurance Brand: RENAULT CAPTUR Fiscal power: 5 HP Registration: 09/2018 Establishment of the registration document: 09/27/2018 Vehicle owner: Jean Jacques PISSON Registration: FA-702-RZ I I'm going on vacation on June 5 with this car and with a trailer hitch and a 2 bike rack at the back of the vehicle, I wish be insured for this bike rack with 2 bikes that I will transport. My question am I insured under these conditions above or must I pay additional insurance. Kind regards Mr PISSON Jean Jacques</v>
      </c>
    </row>
    <row r="77" ht="15.75" customHeight="1">
      <c r="A77" s="2">
        <v>1.0</v>
      </c>
      <c r="B77" s="2" t="s">
        <v>290</v>
      </c>
      <c r="C77" s="2" t="s">
        <v>291</v>
      </c>
      <c r="D77" s="2" t="s">
        <v>13</v>
      </c>
      <c r="E77" s="2" t="s">
        <v>14</v>
      </c>
      <c r="F77" s="2" t="s">
        <v>15</v>
      </c>
      <c r="G77" s="2" t="s">
        <v>292</v>
      </c>
      <c r="H77" s="2" t="s">
        <v>25</v>
      </c>
      <c r="I77" s="2" t="str">
        <f>IFERROR(__xludf.DUMMYFUNCTION("GOOGLETRANSLATE(C77,""fr"",""en"")"),"in two years the price of insurance has increased significantly even though I have not had an accident.... with purchasing power at half mast I am forced to reconsider my contract....")</f>
        <v>in two years the price of insurance has increased significantly even though I have not had an accident.... with purchasing power at half mast I am forced to reconsider my contract....</v>
      </c>
    </row>
    <row r="78" ht="15.75" customHeight="1">
      <c r="A78" s="2">
        <v>2.0</v>
      </c>
      <c r="B78" s="2" t="s">
        <v>293</v>
      </c>
      <c r="C78" s="2" t="s">
        <v>294</v>
      </c>
      <c r="D78" s="2" t="s">
        <v>28</v>
      </c>
      <c r="E78" s="2" t="s">
        <v>14</v>
      </c>
      <c r="F78" s="2" t="s">
        <v>15</v>
      </c>
      <c r="G78" s="2" t="s">
        <v>263</v>
      </c>
      <c r="H78" s="2" t="s">
        <v>17</v>
      </c>
      <c r="I78" s="2" t="str">
        <f>IFERROR(__xludf.DUMMYFUNCTION("GOOGLETRANSLATE(C78,""fr"",""en"")"),"ATTENTION
Quite attractive price but as soon as you modify your contract (for a change of address for example) you are charged €15 even though it is you who does everything in your space.")</f>
        <v>ATTENTION
Quite attractive price but as soon as you modify your contract (for a change of address for example) you are charged €15 even though it is you who does everything in your space.</v>
      </c>
    </row>
    <row r="79" ht="15.75" customHeight="1">
      <c r="A79" s="2">
        <v>5.0</v>
      </c>
      <c r="B79" s="2" t="s">
        <v>295</v>
      </c>
      <c r="C79" s="2" t="s">
        <v>296</v>
      </c>
      <c r="D79" s="2" t="s">
        <v>197</v>
      </c>
      <c r="E79" s="2" t="s">
        <v>81</v>
      </c>
      <c r="F79" s="2" t="s">
        <v>15</v>
      </c>
      <c r="G79" s="2" t="s">
        <v>297</v>
      </c>
      <c r="H79" s="2" t="s">
        <v>17</v>
      </c>
      <c r="I79" s="2" t="str">
        <f>IFERROR(__xludf.DUMMYFUNCTION("GOOGLETRANSLATE(C79,""fr"",""en"")"),"Quick telephone subscription.
The contact person helped me on the phone throughout the process from A to Z, which was very pleasant and reassuring.")</f>
        <v>Quick telephone subscription.
The contact person helped me on the phone throughout the process from A to Z, which was very pleasant and reassuring.</v>
      </c>
    </row>
    <row r="80" ht="15.75" customHeight="1">
      <c r="A80" s="2">
        <v>5.0</v>
      </c>
      <c r="B80" s="2" t="s">
        <v>298</v>
      </c>
      <c r="C80" s="2" t="s">
        <v>299</v>
      </c>
      <c r="D80" s="2" t="s">
        <v>197</v>
      </c>
      <c r="E80" s="2" t="s">
        <v>81</v>
      </c>
      <c r="F80" s="2" t="s">
        <v>15</v>
      </c>
      <c r="G80" s="2" t="s">
        <v>300</v>
      </c>
      <c r="H80" s="2" t="s">
        <v>111</v>
      </c>
      <c r="I80" s="2" t="str">
        <f>IFERROR(__xludf.DUMMYFUNCTION("GOOGLETRANSLATE(C80,""fr"",""en"")"),"Satisfied with the service, however, sending the green card only to the vehicle parking address is a little annoying for those in second homes. 
")</f>
        <v>Satisfied with the service, however, sending the green card only to the vehicle parking address is a little annoying for those in second homes. 
</v>
      </c>
    </row>
    <row r="81" ht="15.75" customHeight="1">
      <c r="A81" s="2">
        <v>2.0</v>
      </c>
      <c r="B81" s="2" t="s">
        <v>301</v>
      </c>
      <c r="C81" s="2" t="s">
        <v>302</v>
      </c>
      <c r="D81" s="2" t="s">
        <v>303</v>
      </c>
      <c r="E81" s="2" t="s">
        <v>81</v>
      </c>
      <c r="F81" s="2" t="s">
        <v>15</v>
      </c>
      <c r="G81" s="2" t="s">
        <v>304</v>
      </c>
      <c r="H81" s="2" t="s">
        <v>256</v>
      </c>
      <c r="I81" s="2" t="str">
        <f>IFERROR(__xludf.DUMMYFUNCTION("GOOGLETRANSLATE(C81,""fr"",""en"")"),"As I am in the process of buying a new scooter, the dealer asks me for an insurance certificate proving that I drove a 125cm3 in 2006 and 2011 as required by law. Macif never provided it to me and when I call, they tell me that they cannot because it is t"&amp;"oo old. I'm losing my deposit. Unable to type a simple certificate and on top of that, they tell me to take the 7 hour training when I don't need it. Unrealistic! Really very disappointed and after almost 30 years with them, I am considering looking elsew"&amp;"here for my 2 vehicles. The speech on the phone was mind-blowing. The person put me on hold to go fishing for information. A simple paper specifying my past insurance for a 2-wheeler under the pretext that it was too old!!! She told me she couldn't go bac"&amp;"k 20 to 30 years. It is 2019 and the requested duration is between 2006 and 2011. If I do not obtain this document, although requested by the police, I will stop my memberships. ")</f>
        <v>As I am in the process of buying a new scooter, the dealer asks me for an insurance certificate proving that I drove a 125cm3 in 2006 and 2011 as required by law. Macif never provided it to me and when I call, they tell me that they cannot because it is too old. I'm losing my deposit. Unable to type a simple certificate and on top of that, they tell me to take the 7 hour training when I don't need it. Unrealistic! Really very disappointed and after almost 30 years with them, I am considering looking elsewhere for my 2 vehicles. The speech on the phone was mind-blowing. The person put me on hold to go fishing for information. A simple paper specifying my past insurance for a 2-wheeler under the pretext that it was too old!!! She told me she couldn't go back 20 to 30 years. It is 2019 and the requested duration is between 2006 and 2011. If I do not obtain this document, although requested by the police, I will stop my memberships. </v>
      </c>
    </row>
    <row r="82" ht="15.75" customHeight="1">
      <c r="A82" s="2">
        <v>3.0</v>
      </c>
      <c r="B82" s="2" t="s">
        <v>305</v>
      </c>
      <c r="C82" s="2" t="s">
        <v>306</v>
      </c>
      <c r="D82" s="2" t="s">
        <v>13</v>
      </c>
      <c r="E82" s="2" t="s">
        <v>14</v>
      </c>
      <c r="F82" s="2" t="s">
        <v>15</v>
      </c>
      <c r="G82" s="2" t="s">
        <v>307</v>
      </c>
      <c r="H82" s="2" t="s">
        <v>71</v>
      </c>
      <c r="I82" s="2" t="str">
        <f>IFERROR(__xludf.DUMMYFUNCTION("GOOGLETRANSLATE(C82,""fr"",""en"")"),"I am satisfied with the service and the advisors who are always clear and quick to process requests. I thank the team for their interest in this customer. ")</f>
        <v>I am satisfied with the service and the advisors who are always clear and quick to process requests. I thank the team for their interest in this customer. </v>
      </c>
    </row>
    <row r="83" ht="15.75" customHeight="1">
      <c r="A83" s="2">
        <v>1.0</v>
      </c>
      <c r="B83" s="2" t="s">
        <v>308</v>
      </c>
      <c r="C83" s="2" t="s">
        <v>309</v>
      </c>
      <c r="D83" s="2" t="s">
        <v>310</v>
      </c>
      <c r="E83" s="2" t="s">
        <v>14</v>
      </c>
      <c r="F83" s="2" t="s">
        <v>15</v>
      </c>
      <c r="G83" s="2" t="s">
        <v>311</v>
      </c>
      <c r="H83" s="2" t="s">
        <v>286</v>
      </c>
      <c r="I83" s="2" t="str">
        <f>IFERROR(__xludf.DUMMYFUNCTION("GOOGLETRANSLATE(C83,""fr"",""en"")"),"Good morning 
Please note that you pay 1/3 of the insurance before the subscription is finalized and then terms which are not clearly indicated cancel you!!!   
It cost me 120E for 2 weeks 
of course she doesn't reimburse you 
insurance to flee!!! !!")</f>
        <v>Good morning 
Please note that you pay 1/3 of the insurance before the subscription is finalized and then terms which are not clearly indicated cancel you!!!   
It cost me 120E for 2 weeks 
of course she doesn't reimburse you 
insurance to flee!!! !!</v>
      </c>
    </row>
    <row r="84" ht="15.75" customHeight="1">
      <c r="A84" s="2">
        <v>4.0</v>
      </c>
      <c r="B84" s="2" t="s">
        <v>312</v>
      </c>
      <c r="C84" s="2" t="s">
        <v>313</v>
      </c>
      <c r="D84" s="2" t="s">
        <v>13</v>
      </c>
      <c r="E84" s="2" t="s">
        <v>14</v>
      </c>
      <c r="F84" s="2" t="s">
        <v>15</v>
      </c>
      <c r="G84" s="2" t="s">
        <v>314</v>
      </c>
      <c r="H84" s="2" t="s">
        <v>111</v>
      </c>
      <c r="I84" s="2" t="str">
        <f>IFERROR(__xludf.DUMMYFUNCTION("GOOGLETRANSLATE(C84,""fr"",""en"")"),"Fast and clear, the services seem very interesting compared to the competition, especially in relation to physical insurance, 
Insurance advised by two work colleagues ")</f>
        <v>Fast and clear, the services seem very interesting compared to the competition, especially in relation to physical insurance, 
Insurance advised by two work colleagues </v>
      </c>
    </row>
    <row r="85" ht="15.75" customHeight="1">
      <c r="A85" s="2">
        <v>4.0</v>
      </c>
      <c r="B85" s="2" t="s">
        <v>315</v>
      </c>
      <c r="C85" s="2" t="s">
        <v>316</v>
      </c>
      <c r="D85" s="2" t="s">
        <v>13</v>
      </c>
      <c r="E85" s="2" t="s">
        <v>14</v>
      </c>
      <c r="F85" s="2" t="s">
        <v>15</v>
      </c>
      <c r="G85" s="2" t="s">
        <v>317</v>
      </c>
      <c r="H85" s="2" t="s">
        <v>25</v>
      </c>
      <c r="I85" s="2" t="str">
        <f>IFERROR(__xludf.DUMMYFUNCTION("GOOGLETRANSLATE(C85,""fr"",""en"")"),"Very rapport and responsiveness
Fast support
I am particularly satisfied with my car and home contracts, very good coverage
Telephone contacts are very courteous and responsive to problems accompanied by very clear explanations.")</f>
        <v>Very rapport and responsiveness
Fast support
I am particularly satisfied with my car and home contracts, very good coverage
Telephone contacts are very courteous and responsive to problems accompanied by very clear explanations.</v>
      </c>
    </row>
    <row r="86" ht="15.75" customHeight="1">
      <c r="A86" s="2">
        <v>5.0</v>
      </c>
      <c r="B86" s="2" t="s">
        <v>318</v>
      </c>
      <c r="C86" s="2" t="s">
        <v>319</v>
      </c>
      <c r="D86" s="2" t="s">
        <v>80</v>
      </c>
      <c r="E86" s="2" t="s">
        <v>81</v>
      </c>
      <c r="F86" s="2" t="s">
        <v>15</v>
      </c>
      <c r="G86" s="2" t="s">
        <v>297</v>
      </c>
      <c r="H86" s="2" t="s">
        <v>17</v>
      </c>
      <c r="I86" s="2" t="str">
        <f>IFERROR(__xludf.DUMMYFUNCTION("GOOGLETRANSLATE(C86,""fr"",""en"")"),"fast service and good price
Internet subscription is well detailed, the steps are precise.
I recommend for motorcycle insurance the prices are very reasonable.
I have 2 motorcycles insured ")</f>
        <v>fast service and good price
Internet subscription is well detailed, the steps are precise.
I recommend for motorcycle insurance the prices are very reasonable.
I have 2 motorcycles insured </v>
      </c>
    </row>
    <row r="87" ht="15.75" customHeight="1">
      <c r="A87" s="2">
        <v>3.0</v>
      </c>
      <c r="B87" s="2" t="s">
        <v>320</v>
      </c>
      <c r="C87" s="2" t="s">
        <v>321</v>
      </c>
      <c r="D87" s="2" t="s">
        <v>322</v>
      </c>
      <c r="E87" s="2" t="s">
        <v>14</v>
      </c>
      <c r="F87" s="2" t="s">
        <v>15</v>
      </c>
      <c r="G87" s="2" t="s">
        <v>323</v>
      </c>
      <c r="H87" s="2" t="s">
        <v>52</v>
      </c>
      <c r="I87" s="2" t="str">
        <f>IFERROR(__xludf.DUMMYFUNCTION("GOOGLETRANSLATE(C87,""fr"",""en"")"),"I did not have any claims during the time I was with Active Insurance but upon renewal I was surprised to see it increase relative to its competitors. They were unable to negotiate on a reasonable basis, in fact the difference was so significant that I ha"&amp;"d to leave hoping the next insurance company wouldn't make the same mistake. ")</f>
        <v>I did not have any claims during the time I was with Active Insurance but upon renewal I was surprised to see it increase relative to its competitors. They were unable to negotiate on a reasonable basis, in fact the difference was so significant that I had to leave hoping the next insurance company wouldn't make the same mistake. </v>
      </c>
    </row>
    <row r="88" ht="15.75" customHeight="1">
      <c r="A88" s="2">
        <v>2.0</v>
      </c>
      <c r="B88" s="2" t="s">
        <v>324</v>
      </c>
      <c r="C88" s="2" t="s">
        <v>325</v>
      </c>
      <c r="D88" s="2" t="s">
        <v>326</v>
      </c>
      <c r="E88" s="2" t="s">
        <v>14</v>
      </c>
      <c r="F88" s="2" t="s">
        <v>15</v>
      </c>
      <c r="G88" s="2" t="s">
        <v>327</v>
      </c>
      <c r="H88" s="2" t="s">
        <v>328</v>
      </c>
      <c r="I88" s="2" t="str">
        <f>IFERROR(__xludf.DUMMYFUNCTION("GOOGLETRANSLATE(C88,""fr"",""en"")"),"I was terminated for not having sent the copy of the registration document according to their explanation. 
As I sent it by regular mail and not by registered mail, I cannot prove anything and it left me rolled up for 2 months without warning me ")</f>
        <v>I was terminated for not having sent the copy of the registration document according to their explanation. 
As I sent it by regular mail and not by registered mail, I cannot prove anything and it left me rolled up for 2 months without warning me </v>
      </c>
    </row>
    <row r="89" ht="15.75" customHeight="1">
      <c r="A89" s="2">
        <v>4.0</v>
      </c>
      <c r="B89" s="2" t="s">
        <v>329</v>
      </c>
      <c r="C89" s="2" t="s">
        <v>330</v>
      </c>
      <c r="D89" s="2" t="s">
        <v>190</v>
      </c>
      <c r="E89" s="2" t="s">
        <v>14</v>
      </c>
      <c r="F89" s="2" t="s">
        <v>15</v>
      </c>
      <c r="G89" s="2" t="s">
        <v>164</v>
      </c>
      <c r="H89" s="2" t="s">
        <v>30</v>
      </c>
      <c r="I89" s="2" t="str">
        <f>IFERROR(__xludf.DUMMYFUNCTION("GOOGLETRANSLATE(C89,""fr"",""en"")"),"correct at the price level
telephone assistance good
good internet customer area 
agency well on the relational and time level.
What can I say other than everything is good at the GMF.
")</f>
        <v>correct at the price level
telephone assistance good
good internet customer area 
agency well on the relational and time level.
What can I say other than everything is good at the GMF.
</v>
      </c>
    </row>
    <row r="90" ht="15.75" customHeight="1">
      <c r="A90" s="2">
        <v>2.0</v>
      </c>
      <c r="B90" s="2" t="s">
        <v>331</v>
      </c>
      <c r="C90" s="2" t="s">
        <v>332</v>
      </c>
      <c r="D90" s="2" t="s">
        <v>145</v>
      </c>
      <c r="E90" s="2" t="s">
        <v>129</v>
      </c>
      <c r="F90" s="2" t="s">
        <v>15</v>
      </c>
      <c r="G90" s="2" t="s">
        <v>333</v>
      </c>
      <c r="H90" s="2" t="s">
        <v>41</v>
      </c>
      <c r="I90" s="2" t="str">
        <f>IFERROR(__xludf.DUMMYFUNCTION("GOOGLETRANSLATE(C90,""fr"",""en"")"),"It is during the disaster that you will understand the incompetence of this insurer. Additionally, agents do not charge the rates you can see on the Internet.")</f>
        <v>It is during the disaster that you will understand the incompetence of this insurer. Additionally, agents do not charge the rates you can see on the Internet.</v>
      </c>
    </row>
    <row r="91" ht="15.75" customHeight="1">
      <c r="A91" s="2">
        <v>2.0</v>
      </c>
      <c r="B91" s="2" t="s">
        <v>334</v>
      </c>
      <c r="C91" s="2" t="s">
        <v>335</v>
      </c>
      <c r="D91" s="2" t="s">
        <v>136</v>
      </c>
      <c r="E91" s="2" t="s">
        <v>137</v>
      </c>
      <c r="F91" s="2" t="s">
        <v>15</v>
      </c>
      <c r="G91" s="2" t="s">
        <v>336</v>
      </c>
      <c r="H91" s="2" t="s">
        <v>83</v>
      </c>
      <c r="I91" s="2" t="str">
        <f>IFERROR(__xludf.DUMMYFUNCTION("GOOGLETRANSLATE(C91,""fr"",""en"")"),"NULLISSIME!
We go from blunder to blunder... Despite the contractual documents, the monthly payments are taken from my personal account and the compensation paid into my professional account. A first request: nothing is done. A second: we solve the proble"&amp;"m only for the retirement plan (by ensuring that the changes will be made for pension and health). A third request: we only solve the problem for foresight. A fourth request: the movements on the accounts are FINALLY fair for the three contracts.
I am mad"&amp;"e to understand that it is my fault, I get angry, I am told that the contracts depend on different services which do not transfer emails (the requests were however made via the online portal for EACH contract).
Obviously, each request takes a considerable"&amp;" amount of time...
Today I need a situation report and the service is temporarily unavailable... for 48 hours. No one answers the phone, it must be said that it is 6:02 p.m....
RUN AWAY!")</f>
        <v>NULLISSIME!
We go from blunder to blunder... Despite the contractual documents, the monthly payments are taken from my personal account and the compensation paid into my professional account. A first request: nothing is done. A second: we solve the problem only for the retirement plan (by ensuring that the changes will be made for pension and health). A third request: we only solve the problem for foresight. A fourth request: the movements on the accounts are FINALLY fair for the three contracts.
I am made to understand that it is my fault, I get angry, I am told that the contracts depend on different services which do not transfer emails (the requests were however made via the online portal for EACH contract).
Obviously, each request takes a considerable amount of time...
Today I need a situation report and the service is temporarily unavailable... for 48 hours. No one answers the phone, it must be said that it is 6:02 p.m....
RUN AWAY!</v>
      </c>
    </row>
    <row r="92" ht="15.75" customHeight="1">
      <c r="A92" s="2">
        <v>2.0</v>
      </c>
      <c r="B92" s="2" t="s">
        <v>337</v>
      </c>
      <c r="C92" s="2" t="s">
        <v>338</v>
      </c>
      <c r="D92" s="2" t="s">
        <v>259</v>
      </c>
      <c r="E92" s="2" t="s">
        <v>61</v>
      </c>
      <c r="F92" s="2" t="s">
        <v>15</v>
      </c>
      <c r="G92" s="2" t="s">
        <v>339</v>
      </c>
      <c r="H92" s="2" t="s">
        <v>256</v>
      </c>
      <c r="I92" s="2" t="str">
        <f>IFERROR(__xludf.DUMMYFUNCTION("GOOGLETRANSLATE(C92,""fr"",""en"")"),"My son has been trying for 4 months to cash in a life insurance policy opened in his name by his grandmother to buy an apartment. The SG agency in charge My SG agency does not obtain a response from SOGECAP; This is unacceptable.")</f>
        <v>My son has been trying for 4 months to cash in a life insurance policy opened in his name by his grandmother to buy an apartment. The SG agency in charge My SG agency does not obtain a response from SOGECAP; This is unacceptable.</v>
      </c>
    </row>
    <row r="93" ht="15.75" customHeight="1">
      <c r="A93" s="2">
        <v>1.0</v>
      </c>
      <c r="B93" s="2" t="s">
        <v>340</v>
      </c>
      <c r="C93" s="2" t="s">
        <v>341</v>
      </c>
      <c r="D93" s="2" t="s">
        <v>322</v>
      </c>
      <c r="E93" s="2" t="s">
        <v>14</v>
      </c>
      <c r="F93" s="2" t="s">
        <v>15</v>
      </c>
      <c r="G93" s="2" t="s">
        <v>342</v>
      </c>
      <c r="H93" s="2" t="s">
        <v>343</v>
      </c>
      <c r="I93" s="2" t="str">
        <f>IFERROR(__xludf.DUMMYFUNCTION("GOOGLETRANSLATE(C93,""fr"",""en"")"),"TO FLEE!!!
does not take into account terminations and mentions imaginary losses. The same person never responds to us, letters sent to headquarters must end up directly in the trash")</f>
        <v>TO FLEE!!!
does not take into account terminations and mentions imaginary losses. The same person never responds to us, letters sent to headquarters must end up directly in the trash</v>
      </c>
    </row>
    <row r="94" ht="15.75" customHeight="1">
      <c r="A94" s="2">
        <v>2.0</v>
      </c>
      <c r="B94" s="2" t="s">
        <v>344</v>
      </c>
      <c r="C94" s="2" t="s">
        <v>345</v>
      </c>
      <c r="D94" s="2" t="s">
        <v>13</v>
      </c>
      <c r="E94" s="2" t="s">
        <v>14</v>
      </c>
      <c r="F94" s="2" t="s">
        <v>15</v>
      </c>
      <c r="G94" s="2" t="s">
        <v>346</v>
      </c>
      <c r="H94" s="2" t="s">
        <v>347</v>
      </c>
      <c r="I94" s="2" t="str">
        <f>IFERROR(__xludf.DUMMYFUNCTION("GOOGLETRANSLATE(C94,""fr"",""en"")"),"between the offer made on the assurland site and the offer we make to you there is a significant difference in price. You are told on the phone that the internet offer is made to lure the new customer and that the year according to the price will be the s"&amp;"ame as the one offered to me")</f>
        <v>between the offer made on the assurland site and the offer we make to you there is a significant difference in price. You are told on the phone that the internet offer is made to lure the new customer and that the year according to the price will be the same as the one offered to me</v>
      </c>
    </row>
    <row r="95" ht="15.75" customHeight="1">
      <c r="A95" s="2">
        <v>5.0</v>
      </c>
      <c r="B95" s="2" t="s">
        <v>348</v>
      </c>
      <c r="C95" s="2" t="s">
        <v>349</v>
      </c>
      <c r="D95" s="2" t="s">
        <v>28</v>
      </c>
      <c r="E95" s="2" t="s">
        <v>14</v>
      </c>
      <c r="F95" s="2" t="s">
        <v>15</v>
      </c>
      <c r="G95" s="2" t="s">
        <v>350</v>
      </c>
      <c r="H95" s="2" t="s">
        <v>83</v>
      </c>
      <c r="I95" s="2" t="str">
        <f>IFERROR(__xludf.DUMMYFUNCTION("GOOGLETRANSLATE(C95,""fr"",""en"")"),"Very good responsiveness and support throughout the registration procedure. Very attentive and receptive advisor and fast and efficient service")</f>
        <v>Very good responsiveness and support throughout the registration procedure. Very attentive and receptive advisor and fast and efficient service</v>
      </c>
    </row>
    <row r="96" ht="15.75" customHeight="1">
      <c r="A96" s="2">
        <v>4.0</v>
      </c>
      <c r="B96" s="2" t="s">
        <v>351</v>
      </c>
      <c r="C96" s="2" t="s">
        <v>352</v>
      </c>
      <c r="D96" s="2" t="s">
        <v>190</v>
      </c>
      <c r="E96" s="2" t="s">
        <v>14</v>
      </c>
      <c r="F96" s="2" t="s">
        <v>15</v>
      </c>
      <c r="G96" s="2" t="s">
        <v>353</v>
      </c>
      <c r="H96" s="2" t="s">
        <v>354</v>
      </c>
      <c r="I96" s="2" t="str">
        <f>IFERROR(__xludf.DUMMYFUNCTION("GOOGLETRANSLATE(C96,""fr"",""en"")"),"We always criticize when things don't go well but for once I'm so satisfied that I can't let criticize an insurance company whose advice saved my day. Already when signing my contract I was extremely well advised (but I didn't know it yet). I noticed it w"&amp;"hen my vehicle was stolen. traumatized by this theft, I contacted the GMF and its services in Besançon several times. I had several contacts who were all very pleasant and very understandable. after all the obligatory steps and procedures, the GMF reimbur"&amp;"sed me in full without any problem within a very reasonable time frame. As a result, I bought another vehicle and out of respect for these people I took over my insurance with them. and once again, advised by a super competent correspondent.
I also wanted"&amp;" to say that I had already compared the prices with several insurance companies and the differences were really tiny. so, sometimes even if they are sometimes more expensive (which was not the case for me) we sometimes avoid big problems which are not wel"&amp;"come when we have a disaster 
Thanks to the GMF staff")</f>
        <v>We always criticize when things don't go well but for once I'm so satisfied that I can't let criticize an insurance company whose advice saved my day. Already when signing my contract I was extremely well advised (but I didn't know it yet). I noticed it when my vehicle was stolen. traumatized by this theft, I contacted the GMF and its services in Besançon several times. I had several contacts who were all very pleasant and very understandable. after all the obligatory steps and procedures, the GMF reimbursed me in full without any problem within a very reasonable time frame. As a result, I bought another vehicle and out of respect for these people I took over my insurance with them. and once again, advised by a super competent correspondent.
I also wanted to say that I had already compared the prices with several insurance companies and the differences were really tiny. so, sometimes even if they are sometimes more expensive (which was not the case for me) we sometimes avoid big problems which are not welcome when we have a disaster 
Thanks to the GMF staff</v>
      </c>
    </row>
    <row r="97" ht="15.75" customHeight="1">
      <c r="A97" s="2">
        <v>1.0</v>
      </c>
      <c r="B97" s="2" t="s">
        <v>355</v>
      </c>
      <c r="C97" s="2" t="s">
        <v>356</v>
      </c>
      <c r="D97" s="2" t="s">
        <v>28</v>
      </c>
      <c r="E97" s="2" t="s">
        <v>14</v>
      </c>
      <c r="F97" s="2" t="s">
        <v>15</v>
      </c>
      <c r="G97" s="2" t="s">
        <v>357</v>
      </c>
      <c r="H97" s="2" t="s">
        <v>286</v>
      </c>
      <c r="I97" s="2" t="str">
        <f>IFERROR(__xludf.DUMMYFUNCTION("GOOGLETRANSLATE(C97,""fr"",""en"")"),"In view of the comments that I have read, I sincerely hope that the subsequent transmission of the scrapyard receipt will result in an end to the collection immediately without a final collection for the road just to bail out...
I was also entitled to a p"&amp;"rice increase the second year as well as another, after a move with parking on public roads during the fourth year, as significant as the second year!!! They made a move and according to my findings I was simply entitled to pricing consistent with my seni"&amp;"ority. The following year, currently, too.
It would be a shame if I had to file an objection and be burdened with late payment penalty fees accompanied by a filing for non-payment. 
Even if there is a date on the document and a date when this document was"&amp;" sent, you never know, regularizing this type of problem could take some time.
The guarantees included in my contract are not equivalent to the superior guarantees with “an” other insurer for a few hundred less!!!")</f>
        <v>In view of the comments that I have read, I sincerely hope that the subsequent transmission of the scrapyard receipt will result in an end to the collection immediately without a final collection for the road just to bail out...
I was also entitled to a price increase the second year as well as another, after a move with parking on public roads during the fourth year, as significant as the second year!!! They made a move and according to my findings I was simply entitled to pricing consistent with my seniority. The following year, currently, too.
It would be a shame if I had to file an objection and be burdened with late payment penalty fees accompanied by a filing for non-payment. 
Even if there is a date on the document and a date when this document was sent, you never know, regularizing this type of problem could take some time.
The guarantees included in my contract are not equivalent to the superior guarantees with “an” other insurer for a few hundred less!!!</v>
      </c>
    </row>
    <row r="98" ht="15.75" customHeight="1">
      <c r="A98" s="2">
        <v>2.0</v>
      </c>
      <c r="B98" s="2" t="s">
        <v>358</v>
      </c>
      <c r="C98" s="2" t="s">
        <v>359</v>
      </c>
      <c r="D98" s="2" t="s">
        <v>13</v>
      </c>
      <c r="E98" s="2" t="s">
        <v>14</v>
      </c>
      <c r="F98" s="2" t="s">
        <v>15</v>
      </c>
      <c r="G98" s="2" t="s">
        <v>360</v>
      </c>
      <c r="H98" s="2" t="s">
        <v>361</v>
      </c>
      <c r="I98" s="2" t="str">
        <f>IFERROR(__xludf.DUMMYFUNCTION("GOOGLETRANSLATE(C98,""fr"",""en"")"),"Please note, the loss or theft of keys is not covered. However, I took out all the existing guarantees (all risks and Serenity pack)... 
Unfortunately, I lost my keys in a lake on vacation, and was told it was not covered by my contract. I found myself 50"&amp;"0 km from home without keys, car locked, with family without assistance...
In short, dissatisfied and I am leaving this insurance as quickly as possible. With direct insurance, it's cheaper but we know why. ")</f>
        <v>Please note, the loss or theft of keys is not covered. However, I took out all the existing guarantees (all risks and Serenity pack)... 
Unfortunately, I lost my keys in a lake on vacation, and was told it was not covered by my contract. I found myself 500 km from home without keys, car locked, with family without assistance...
In short, dissatisfied and I am leaving this insurance as quickly as possible. With direct insurance, it's cheaper but we know why. </v>
      </c>
    </row>
    <row r="99" ht="15.75" customHeight="1">
      <c r="A99" s="2">
        <v>5.0</v>
      </c>
      <c r="B99" s="2" t="s">
        <v>362</v>
      </c>
      <c r="C99" s="2" t="s">
        <v>363</v>
      </c>
      <c r="D99" s="2" t="s">
        <v>28</v>
      </c>
      <c r="E99" s="2" t="s">
        <v>14</v>
      </c>
      <c r="F99" s="2" t="s">
        <v>15</v>
      </c>
      <c r="G99" s="2" t="s">
        <v>364</v>
      </c>
      <c r="H99" s="2" t="s">
        <v>25</v>
      </c>
      <c r="I99" s="2" t="str">
        <f>IFERROR(__xludf.DUMMYFUNCTION("GOOGLETRANSLATE(C99,""fr"",""en"")"),"I am very satisfied with the Olivier Assurance service, both in terms of prices and customer service. Everything is pretty simple in general.")</f>
        <v>I am very satisfied with the Olivier Assurance service, both in terms of prices and customer service. Everything is pretty simple in general.</v>
      </c>
    </row>
    <row r="100" ht="15.75" customHeight="1">
      <c r="A100" s="2">
        <v>5.0</v>
      </c>
      <c r="B100" s="2" t="s">
        <v>365</v>
      </c>
      <c r="C100" s="2" t="s">
        <v>366</v>
      </c>
      <c r="D100" s="2" t="s">
        <v>13</v>
      </c>
      <c r="E100" s="2" t="s">
        <v>14</v>
      </c>
      <c r="F100" s="2" t="s">
        <v>15</v>
      </c>
      <c r="G100" s="2" t="s">
        <v>367</v>
      </c>
      <c r="H100" s="2" t="s">
        <v>248</v>
      </c>
      <c r="I100" s="2" t="str">
        <f>IFERROR(__xludf.DUMMYFUNCTION("GOOGLETRANSLATE(C100,""fr"",""en"")"),"I have been with Direct Assurance for almost 2 years. I'm pretty satisfied, I've never had a problem with them. Contract management is very good and our customer area allows us to do many things independently. I highly recommend direct insurance. ")</f>
        <v>I have been with Direct Assurance for almost 2 years. I'm pretty satisfied, I've never had a problem with them. Contract management is very good and our customer area allows us to do many things independently. I highly recommend direct insurance. </v>
      </c>
    </row>
    <row r="101" ht="15.75" customHeight="1">
      <c r="A101" s="2">
        <v>4.0</v>
      </c>
      <c r="B101" s="2" t="s">
        <v>368</v>
      </c>
      <c r="C101" s="2" t="s">
        <v>369</v>
      </c>
      <c r="D101" s="2" t="s">
        <v>28</v>
      </c>
      <c r="E101" s="2" t="s">
        <v>14</v>
      </c>
      <c r="F101" s="2" t="s">
        <v>15</v>
      </c>
      <c r="G101" s="2" t="s">
        <v>370</v>
      </c>
      <c r="H101" s="2" t="s">
        <v>17</v>
      </c>
      <c r="I101" s="2" t="str">
        <f>IFERROR(__xludf.DUMMYFUNCTION("GOOGLETRANSLATE(C101,""fr"",""en"")"),"Very satisfied with the price and the excellent telephone contact, very clear explanation, to recommend to my loved ones and those around me. I thank you in advance ")</f>
        <v>Very satisfied with the price and the excellent telephone contact, very clear explanation, to recommend to my loved ones and those around me. I thank you in advance </v>
      </c>
    </row>
    <row r="102" ht="15.75" customHeight="1">
      <c r="A102" s="2">
        <v>1.0</v>
      </c>
      <c r="B102" s="2" t="s">
        <v>371</v>
      </c>
      <c r="C102" s="2" t="s">
        <v>372</v>
      </c>
      <c r="D102" s="2" t="s">
        <v>326</v>
      </c>
      <c r="E102" s="2" t="s">
        <v>129</v>
      </c>
      <c r="F102" s="2" t="s">
        <v>15</v>
      </c>
      <c r="G102" s="2" t="s">
        <v>373</v>
      </c>
      <c r="H102" s="2" t="s">
        <v>374</v>
      </c>
      <c r="I102" s="2" t="str">
        <f>IFERROR(__xludf.DUMMYFUNCTION("GOOGLETRANSLATE(C102,""fr"",""en"")"),"Water damage: 03/01/2018
Expert visit: 02/05/2018
Expert report: 05/14/2018
Don't be in a hurry.
The expert carefully dismantled the companies' quotes during the visit. Axa asks for very precise information but their expert report returns a sketchy assess"&amp;"ment, very underestimated. The claims service sucks, it was me who explained to them how to interpret the expert report.")</f>
        <v>Water damage: 03/01/2018
Expert visit: 02/05/2018
Expert report: 05/14/2018
Don't be in a hurry.
The expert carefully dismantled the companies' quotes during the visit. Axa asks for very precise information but their expert report returns a sketchy assessment, very underestimated. The claims service sucks, it was me who explained to them how to interpret the expert report.</v>
      </c>
    </row>
    <row r="103" ht="15.75" customHeight="1">
      <c r="A103" s="2">
        <v>4.0</v>
      </c>
      <c r="B103" s="2" t="s">
        <v>375</v>
      </c>
      <c r="C103" s="2" t="s">
        <v>376</v>
      </c>
      <c r="D103" s="2" t="s">
        <v>28</v>
      </c>
      <c r="E103" s="2" t="s">
        <v>14</v>
      </c>
      <c r="F103" s="2" t="s">
        <v>15</v>
      </c>
      <c r="G103" s="2" t="s">
        <v>377</v>
      </c>
      <c r="H103" s="2" t="s">
        <v>17</v>
      </c>
      <c r="I103" s="2" t="str">
        <f>IFERROR(__xludf.DUMMYFUNCTION("GOOGLETRANSLATE(C103,""fr"",""en"")"),"Good value for money, good responsiveness, good contact with customer service representatives. L'olivier insurance was able to be responsive in the event of a disaster. RAS")</f>
        <v>Good value for money, good responsiveness, good contact with customer service representatives. L'olivier insurance was able to be responsive in the event of a disaster. RAS</v>
      </c>
    </row>
    <row r="104" ht="15.75" customHeight="1">
      <c r="A104" s="2">
        <v>2.0</v>
      </c>
      <c r="B104" s="2" t="s">
        <v>378</v>
      </c>
      <c r="C104" s="2" t="s">
        <v>379</v>
      </c>
      <c r="D104" s="2" t="s">
        <v>145</v>
      </c>
      <c r="E104" s="2" t="s">
        <v>129</v>
      </c>
      <c r="F104" s="2" t="s">
        <v>15</v>
      </c>
      <c r="G104" s="2" t="s">
        <v>380</v>
      </c>
      <c r="H104" s="2" t="s">
        <v>381</v>
      </c>
      <c r="I104" s="2" t="str">
        <f>IFERROR(__xludf.DUMMYFUNCTION("GOOGLETRANSLATE(C104,""fr"",""en"")"),"The works department is unable to repair my broken tile and my shutter following my burglary on March 6. Living in the dark for 6 weeks with the fear of another burglary, thank you MAAF!!!")</f>
        <v>The works department is unable to repair my broken tile and my shutter following my burglary on March 6. Living in the dark for 6 weeks with the fear of another burglary, thank you MAAF!!!</v>
      </c>
    </row>
    <row r="105" ht="15.75" customHeight="1">
      <c r="A105" s="2">
        <v>1.0</v>
      </c>
      <c r="B105" s="2" t="s">
        <v>382</v>
      </c>
      <c r="C105" s="2" t="s">
        <v>383</v>
      </c>
      <c r="D105" s="2" t="s">
        <v>322</v>
      </c>
      <c r="E105" s="2" t="s">
        <v>14</v>
      </c>
      <c r="F105" s="2" t="s">
        <v>15</v>
      </c>
      <c r="G105" s="2" t="s">
        <v>384</v>
      </c>
      <c r="H105" s="2" t="s">
        <v>385</v>
      </c>
      <c r="I105" s="2" t="str">
        <f>IFERROR(__xludf.DUMMYFUNCTION("GOOGLETRANSLATE(C105,""fr"",""en"")"),"largely avoided I take out insurance today
I cannot download the certificate from their site because the site is in beta and it is impossible to connect to my account. I called customer service. Surprise, they cannot send you the certificate by email beca"&amp;"use it is Saturday if you can't why accept a customer on a Saturday so I can't go to work a day of wasted work by calling it too expensive 0.80 cents per minute I stayed 30 minutes on hold it's theft I'm filing a complaint for the engine research ferrets."&amp;"com too because he is the one responsible  ")</f>
        <v>largely avoided I take out insurance today
I cannot download the certificate from their site because the site is in beta and it is impossible to connect to my account. I called customer service. Surprise, they cannot send you the certificate by email because it is Saturday if you can't why accept a customer on a Saturday so I can't go to work a day of wasted work by calling it too expensive 0.80 cents per minute I stayed 30 minutes on hold it's theft I'm filing a complaint for the engine research ferrets.com too because he is the one responsible  </v>
      </c>
    </row>
    <row r="106" ht="15.75" customHeight="1">
      <c r="A106" s="2">
        <v>1.0</v>
      </c>
      <c r="B106" s="2" t="s">
        <v>386</v>
      </c>
      <c r="C106" s="2" t="s">
        <v>387</v>
      </c>
      <c r="D106" s="2" t="s">
        <v>55</v>
      </c>
      <c r="E106" s="2" t="s">
        <v>39</v>
      </c>
      <c r="F106" s="2" t="s">
        <v>15</v>
      </c>
      <c r="G106" s="2" t="s">
        <v>388</v>
      </c>
      <c r="H106" s="2" t="s">
        <v>389</v>
      </c>
      <c r="I106" s="2" t="str">
        <f>IFERROR(__xludf.DUMMYFUNCTION("GOOGLETRANSLATE(C106,""fr"",""en"")"),"Impossible to reach them by telephone, endless waiting. customer area does not work, so it is impossible to validate a quote. just horror. Paid number too! ")</f>
        <v>Impossible to reach them by telephone, endless waiting. customer area does not work, so it is impossible to validate a quote. just horror. Paid number too! </v>
      </c>
    </row>
    <row r="107" ht="15.75" customHeight="1">
      <c r="A107" s="2">
        <v>5.0</v>
      </c>
      <c r="B107" s="2" t="s">
        <v>390</v>
      </c>
      <c r="C107" s="2" t="s">
        <v>391</v>
      </c>
      <c r="D107" s="2" t="s">
        <v>13</v>
      </c>
      <c r="E107" s="2" t="s">
        <v>14</v>
      </c>
      <c r="F107" s="2" t="s">
        <v>15</v>
      </c>
      <c r="G107" s="2" t="s">
        <v>370</v>
      </c>
      <c r="H107" s="2" t="s">
        <v>17</v>
      </c>
      <c r="I107" s="2" t="str">
        <f>IFERROR(__xludf.DUMMYFUNCTION("GOOGLETRANSLATE(C107,""fr"",""en"")"),"Satisfied great customer service cheap insurance perfect I am satisfied with direct insurance it is very good insurance I thank you for your responsiveness I am completely satisfied")</f>
        <v>Satisfied great customer service cheap insurance perfect I am satisfied with direct insurance it is very good insurance I thank you for your responsiveness I am completely satisfied</v>
      </c>
    </row>
    <row r="108" ht="15.75" customHeight="1">
      <c r="A108" s="2">
        <v>1.0</v>
      </c>
      <c r="B108" s="2" t="s">
        <v>392</v>
      </c>
      <c r="C108" s="2" t="s">
        <v>393</v>
      </c>
      <c r="D108" s="2" t="s">
        <v>394</v>
      </c>
      <c r="E108" s="2" t="s">
        <v>129</v>
      </c>
      <c r="F108" s="2" t="s">
        <v>15</v>
      </c>
      <c r="G108" s="2" t="s">
        <v>395</v>
      </c>
      <c r="H108" s="2" t="s">
        <v>83</v>
      </c>
      <c r="I108" s="2" t="str">
        <f>IFERROR(__xludf.DUMMYFUNCTION("GOOGLETRANSLATE(C108,""fr"",""en"")"),"Insurer present to collect the contribution but absent when you need him.
If you like waiting 30 minutes on voice records only to get hung up on or never get answers to your emails then subscribe to Sogessur, you will be served.
Apart from that, not a ser"&amp;"ious insurer, to avoid absolutely.")</f>
        <v>Insurer present to collect the contribution but absent when you need him.
If you like waiting 30 minutes on voice records only to get hung up on or never get answers to your emails then subscribe to Sogessur, you will be served.
Apart from that, not a serious insurer, to avoid absolutely.</v>
      </c>
    </row>
    <row r="109" ht="15.75" customHeight="1">
      <c r="A109" s="2">
        <v>3.0</v>
      </c>
      <c r="B109" s="2" t="s">
        <v>396</v>
      </c>
      <c r="C109" s="2" t="s">
        <v>397</v>
      </c>
      <c r="D109" s="2" t="s">
        <v>326</v>
      </c>
      <c r="E109" s="2" t="s">
        <v>14</v>
      </c>
      <c r="F109" s="2" t="s">
        <v>15</v>
      </c>
      <c r="G109" s="2" t="s">
        <v>398</v>
      </c>
      <c r="H109" s="2" t="s">
        <v>224</v>
      </c>
      <c r="I109" s="2" t="str">
        <f>IFERROR(__xludf.DUMMYFUNCTION("GOOGLETRANSLATE(C109,""fr"",""en"")"),"I PAY MY INSURANCE BILL EVERY YEAR AND GET A BONUS. I often hear that AXA is a bad payer, also for Fire-Theft insurance, but have not verified it. I am also insured with AXA for my Fire-Theft and Family Liability insurance policy 811 577 017 and I notice "&amp;"that the competition is currently cheaper and I am questioning my choices.
 I also invested money at AXA.")</f>
        <v>I PAY MY INSURANCE BILL EVERY YEAR AND GET A BONUS. I often hear that AXA is a bad payer, also for Fire-Theft insurance, but have not verified it. I am also insured with AXA for my Fire-Theft and Family Liability insurance policy 811 577 017 and I notice that the competition is currently cheaper and I am questioning my choices.
 I also invested money at AXA.</v>
      </c>
    </row>
    <row r="110" ht="15.75" customHeight="1">
      <c r="A110" s="2">
        <v>1.0</v>
      </c>
      <c r="B110" s="2" t="s">
        <v>399</v>
      </c>
      <c r="C110" s="2" t="s">
        <v>400</v>
      </c>
      <c r="D110" s="2" t="s">
        <v>310</v>
      </c>
      <c r="E110" s="2" t="s">
        <v>14</v>
      </c>
      <c r="F110" s="2" t="s">
        <v>15</v>
      </c>
      <c r="G110" s="2" t="s">
        <v>401</v>
      </c>
      <c r="H110" s="2" t="s">
        <v>232</v>
      </c>
      <c r="I110" s="2" t="str">
        <f>IFERROR(__xludf.DUMMYFUNCTION("GOOGLETRANSLATE(C110,""fr"",""en"")"),"Insurance more and more lame....
I am asking for information to know if I buy a vehicle and later give it to my young daughter's license, it is possible.
THE young woman replied with annoyance that no, following a serious young license incident, that is n"&amp;"o longer done with them and that if I plan to do that, I will no longer be insured with them because I will waste their administrative time :)
So it's simple, I'm going to find young license insurance and I'm going to transfer my Eurofil contracts
Happy e"&amp;"urofil, a customer 10 years younger ")</f>
        <v>Insurance more and more lame....
I am asking for information to know if I buy a vehicle and later give it to my young daughter's license, it is possible.
THE young woman replied with annoyance that no, following a serious young license incident, that is no longer done with them and that if I plan to do that, I will no longer be insured with them because I will waste their administrative time :)
So it's simple, I'm going to find young license insurance and I'm going to transfer my Eurofil contracts
Happy eurofil, a customer 10 years younger </v>
      </c>
    </row>
    <row r="111" ht="15.75" customHeight="1">
      <c r="A111" s="2">
        <v>2.0</v>
      </c>
      <c r="B111" s="2" t="s">
        <v>402</v>
      </c>
      <c r="C111" s="2" t="s">
        <v>403</v>
      </c>
      <c r="D111" s="2" t="s">
        <v>28</v>
      </c>
      <c r="E111" s="2" t="s">
        <v>14</v>
      </c>
      <c r="F111" s="2" t="s">
        <v>15</v>
      </c>
      <c r="G111" s="2" t="s">
        <v>404</v>
      </c>
      <c r="H111" s="2" t="s">
        <v>67</v>
      </c>
      <c r="I111" s="2" t="str">
        <f>IFERROR(__xludf.DUMMYFUNCTION("GOOGLETRANSLATE(C111,""fr"",""en"")"),"Cruel lack of professionalism and communication between advisors. 
Car insurance taken out on 05/07 canceled by the insurer on 05/09. 
I spent 1h30 on the phone explaining to the advisor that I wanted to insure my vehicle for business trips, he assured me"&amp;" that it was feasible. Two days later, L'Olivier called me back to cancel my insurance because they do not cover this type of journey. 
Except that I paid in full when I subscribed, almost 400 euros. L'Olivier refuses to reimburse me in full (this is, how"&amp;"ever, a lack of professionalism on their part, I have nothing to do with it...) and on top of that, I learn that I also paid opening costs of 36 euros which I was not aware of AND which will not be refunded to me either. 
So, for being ""insured"" with th"&amp;"em for 2 days, I pay 50 euros. 
I call it: stealing. ")</f>
        <v>Cruel lack of professionalism and communication between advisors. 
Car insurance taken out on 05/07 canceled by the insurer on 05/09. 
I spent 1h30 on the phone explaining to the advisor that I wanted to insure my vehicle for business trips, he assured me that it was feasible. Two days later, L'Olivier called me back to cancel my insurance because they do not cover this type of journey. 
Except that I paid in full when I subscribed, almost 400 euros. L'Olivier refuses to reimburse me in full (this is, however, a lack of professionalism on their part, I have nothing to do with it...) and on top of that, I learn that I also paid opening costs of 36 euros which I was not aware of AND which will not be refunded to me either. 
So, for being "insured" with them for 2 days, I pay 50 euros. 
I call it: stealing. </v>
      </c>
    </row>
    <row r="112" ht="15.75" customHeight="1">
      <c r="A112" s="2">
        <v>5.0</v>
      </c>
      <c r="B112" s="2" t="s">
        <v>405</v>
      </c>
      <c r="C112" s="2" t="s">
        <v>406</v>
      </c>
      <c r="D112" s="2" t="s">
        <v>80</v>
      </c>
      <c r="E112" s="2" t="s">
        <v>81</v>
      </c>
      <c r="F112" s="2" t="s">
        <v>15</v>
      </c>
      <c r="G112" s="2" t="s">
        <v>268</v>
      </c>
      <c r="H112" s="2" t="s">
        <v>111</v>
      </c>
      <c r="I112" s="2" t="str">
        <f>IFERROR(__xludf.DUMMYFUNCTION("GOOGLETRANSLATE(C112,""fr"",""en"")"),"Very fair price compared to other insurance companies, with the same guarantees. Fast and efficient advisor. I recommend for bikers. ")</f>
        <v>Very fair price compared to other insurance companies, with the same guarantees. Fast and efficient advisor. I recommend for bikers. </v>
      </c>
    </row>
    <row r="113" ht="15.75" customHeight="1">
      <c r="A113" s="2">
        <v>3.0</v>
      </c>
      <c r="B113" s="2" t="s">
        <v>407</v>
      </c>
      <c r="C113" s="2" t="s">
        <v>408</v>
      </c>
      <c r="D113" s="2" t="s">
        <v>326</v>
      </c>
      <c r="E113" s="2" t="s">
        <v>81</v>
      </c>
      <c r="F113" s="2" t="s">
        <v>15</v>
      </c>
      <c r="G113" s="2" t="s">
        <v>409</v>
      </c>
      <c r="H113" s="2" t="s">
        <v>25</v>
      </c>
      <c r="I113" s="2" t="str">
        <f>IFERROR(__xludf.DUMMYFUNCTION("GOOGLETRANSLATE(C113,""fr"",""en"")"),"Very happy with axa so far, but today I have some doubts in fact several small details that have just arisen force me to become more vigilant about small details on axa
1) I have just purchased a 125 electric scooter in an electric motorcycle dealership w"&amp;"ith supporting invoice, I am attaching my insurer who for 20 years has almost never heard of me, is asking him for temporary insurance of travel of this said vehicle to the Seller and MANUFACTURER of the vehicle (20 km journey to be ensured temporarily fo"&amp;"r 1 hour in order to carry out a strict check) before it is permanently insured (I work for the MANUFACTURER of the vehicle strictly speaking at electric vehicle assembly operator positions) it took me almost 1 week to succeed in proving my good faith, ga"&amp;"thering the requested documents and after 5 e-mails finally obtaining the sesame I was hoping for knowing that I already have a 125 scooter insured with them 
2) therefore not being of good will to put at axa the traveling simplicity to my loyalty of 20 y"&amp;"ears I still asked them for a quote knowing (I work in it) that an electric vehicle costs half as much in insurance with almost all insurers in France and well NO with axa they don't care I'm still 50 euros more expensive than my thermal scooter insurance"&amp;" 
so you can imagine what I can think of this type of commercial practice 
For the pure pleasure of responding to you, I am attaching my email address in case you have any doubts about different statements that I have mentioned. 
Kind regards 
")</f>
        <v>Very happy with axa so far, but today I have some doubts in fact several small details that have just arisen force me to become more vigilant about small details on axa
1) I have just purchased a 125 electric scooter in an electric motorcycle dealership with supporting invoice, I am attaching my insurer who for 20 years has almost never heard of me, is asking him for temporary insurance of travel of this said vehicle to the Seller and MANUFACTURER of the vehicle (20 km journey to be ensured temporarily for 1 hour in order to carry out a strict check) before it is permanently insured (I work for the MANUFACTURER of the vehicle strictly speaking at electric vehicle assembly operator positions) it took me almost 1 week to succeed in proving my good faith, gathering the requested documents and after 5 e-mails finally obtaining the sesame I was hoping for knowing that I already have a 125 scooter insured with them 
2) therefore not being of good will to put at axa the traveling simplicity to my loyalty of 20 years I still asked them for a quote knowing (I work in it) that an electric vehicle costs half as much in insurance with almost all insurers in France and well NO with axa they don't care I'm still 50 euros more expensive than my thermal scooter insurance 
so you can imagine what I can think of this type of commercial practice 
For the pure pleasure of responding to you, I am attaching my email address in case you have any doubts about different statements that I have mentioned. 
Kind regards 
</v>
      </c>
    </row>
    <row r="114" ht="15.75" customHeight="1">
      <c r="A114" s="2">
        <v>1.0</v>
      </c>
      <c r="B114" s="2" t="s">
        <v>410</v>
      </c>
      <c r="C114" s="2" t="s">
        <v>411</v>
      </c>
      <c r="D114" s="2" t="s">
        <v>412</v>
      </c>
      <c r="E114" s="2" t="s">
        <v>39</v>
      </c>
      <c r="F114" s="2" t="s">
        <v>15</v>
      </c>
      <c r="G114" s="2" t="s">
        <v>413</v>
      </c>
      <c r="H114" s="2" t="s">
        <v>414</v>
      </c>
      <c r="I114" s="2" t="str">
        <f>IFERROR(__xludf.DUMMYFUNCTION("GOOGLETRANSLATE(C114,""fr"",""en"")"),"I've been waiting for a refund for almost 2 months, the emails have been unsuccessful.
I called 3 times, 3 times they told me they would take care of it but nothing.
I was thinking of re-registering with them once my contract was over but now it's going "&amp;"to be complicated.")</f>
        <v>I've been waiting for a refund for almost 2 months, the emails have been unsuccessful.
I called 3 times, 3 times they told me they would take care of it but nothing.
I was thinking of re-registering with them once my contract was over but now it's going to be complicated.</v>
      </c>
    </row>
    <row r="115" ht="15.75" customHeight="1">
      <c r="A115" s="2">
        <v>4.0</v>
      </c>
      <c r="B115" s="2" t="s">
        <v>415</v>
      </c>
      <c r="C115" s="2" t="s">
        <v>416</v>
      </c>
      <c r="D115" s="2" t="s">
        <v>28</v>
      </c>
      <c r="E115" s="2" t="s">
        <v>14</v>
      </c>
      <c r="F115" s="2" t="s">
        <v>15</v>
      </c>
      <c r="G115" s="2" t="s">
        <v>417</v>
      </c>
      <c r="H115" s="2" t="s">
        <v>30</v>
      </c>
      <c r="I115" s="2" t="str">
        <f>IFERROR(__xludf.DUMMYFUNCTION("GOOGLETRANSLATE(C115,""fr"",""en"")"),"I am satisfied with the service, the services offered are very interesting, the advisor was very good and explained everything to me well, I would recommend. ")</f>
        <v>I am satisfied with the service, the services offered are very interesting, the advisor was very good and explained everything to me well, I would recommend. </v>
      </c>
    </row>
    <row r="116" ht="15.75" customHeight="1">
      <c r="A116" s="2">
        <v>3.0</v>
      </c>
      <c r="B116" s="2" t="s">
        <v>418</v>
      </c>
      <c r="C116" s="2" t="s">
        <v>419</v>
      </c>
      <c r="D116" s="2" t="s">
        <v>13</v>
      </c>
      <c r="E116" s="2" t="s">
        <v>14</v>
      </c>
      <c r="F116" s="2" t="s">
        <v>15</v>
      </c>
      <c r="G116" s="2" t="s">
        <v>420</v>
      </c>
      <c r="H116" s="2" t="s">
        <v>17</v>
      </c>
      <c r="I116" s="2" t="str">
        <f>IFERROR(__xludf.DUMMYFUNCTION("GOOGLETRANSLATE(C116,""fr"",""en"")"),"Hello, I am satisfied with your service for the moment, it doesn't make me change my mind, the price is correct and the rest is correct. I'm going to find out and I hope I won't be disappointed. ")</f>
        <v>Hello, I am satisfied with your service for the moment, it doesn't make me change my mind, the price is correct and the rest is correct. I'm going to find out and I hope I won't be disappointed. </v>
      </c>
    </row>
    <row r="117" ht="15.75" customHeight="1">
      <c r="A117" s="2">
        <v>1.0</v>
      </c>
      <c r="B117" s="2" t="s">
        <v>421</v>
      </c>
      <c r="C117" s="2" t="s">
        <v>422</v>
      </c>
      <c r="D117" s="2" t="s">
        <v>89</v>
      </c>
      <c r="E117" s="2" t="s">
        <v>39</v>
      </c>
      <c r="F117" s="2" t="s">
        <v>15</v>
      </c>
      <c r="G117" s="2" t="s">
        <v>423</v>
      </c>
      <c r="H117" s="2" t="s">
        <v>52</v>
      </c>
      <c r="I117" s="2" t="str">
        <f>IFERROR(__xludf.DUMMYFUNCTION("GOOGLETRANSLATE(C117,""fr"",""en"")"),"Unable to contact this mutual   
What an idea to have joined this ste which really does not fulfill its duties! 
No refund and the one who gave me my contract is absent! ")</f>
        <v>Unable to contact this mutual   
What an idea to have joined this ste which really does not fulfill its duties! 
No refund and the one who gave me my contract is absent! </v>
      </c>
    </row>
    <row r="118" ht="15.75" customHeight="1">
      <c r="A118" s="2">
        <v>4.0</v>
      </c>
      <c r="B118" s="2" t="s">
        <v>424</v>
      </c>
      <c r="C118" s="2" t="s">
        <v>425</v>
      </c>
      <c r="D118" s="2" t="s">
        <v>190</v>
      </c>
      <c r="E118" s="2" t="s">
        <v>14</v>
      </c>
      <c r="F118" s="2" t="s">
        <v>15</v>
      </c>
      <c r="G118" s="2" t="s">
        <v>377</v>
      </c>
      <c r="H118" s="2" t="s">
        <v>17</v>
      </c>
      <c r="I118" s="2" t="str">
        <f>IFERROR(__xludf.DUMMYFUNCTION("GOOGLETRANSLATE(C118,""fr"",""en"")"),"satisfied with the services and ease of contact/management 
clarity of conditions 
competitive prices// other offers 
 friendly and non-intrusive solicitation of advisors  ")</f>
        <v>satisfied with the services and ease of contact/management 
clarity of conditions 
competitive prices// other offers 
 friendly and non-intrusive solicitation of advisors  </v>
      </c>
    </row>
    <row r="119" ht="15.75" customHeight="1">
      <c r="A119" s="2">
        <v>1.0</v>
      </c>
      <c r="B119" s="2" t="s">
        <v>426</v>
      </c>
      <c r="C119" s="2" t="s">
        <v>427</v>
      </c>
      <c r="D119" s="2" t="s">
        <v>65</v>
      </c>
      <c r="E119" s="2" t="s">
        <v>14</v>
      </c>
      <c r="F119" s="2" t="s">
        <v>15</v>
      </c>
      <c r="G119" s="2" t="s">
        <v>428</v>
      </c>
      <c r="H119" s="2" t="s">
        <v>354</v>
      </c>
      <c r="I119" s="2" t="str">
        <f>IFERROR(__xludf.DUMMYFUNCTION("GOOGLETRANSLATE(C119,""fr"",""en"")"),"Still not repaying for 8 months for a simple incident on my A class. For which I am not at fault, the garage debited me the amount of 3900€ is allianz still nothing I am initiating a procedure with damages and interest I advise you not to subscribe to the"&amp;"m. ")</f>
        <v>Still not repaying for 8 months for a simple incident on my A class. For which I am not at fault, the garage debited me the amount of 3900€ is allianz still nothing I am initiating a procedure with damages and interest I advise you not to subscribe to them. </v>
      </c>
    </row>
    <row r="120" ht="15.75" customHeight="1">
      <c r="A120" s="2">
        <v>1.0</v>
      </c>
      <c r="B120" s="2" t="s">
        <v>429</v>
      </c>
      <c r="C120" s="2" t="s">
        <v>430</v>
      </c>
      <c r="D120" s="2" t="s">
        <v>65</v>
      </c>
      <c r="E120" s="2" t="s">
        <v>129</v>
      </c>
      <c r="F120" s="2" t="s">
        <v>15</v>
      </c>
      <c r="G120" s="2" t="s">
        <v>431</v>
      </c>
      <c r="H120" s="2" t="s">
        <v>236</v>
      </c>
      <c r="I120" s="2" t="str">
        <f>IFERROR(__xludf.DUMMYFUNCTION("GOOGLETRANSLATE(C120,""fr"",""en"")"),"pitiful, incompetent! your contract number is unknown after 15 years! impossible to pay by credit card! the Middle Ages and more! their telephone number on the home due notice is that of auto claims! real charlots!! In the event of a disaster I don't even"&amp;" dare to think about it! and the complaints service on the site is down! the height! allianz is a breakdown!!")</f>
        <v>pitiful, incompetent! your contract number is unknown after 15 years! impossible to pay by credit card! the Middle Ages and more! their telephone number on the home due notice is that of auto claims! real charlots!! In the event of a disaster I don't even dare to think about it! and the complaints service on the site is down! the height! allianz is a breakdown!!</v>
      </c>
    </row>
    <row r="121" ht="15.75" customHeight="1">
      <c r="A121" s="2">
        <v>3.0</v>
      </c>
      <c r="B121" s="2" t="s">
        <v>432</v>
      </c>
      <c r="C121" s="2" t="s">
        <v>433</v>
      </c>
      <c r="D121" s="2" t="s">
        <v>80</v>
      </c>
      <c r="E121" s="2" t="s">
        <v>81</v>
      </c>
      <c r="F121" s="2" t="s">
        <v>15</v>
      </c>
      <c r="G121" s="2" t="s">
        <v>434</v>
      </c>
      <c r="H121" s="2" t="s">
        <v>111</v>
      </c>
      <c r="I121" s="2" t="str">
        <f>IFERROR(__xludf.DUMMYFUNCTION("GOOGLETRANSLATE(C121,""fr"",""en"")"),"Very quick subscription, the information is succinct but clear. Response from an efficient advisor within minutes of my quote. I was able to subscribe to take immediate effect.
")</f>
        <v>Very quick subscription, the information is succinct but clear. Response from an efficient advisor within minutes of my quote. I was able to subscribe to take immediate effect.
</v>
      </c>
    </row>
    <row r="122" ht="15.75" customHeight="1">
      <c r="A122" s="2">
        <v>5.0</v>
      </c>
      <c r="B122" s="2" t="s">
        <v>435</v>
      </c>
      <c r="C122" s="2" t="s">
        <v>436</v>
      </c>
      <c r="D122" s="2" t="s">
        <v>28</v>
      </c>
      <c r="E122" s="2" t="s">
        <v>14</v>
      </c>
      <c r="F122" s="2" t="s">
        <v>15</v>
      </c>
      <c r="G122" s="2" t="s">
        <v>121</v>
      </c>
      <c r="H122" s="2" t="s">
        <v>21</v>
      </c>
      <c r="I122" s="2" t="str">
        <f>IFERROR(__xludf.DUMMYFUNCTION("GOOGLETRANSLATE(C122,""fr"",""en"")"),"Excellent value for money and customer service is fast and efficient. I hope that this opinion will be confirmed if by chance, a disaster should occur.")</f>
        <v>Excellent value for money and customer service is fast and efficient. I hope that this opinion will be confirmed if by chance, a disaster should occur.</v>
      </c>
    </row>
    <row r="123" ht="15.75" customHeight="1">
      <c r="A123" s="2">
        <v>5.0</v>
      </c>
      <c r="B123" s="2" t="s">
        <v>437</v>
      </c>
      <c r="C123" s="2" t="s">
        <v>438</v>
      </c>
      <c r="D123" s="2" t="s">
        <v>80</v>
      </c>
      <c r="E123" s="2" t="s">
        <v>81</v>
      </c>
      <c r="F123" s="2" t="s">
        <v>15</v>
      </c>
      <c r="G123" s="2" t="s">
        <v>350</v>
      </c>
      <c r="H123" s="2" t="s">
        <v>83</v>
      </c>
      <c r="I123" s="2" t="str">
        <f>IFERROR(__xludf.DUMMYFUNCTION("GOOGLETRANSLATE(C123,""fr"",""en"")"),"Nickel and fast I highly recommend this insurance I found them through a search forum and I have already been insured before and I never had any problems ")</f>
        <v>Nickel and fast I highly recommend this insurance I found them through a search forum and I have already been insured before and I never had any problems </v>
      </c>
    </row>
    <row r="124" ht="15.75" customHeight="1">
      <c r="A124" s="2">
        <v>1.0</v>
      </c>
      <c r="B124" s="2" t="s">
        <v>439</v>
      </c>
      <c r="C124" s="2" t="s">
        <v>440</v>
      </c>
      <c r="D124" s="2" t="s">
        <v>38</v>
      </c>
      <c r="E124" s="2" t="s">
        <v>39</v>
      </c>
      <c r="F124" s="2" t="s">
        <v>15</v>
      </c>
      <c r="G124" s="2" t="s">
        <v>441</v>
      </c>
      <c r="H124" s="2" t="s">
        <v>442</v>
      </c>
      <c r="I124" s="2" t="str">
        <f>IFERROR(__xludf.DUMMYFUNCTION("GOOGLETRANSLATE(C124,""fr"",""en"")"),"A mutual with unscrupulous direct sellers impossible terminations a zero service run away from these people as long as it is not too late because it will be an obstacle course to leave them without them having robbed you of little money. you have left")</f>
        <v>A mutual with unscrupulous direct sellers impossible terminations a zero service run away from these people as long as it is not too late because it will be an obstacle course to leave them without them having robbed you of little money. you have left</v>
      </c>
    </row>
    <row r="125" ht="15.75" customHeight="1">
      <c r="A125" s="2">
        <v>1.0</v>
      </c>
      <c r="B125" s="2" t="s">
        <v>443</v>
      </c>
      <c r="C125" s="2" t="s">
        <v>444</v>
      </c>
      <c r="D125" s="2" t="s">
        <v>145</v>
      </c>
      <c r="E125" s="2" t="s">
        <v>14</v>
      </c>
      <c r="F125" s="2" t="s">
        <v>15</v>
      </c>
      <c r="G125" s="2" t="s">
        <v>350</v>
      </c>
      <c r="H125" s="2" t="s">
        <v>83</v>
      </c>
      <c r="I125" s="2" t="str">
        <f>IFERROR(__xludf.DUMMYFUNCTION("GOOGLETRANSLATE(C125,""fr"",""en"")"),"Insurance company to avoid absolutely,
If you want Penalties without any valid reason and without any expertise, go there.. 
No listening to their customers.
Damage, 5 insurance subscriptions with them. 
But quality of service and professionalism are not"&amp;" values ​​that they obviously know.
After several telephone conversations with other insurance companies, I wonder why I didn't leave Maaf instead.
To the wise,
Jessie")</f>
        <v>Insurance company to avoid absolutely,
If you want Penalties without any valid reason and without any expertise, go there.. 
No listening to their customers.
Damage, 5 insurance subscriptions with them. 
But quality of service and professionalism are not values ​​that they obviously know.
After several telephone conversations with other insurance companies, I wonder why I didn't leave Maaf instead.
To the wise,
Jessie</v>
      </c>
    </row>
    <row r="126" ht="15.75" customHeight="1">
      <c r="A126" s="2">
        <v>1.0</v>
      </c>
      <c r="B126" s="2" t="s">
        <v>445</v>
      </c>
      <c r="C126" s="2" t="s">
        <v>446</v>
      </c>
      <c r="D126" s="2" t="s">
        <v>13</v>
      </c>
      <c r="E126" s="2" t="s">
        <v>14</v>
      </c>
      <c r="F126" s="2" t="s">
        <v>15</v>
      </c>
      <c r="G126" s="2" t="s">
        <v>447</v>
      </c>
      <c r="H126" s="2" t="s">
        <v>448</v>
      </c>
      <c r="I126" s="2" t="str">
        <f>IFERROR(__xludf.DUMMYFUNCTION("GOOGLETRANSLATE(C126,""fr"",""en"")"),"This insurer really leaves something to be desired. you think you're insured until you actually need them and then that's another story. for the record I declared a claim (460950656), I discovered my car parked with the door damaged and without knowing wh"&amp;"at had happened I thought of someone who crashed into me while parked. .. the expert comes by and says that perhaps I scraped without realizing it
Result: rather than giving me a penalty, the insurance did not want to cover this loss and I have to take f"&amp;"ull responsibility for a loss even though I am fully insured and I myself called them to tell them to respect what the expert said and give me the penalty. I find this situation unacceptable and I hope that this comment will dissuade future customers from"&amp;" going to this insurer. Sometimes it's better to pay a little more and be REALLY insured")</f>
        <v>This insurer really leaves something to be desired. you think you're insured until you actually need them and then that's another story. for the record I declared a claim (460950656), I discovered my car parked with the door damaged and without knowing what had happened I thought of someone who crashed into me while parked. .. the expert comes by and says that perhaps I scraped without realizing it
Result: rather than giving me a penalty, the insurance did not want to cover this loss and I have to take full responsibility for a loss even though I am fully insured and I myself called them to tell them to respect what the expert said and give me the penalty. I find this situation unacceptable and I hope that this comment will dissuade future customers from going to this insurer. Sometimes it's better to pay a little more and be REALLY insured</v>
      </c>
    </row>
    <row r="127" ht="15.75" customHeight="1">
      <c r="A127" s="2">
        <v>5.0</v>
      </c>
      <c r="B127" s="2" t="s">
        <v>449</v>
      </c>
      <c r="C127" s="2" t="s">
        <v>450</v>
      </c>
      <c r="D127" s="2" t="s">
        <v>28</v>
      </c>
      <c r="E127" s="2" t="s">
        <v>14</v>
      </c>
      <c r="F127" s="2" t="s">
        <v>15</v>
      </c>
      <c r="G127" s="2" t="s">
        <v>24</v>
      </c>
      <c r="H127" s="2" t="s">
        <v>25</v>
      </c>
      <c r="I127" s="2" t="str">
        <f>IFERROR(__xludf.DUMMYFUNCTION("GOOGLETRANSLATE(C127,""fr"",""en"")"),"For the moment satisfied, I cannot say more because this is the first registration for your insurance
Thanks again. Hoping not to have to ask you")</f>
        <v>For the moment satisfied, I cannot say more because this is the first registration for your insurance
Thanks again. Hoping not to have to ask you</v>
      </c>
    </row>
    <row r="128" ht="15.75" customHeight="1">
      <c r="A128" s="2">
        <v>4.0</v>
      </c>
      <c r="B128" s="2" t="s">
        <v>451</v>
      </c>
      <c r="C128" s="2" t="s">
        <v>452</v>
      </c>
      <c r="D128" s="2" t="s">
        <v>80</v>
      </c>
      <c r="E128" s="2" t="s">
        <v>81</v>
      </c>
      <c r="F128" s="2" t="s">
        <v>15</v>
      </c>
      <c r="G128" s="2" t="s">
        <v>453</v>
      </c>
      <c r="H128" s="2" t="s">
        <v>46</v>
      </c>
      <c r="I128" s="2" t="str">
        <f>IFERROR(__xludf.DUMMYFUNCTION("GOOGLETRANSLATE(C128,""fr"",""en"")"),"I am quite satisfied with the price; I would have appreciated a price effort when signing the contract (1 month free), especially since I already have 3 motorcycles in the contract.")</f>
        <v>I am quite satisfied with the price; I would have appreciated a price effort when signing the contract (1 month free), especially since I already have 3 motorcycles in the contract.</v>
      </c>
    </row>
    <row r="129" ht="15.75" customHeight="1">
      <c r="A129" s="2">
        <v>4.0</v>
      </c>
      <c r="B129" s="2" t="s">
        <v>454</v>
      </c>
      <c r="C129" s="2" t="s">
        <v>455</v>
      </c>
      <c r="D129" s="2" t="s">
        <v>80</v>
      </c>
      <c r="E129" s="2" t="s">
        <v>81</v>
      </c>
      <c r="F129" s="2" t="s">
        <v>15</v>
      </c>
      <c r="G129" s="2" t="s">
        <v>456</v>
      </c>
      <c r="H129" s="2" t="s">
        <v>111</v>
      </c>
      <c r="I129" s="2" t="str">
        <f>IFERROR(__xludf.DUMMYFUNCTION("GOOGLETRANSLATE(C129,""fr"",""en"")"),"simple and fast. price. paying monthly. the mechanical breakage offer. I would like to know if you have an office in Savoie or Haute Savoie. Kind regards.")</f>
        <v>simple and fast. price. paying monthly. the mechanical breakage offer. I would like to know if you have an office in Savoie or Haute Savoie. Kind regards.</v>
      </c>
    </row>
    <row r="130" ht="15.75" customHeight="1">
      <c r="A130" s="2">
        <v>1.0</v>
      </c>
      <c r="B130" s="2" t="s">
        <v>457</v>
      </c>
      <c r="C130" s="2" t="s">
        <v>458</v>
      </c>
      <c r="D130" s="2" t="s">
        <v>412</v>
      </c>
      <c r="E130" s="2" t="s">
        <v>39</v>
      </c>
      <c r="F130" s="2" t="s">
        <v>15</v>
      </c>
      <c r="G130" s="2" t="s">
        <v>459</v>
      </c>
      <c r="H130" s="2" t="s">
        <v>25</v>
      </c>
      <c r="I130" s="2" t="str">
        <f>IFERROR(__xludf.DUMMYFUNCTION("GOOGLETRANSLATE(C130,""fr"",""en"")"),"Mandatory employer mutual insurance: 
Still waiting for reimbursement since October!! Unacceptable!! A shame!! I'm still begging for my dues, but they don't forget to collect the payments every month. My advice: run away, go your own way. ??")</f>
        <v>Mandatory employer mutual insurance: 
Still waiting for reimbursement since October!! Unacceptable!! A shame!! I'm still begging for my dues, but they don't forget to collect the payments every month. My advice: run away, go your own way. ??</v>
      </c>
    </row>
    <row r="131" ht="15.75" customHeight="1">
      <c r="A131" s="2">
        <v>1.0</v>
      </c>
      <c r="B131" s="2" t="s">
        <v>460</v>
      </c>
      <c r="C131" s="2" t="s">
        <v>461</v>
      </c>
      <c r="D131" s="2" t="s">
        <v>284</v>
      </c>
      <c r="E131" s="2" t="s">
        <v>81</v>
      </c>
      <c r="F131" s="2" t="s">
        <v>15</v>
      </c>
      <c r="G131" s="2" t="s">
        <v>462</v>
      </c>
      <c r="H131" s="2" t="s">
        <v>25</v>
      </c>
      <c r="I131" s="2" t="str">
        <f>IFERROR(__xludf.DUMMYFUNCTION("GOOGLETRANSLATE(C131,""fr"",""en"")"),"My opinion on this mutual is, like the majority of those expressed on the site: deplorable! ! !
The level of contributions was already very high (systematic increase every year!) but this year, in the current context, the increase for the 2021/04 deadline"&amp;" is simply indecent!
This review is written by an ""informed"" motorcyclist who rides 15,000 km/year every year (a little less during the years of confinement - LOL) and has done so without interruption since 1970.
PS: dear mutualist “comrade”, there is n"&amp;"o point in contacting me to try to justify these price increases “indexed on the cost of living”; my retirement pension has not changed for 10 years! ")</f>
        <v>My opinion on this mutual is, like the majority of those expressed on the site: deplorable! ! !
The level of contributions was already very high (systematic increase every year!) but this year, in the current context, the increase for the 2021/04 deadline is simply indecent!
This review is written by an "informed" motorcyclist who rides 15,000 km/year every year (a little less during the years of confinement - LOL) and has done so without interruption since 1970.
PS: dear mutualist “comrade”, there is no point in contacting me to try to justify these price increases “indexed on the cost of living”; my retirement pension has not changed for 10 years! </v>
      </c>
    </row>
    <row r="132" ht="15.75" customHeight="1">
      <c r="A132" s="2">
        <v>1.0</v>
      </c>
      <c r="B132" s="2" t="s">
        <v>463</v>
      </c>
      <c r="C132" s="2" t="s">
        <v>464</v>
      </c>
      <c r="D132" s="2" t="s">
        <v>465</v>
      </c>
      <c r="E132" s="2" t="s">
        <v>39</v>
      </c>
      <c r="F132" s="2" t="s">
        <v>15</v>
      </c>
      <c r="G132" s="2" t="s">
        <v>466</v>
      </c>
      <c r="H132" s="2" t="s">
        <v>467</v>
      </c>
      <c r="I132" s="2" t="str">
        <f>IFERROR(__xludf.DUMMYFUNCTION("GOOGLETRANSLATE(C132,""fr"",""en"")"),"Very expensive. 
unreliable customer service
more than 4 months to take into account the birth of my child (after 4 letters and 3 calls). It’s hard to make a simple step worse.")</f>
        <v>Very expensive. 
unreliable customer service
more than 4 months to take into account the birth of my child (after 4 letters and 3 calls). It’s hard to make a simple step worse.</v>
      </c>
    </row>
    <row r="133" ht="15.75" customHeight="1">
      <c r="A133" s="2">
        <v>5.0</v>
      </c>
      <c r="B133" s="2" t="s">
        <v>468</v>
      </c>
      <c r="C133" s="2" t="s">
        <v>469</v>
      </c>
      <c r="D133" s="2" t="s">
        <v>80</v>
      </c>
      <c r="E133" s="2" t="s">
        <v>81</v>
      </c>
      <c r="F133" s="2" t="s">
        <v>15</v>
      </c>
      <c r="G133" s="2" t="s">
        <v>470</v>
      </c>
      <c r="H133" s="2" t="s">
        <v>30</v>
      </c>
      <c r="I133" s="2" t="str">
        <f>IFERROR(__xludf.DUMMYFUNCTION("GOOGLETRANSLATE(C133,""fr"",""en"")"),"I am satisfied with the services, the prices are honorable, thank you very much April moto. I will recommend this insurance to those around me, I will then also recommend it to my friend who has the same 2 wheels as me. ")</f>
        <v>I am satisfied with the services, the prices are honorable, thank you very much April moto. I will recommend this insurance to those around me, I will then also recommend it to my friend who has the same 2 wheels as me. </v>
      </c>
    </row>
    <row r="134" ht="15.75" customHeight="1">
      <c r="A134" s="2">
        <v>5.0</v>
      </c>
      <c r="B134" s="2" t="s">
        <v>471</v>
      </c>
      <c r="C134" s="2" t="s">
        <v>472</v>
      </c>
      <c r="D134" s="2" t="s">
        <v>28</v>
      </c>
      <c r="E134" s="2" t="s">
        <v>14</v>
      </c>
      <c r="F134" s="2" t="s">
        <v>15</v>
      </c>
      <c r="G134" s="2" t="s">
        <v>473</v>
      </c>
      <c r="H134" s="2" t="s">
        <v>474</v>
      </c>
      <c r="I134" s="2" t="str">
        <f>IFERROR(__xludf.DUMMYFUNCTION("GOOGLETRANSLATE(C134,""fr"",""en"")"),"I was a little apprehensive about subscribing online for the insurance of my 407, the difference convinced me. We don't know the value when we have a disaster, and the olive tree was pleasant to me when I had a slight collision. The advisor gave very good"&amp;" advice and the reimbursement was done within a week")</f>
        <v>I was a little apprehensive about subscribing online for the insurance of my 407, the difference convinced me. We don't know the value when we have a disaster, and the olive tree was pleasant to me when I had a slight collision. The advisor gave very good advice and the reimbursement was done within a week</v>
      </c>
    </row>
    <row r="135" ht="15.75" customHeight="1">
      <c r="A135" s="2">
        <v>4.0</v>
      </c>
      <c r="B135" s="2" t="s">
        <v>475</v>
      </c>
      <c r="C135" s="2" t="s">
        <v>476</v>
      </c>
      <c r="D135" s="2" t="s">
        <v>28</v>
      </c>
      <c r="E135" s="2" t="s">
        <v>14</v>
      </c>
      <c r="F135" s="2" t="s">
        <v>15</v>
      </c>
      <c r="G135" s="2" t="s">
        <v>477</v>
      </c>
      <c r="H135" s="2" t="s">
        <v>94</v>
      </c>
      <c r="I135" s="2" t="str">
        <f>IFERROR(__xludf.DUMMYFUNCTION("GOOGLETRANSLATE(C135,""fr"",""en"")"),"Prices among the best on the market, simplicity of the procedure via the internet, more than enough to see for support in the event of a claim. for the moment only +")</f>
        <v>Prices among the best on the market, simplicity of the procedure via the internet, more than enough to see for support in the event of a claim. for the moment only +</v>
      </c>
    </row>
    <row r="136" ht="15.75" customHeight="1">
      <c r="A136" s="2">
        <v>5.0</v>
      </c>
      <c r="B136" s="2" t="s">
        <v>478</v>
      </c>
      <c r="C136" s="2" t="s">
        <v>479</v>
      </c>
      <c r="D136" s="2" t="s">
        <v>28</v>
      </c>
      <c r="E136" s="2" t="s">
        <v>14</v>
      </c>
      <c r="F136" s="2" t="s">
        <v>15</v>
      </c>
      <c r="G136" s="2" t="s">
        <v>480</v>
      </c>
      <c r="H136" s="2" t="s">
        <v>46</v>
      </c>
      <c r="I136" s="2" t="str">
        <f>IFERROR(__xludf.DUMMYFUNCTION("GOOGLETRANSLATE(C136,""fr"",""en"")"),"The service is satisfactory, the advisors are attentive and we were able to respond to my problems without problems and as quickly as possible. THANKS.")</f>
        <v>The service is satisfactory, the advisors are attentive and we were able to respond to my problems without problems and as quickly as possible. THANKS.</v>
      </c>
    </row>
    <row r="137" ht="15.75" customHeight="1">
      <c r="A137" s="2">
        <v>2.0</v>
      </c>
      <c r="B137" s="2" t="s">
        <v>481</v>
      </c>
      <c r="C137" s="2" t="s">
        <v>482</v>
      </c>
      <c r="D137" s="2" t="s">
        <v>310</v>
      </c>
      <c r="E137" s="2" t="s">
        <v>14</v>
      </c>
      <c r="F137" s="2" t="s">
        <v>15</v>
      </c>
      <c r="G137" s="2" t="s">
        <v>483</v>
      </c>
      <c r="H137" s="2" t="s">
        <v>484</v>
      </c>
      <c r="I137" s="2" t="str">
        <f>IFERROR(__xludf.DUMMYFUNCTION("GOOGLETRANSLATE(C137,""fr"",""en"")"),"TO AWAY Canceled in 30 seconds for a simple question, nothing beats the small neighborhood insurer, having a real human in front of you these days is priceless")</f>
        <v>TO AWAY Canceled in 30 seconds for a simple question, nothing beats the small neighborhood insurer, having a real human in front of you these days is priceless</v>
      </c>
    </row>
    <row r="138" ht="15.75" customHeight="1">
      <c r="A138" s="2">
        <v>5.0</v>
      </c>
      <c r="B138" s="2" t="s">
        <v>485</v>
      </c>
      <c r="C138" s="2" t="s">
        <v>486</v>
      </c>
      <c r="D138" s="2" t="s">
        <v>28</v>
      </c>
      <c r="E138" s="2" t="s">
        <v>14</v>
      </c>
      <c r="F138" s="2" t="s">
        <v>15</v>
      </c>
      <c r="G138" s="2" t="s">
        <v>487</v>
      </c>
      <c r="H138" s="2" t="s">
        <v>30</v>
      </c>
      <c r="I138" s="2" t="str">
        <f>IFERROR(__xludf.DUMMYFUNCTION("GOOGLETRANSLATE(C138,""fr"",""en"")"),"I am satisfied with the service and the price, everything has gone well at the moment, we are waiting to have the definitive insurance. Thank you again for the quality of the service")</f>
        <v>I am satisfied with the service and the price, everything has gone well at the moment, we are waiting to have the definitive insurance. Thank you again for the quality of the service</v>
      </c>
    </row>
    <row r="139" ht="15.75" customHeight="1">
      <c r="A139" s="2">
        <v>2.0</v>
      </c>
      <c r="B139" s="2" t="s">
        <v>488</v>
      </c>
      <c r="C139" s="2" t="s">
        <v>489</v>
      </c>
      <c r="D139" s="2" t="s">
        <v>13</v>
      </c>
      <c r="E139" s="2" t="s">
        <v>14</v>
      </c>
      <c r="F139" s="2" t="s">
        <v>15</v>
      </c>
      <c r="G139" s="2" t="s">
        <v>490</v>
      </c>
      <c r="H139" s="2" t="s">
        <v>224</v>
      </c>
      <c r="I139" s="2" t="str">
        <f>IFERROR(__xludf.DUMMYFUNCTION("GOOGLETRANSLATE(C139,""fr"",""en"")"),"Good morning,
My car was smashed during the night of July 28, 2017 during my vacation in Corsica.
the person fled It has now been 26 days and I still have not recovered my car which is still in Corsica. Direct insurance is currently refusing to repatriat"&amp;"e it despite article 5.3.7 of the general conditions and article 41.2 of my serenity option pack.
I am desperate, I need my car to go to work and I am told that my file is taking time..... time that I no longer have.
It's lamentable I think")</f>
        <v>Good morning,
My car was smashed during the night of July 28, 2017 during my vacation in Corsica.
the person fled It has now been 26 days and I still have not recovered my car which is still in Corsica. Direct insurance is currently refusing to repatriate it despite article 5.3.7 of the general conditions and article 41.2 of my serenity option pack.
I am desperate, I need my car to go to work and I am told that my file is taking time..... time that I no longer have.
It's lamentable I think</v>
      </c>
    </row>
    <row r="140" ht="15.75" customHeight="1">
      <c r="A140" s="2">
        <v>5.0</v>
      </c>
      <c r="B140" s="2" t="s">
        <v>491</v>
      </c>
      <c r="C140" s="2" t="s">
        <v>492</v>
      </c>
      <c r="D140" s="2" t="s">
        <v>493</v>
      </c>
      <c r="E140" s="2" t="s">
        <v>101</v>
      </c>
      <c r="F140" s="2" t="s">
        <v>15</v>
      </c>
      <c r="G140" s="2" t="s">
        <v>494</v>
      </c>
      <c r="H140" s="2" t="s">
        <v>83</v>
      </c>
      <c r="I140" s="2" t="str">
        <f>IFERROR(__xludf.DUMMYFUNCTION("GOOGLETRANSLATE(C140,""fr"",""en"")"),"I am satisfied with the price offered.
The advisor listens to me.
Now all that remains is to cross our fingers that everything goes well in the event of an unforeseen event which I hope will never happen. :)")</f>
        <v>I am satisfied with the price offered.
The advisor listens to me.
Now all that remains is to cross our fingers that everything goes well in the event of an unforeseen event which I hope will never happen. :)</v>
      </c>
    </row>
    <row r="141" ht="15.75" customHeight="1">
      <c r="A141" s="2">
        <v>2.0</v>
      </c>
      <c r="B141" s="2" t="s">
        <v>495</v>
      </c>
      <c r="C141" s="2" t="s">
        <v>496</v>
      </c>
      <c r="D141" s="2" t="s">
        <v>190</v>
      </c>
      <c r="E141" s="2" t="s">
        <v>14</v>
      </c>
      <c r="F141" s="2" t="s">
        <v>15</v>
      </c>
      <c r="G141" s="2" t="s">
        <v>497</v>
      </c>
      <c r="H141" s="2" t="s">
        <v>57</v>
      </c>
      <c r="I141" s="2" t="str">
        <f>IFERROR(__xludf.DUMMYFUNCTION("GOOGLETRANSLATE(C141,""fr"",""en"")"),"Fired after 32 years at the GMF, for the following reason: alteration of the commercial relationship, yes you read correctly... My son, my daughter, my son-in-law being members of the GMF. I am a veteran of the national association of members (volunteer),"&amp;" no communication, no phone call, no explanation. The regional management located in Aix has not denied contacting us, the mutualism has indeed disappeared... Certainly human, they should be ashamed of canceling members and non-customers as they do during"&amp;" the epidemic in 2021, the relationship service customer ended up receiving our dispute, and ended up finally listening to us, fortunately the Hamon law is there to better protect customers or members of these large insurance groups, who only enrich thems"&amp;"elves especially during times of epidemic...their silence speaks volumes.
")</f>
        <v>Fired after 32 years at the GMF, for the following reason: alteration of the commercial relationship, yes you read correctly... My son, my daughter, my son-in-law being members of the GMF. I am a veteran of the national association of members (volunteer), no communication, no phone call, no explanation. The regional management located in Aix has not denied contacting us, the mutualism has indeed disappeared... Certainly human, they should be ashamed of canceling members and non-customers as they do during the epidemic in 2021, the relationship service customer ended up receiving our dispute, and ended up finally listening to us, fortunately the Hamon law is there to better protect customers or members of these large insurance groups, who only enrich themselves especially during times of epidemic...their silence speaks volumes.
</v>
      </c>
    </row>
    <row r="142" ht="15.75" customHeight="1">
      <c r="A142" s="2">
        <v>1.0</v>
      </c>
      <c r="B142" s="2" t="s">
        <v>498</v>
      </c>
      <c r="C142" s="2" t="s">
        <v>499</v>
      </c>
      <c r="D142" s="2" t="s">
        <v>326</v>
      </c>
      <c r="E142" s="2" t="s">
        <v>137</v>
      </c>
      <c r="F142" s="2" t="s">
        <v>15</v>
      </c>
      <c r="G142" s="2" t="s">
        <v>500</v>
      </c>
      <c r="H142" s="2" t="s">
        <v>347</v>
      </c>
      <c r="I142" s="2" t="str">
        <f>IFERROR(__xludf.DUMMYFUNCTION("GOOGLETRANSLATE(C142,""fr"",""en"")"),"Being self-employed, I take out an axa avizen pro contract. I am on sick leave for a period of one month. 15 days of deficiency, I am aware of that. At present my work stoppage is over and I still have not been compensated.  My advisor at the time told me"&amp;" that my contract also covered professional expenses and asked the AXA center ""we cannot intervene, you have not subscribed to this guarantee"". I took out this insurance to protect myself in the event of health problems and I am spoiled. I'm sending my "&amp;"termination letter today!")</f>
        <v>Being self-employed, I take out an axa avizen pro contract. I am on sick leave for a period of one month. 15 days of deficiency, I am aware of that. At present my work stoppage is over and I still have not been compensated.  My advisor at the time told me that my contract also covered professional expenses and asked the AXA center "we cannot intervene, you have not subscribed to this guarantee". I took out this insurance to protect myself in the event of health problems and I am spoiled. I'm sending my termination letter today!</v>
      </c>
    </row>
    <row r="143" ht="15.75" customHeight="1">
      <c r="A143" s="2">
        <v>5.0</v>
      </c>
      <c r="B143" s="2" t="s">
        <v>501</v>
      </c>
      <c r="C143" s="2" t="s">
        <v>502</v>
      </c>
      <c r="D143" s="2" t="s">
        <v>28</v>
      </c>
      <c r="E143" s="2" t="s">
        <v>14</v>
      </c>
      <c r="F143" s="2" t="s">
        <v>15</v>
      </c>
      <c r="G143" s="2" t="s">
        <v>503</v>
      </c>
      <c r="H143" s="2" t="s">
        <v>108</v>
      </c>
      <c r="I143" s="2" t="str">
        <f>IFERROR(__xludf.DUMMYFUNCTION("GOOGLETRANSLATE(C143,""fr"",""en"")"),"Unbeatable prices, very pleasant and super responsive people. It's nice to see a company that knows how to work so efficiently. ")</f>
        <v>Unbeatable prices, very pleasant and super responsive people. It's nice to see a company that knows how to work so efficiently. </v>
      </c>
    </row>
    <row r="144" ht="15.75" customHeight="1">
      <c r="A144" s="2">
        <v>3.0</v>
      </c>
      <c r="B144" s="2" t="s">
        <v>504</v>
      </c>
      <c r="C144" s="2" t="s">
        <v>505</v>
      </c>
      <c r="D144" s="2" t="s">
        <v>28</v>
      </c>
      <c r="E144" s="2" t="s">
        <v>14</v>
      </c>
      <c r="F144" s="2" t="s">
        <v>15</v>
      </c>
      <c r="G144" s="2" t="s">
        <v>506</v>
      </c>
      <c r="H144" s="2" t="s">
        <v>507</v>
      </c>
      <c r="I144" s="2" t="str">
        <f>IFERROR(__xludf.DUMMYFUNCTION("GOOGLETRANSLATE(C144,""fr"",""en"")"),"Customer service 0. No follow-up, incompetent people or faulty customer processes.
What a lack of professionalism I have never seen. And the problem is not always resolved.
Error in my name from the insurer when opening my account: 3 emails to customer s"&amp;"ervice, with no response from them. 1 other email to report my annoyance after receiving the expired green card. 3 weeks later no change. 2 calls to update all this, always the same result. Customer service is incompetent. I regret having joined this insu"&amp;"rer even though its prices are attractive.")</f>
        <v>Customer service 0. No follow-up, incompetent people or faulty customer processes.
What a lack of professionalism I have never seen. And the problem is not always resolved.
Error in my name from the insurer when opening my account: 3 emails to customer service, with no response from them. 1 other email to report my annoyance after receiving the expired green card. 3 weeks later no change. 2 calls to update all this, always the same result. Customer service is incompetent. I regret having joined this insurer even though its prices are attractive.</v>
      </c>
    </row>
    <row r="145" ht="15.75" customHeight="1">
      <c r="A145" s="2">
        <v>4.0</v>
      </c>
      <c r="B145" s="2" t="s">
        <v>508</v>
      </c>
      <c r="C145" s="2" t="s">
        <v>509</v>
      </c>
      <c r="D145" s="2" t="s">
        <v>13</v>
      </c>
      <c r="E145" s="2" t="s">
        <v>14</v>
      </c>
      <c r="F145" s="2" t="s">
        <v>15</v>
      </c>
      <c r="G145" s="2" t="s">
        <v>510</v>
      </c>
      <c r="H145" s="2" t="s">
        <v>25</v>
      </c>
      <c r="I145" s="2" t="str">
        <f>IFERROR(__xludf.DUMMYFUNCTION("GOOGLETRANSLATE(C145,""fr"",""en"")"),"We are quite satisfied with the service which is rather fast. Thanks a lot . very visually accessible on top of that. being in digital accessibility it makes me happy.")</f>
        <v>We are quite satisfied with the service which is rather fast. Thanks a lot . very visually accessible on top of that. being in digital accessibility it makes me happy.</v>
      </c>
    </row>
    <row r="146" ht="15.75" customHeight="1">
      <c r="A146" s="2">
        <v>3.0</v>
      </c>
      <c r="B146" s="2" t="s">
        <v>511</v>
      </c>
      <c r="C146" s="2" t="s">
        <v>512</v>
      </c>
      <c r="D146" s="2" t="s">
        <v>322</v>
      </c>
      <c r="E146" s="2" t="s">
        <v>14</v>
      </c>
      <c r="F146" s="2" t="s">
        <v>15</v>
      </c>
      <c r="G146" s="2" t="s">
        <v>513</v>
      </c>
      <c r="H146" s="2" t="s">
        <v>381</v>
      </c>
      <c r="I146" s="2" t="str">
        <f>IFERROR(__xludf.DUMMYFUNCTION("GOOGLETRANSLATE(C146,""fr"",""en"")"),"EASY TO ACCESS TO ENSURE, THEN CHINESE HEADACHE BREAK ONCE SIGNED. ALWAYS BONUS PROBLEMS, ACCIDENTAL RESPONSIBLE OR NOT. TO FINALLY THEY GIVE YOU AN INCREASE OF A HUNDRED EUROS.")</f>
        <v>EASY TO ACCESS TO ENSURE, THEN CHINESE HEADACHE BREAK ONCE SIGNED. ALWAYS BONUS PROBLEMS, ACCIDENTAL RESPONSIBLE OR NOT. TO FINALLY THEY GIVE YOU AN INCREASE OF A HUNDRED EUROS.</v>
      </c>
    </row>
    <row r="147" ht="15.75" customHeight="1">
      <c r="A147" s="2">
        <v>2.0</v>
      </c>
      <c r="B147" s="2" t="s">
        <v>514</v>
      </c>
      <c r="C147" s="2" t="s">
        <v>515</v>
      </c>
      <c r="D147" s="2" t="s">
        <v>303</v>
      </c>
      <c r="E147" s="2" t="s">
        <v>129</v>
      </c>
      <c r="F147" s="2" t="s">
        <v>15</v>
      </c>
      <c r="G147" s="2" t="s">
        <v>516</v>
      </c>
      <c r="H147" s="2" t="s">
        <v>442</v>
      </c>
      <c r="I147" s="2" t="str">
        <f>IFERROR(__xludf.DUMMYFUNCTION("GOOGLETRANSLATE(C147,""fr"",""en"")"),"A member for more than 20 years, I have never, ever obtained any compensation from MACIF for the claims declared. Each time, as if by chance, I am “outside the scope” of support or am not insured for the declared situations. All this without any advice be"&amp;"ing given to me on the relevance of my coverage to my needs. I asked for this advice but to no avail. Fed up! It's time to change creameries!")</f>
        <v>A member for more than 20 years, I have never, ever obtained any compensation from MACIF for the claims declared. Each time, as if by chance, I am “outside the scope” of support or am not insured for the declared situations. All this without any advice being given to me on the relevance of my coverage to my needs. I asked for this advice but to no avail. Fed up! It's time to change creameries!</v>
      </c>
    </row>
    <row r="148" ht="15.75" customHeight="1">
      <c r="A148" s="2">
        <v>1.0</v>
      </c>
      <c r="B148" s="2" t="s">
        <v>517</v>
      </c>
      <c r="C148" s="2" t="s">
        <v>518</v>
      </c>
      <c r="D148" s="2" t="s">
        <v>13</v>
      </c>
      <c r="E148" s="2" t="s">
        <v>14</v>
      </c>
      <c r="F148" s="2" t="s">
        <v>15</v>
      </c>
      <c r="G148" s="2" t="s">
        <v>519</v>
      </c>
      <c r="H148" s="2" t="s">
        <v>275</v>
      </c>
      <c r="I148" s="2" t="str">
        <f>IFERROR(__xludf.DUMMYFUNCTION("GOOGLETRANSLATE(C148,""fr"",""en"")"),"Disappointed!!! customer since 2014 no problems I change vehicles in November so as usual hop hop hop they charge me fees for the change then increase in the normal contribution it's not the same vehicle so in the end I goes from 64€ to 69€ per month so f"&amp;"ar no worries I take the direct debit which is not free and generates costs to have peace of mind and I arrive in May I ask for an insurance card with sticker from day and I am told your file has been blocked since January we have not received your regist"&amp;"ration document! 
I sent this registration card but even so it is June and I have no email, no message, no mail telling me that my file should be blocked! 
Result I have to pay in one or two installments the sums of February March April May June and July"&amp;" I tell them that it is not possible that we must find an arrangement because it is not my fault if they do not warn and that he blocks my file like that 
I ask them to pay February March April so 69€ multiply by 3 I find 207€ they tell me no 219€ There a"&amp;"re change fees already paid in December so I get annoyed the lady tells me that she to change my file and it's no longer €69/month but €95/month now! 
ABUSED!!!!
So my file is still blocked, I no longer have access to anything while waiting for them to de"&amp;"ign to contact me again to manage the conflict! I don't even know if I'm insured or not! SERVICE email I inform them of the problem and they send me an email telling me that they tried to contact me but that I did not pick up I have never received any cal"&amp;"l from them and they ask me to call customer SERVICE again which is of no use in short we go in circles limit when we call them we make them ch.....
DISGUSTED")</f>
        <v>Disappointed!!! customer since 2014 no problems I change vehicles in November so as usual hop hop hop they charge me fees for the change then increase in the normal contribution it's not the same vehicle so in the end I goes from 64€ to 69€ per month so far no worries I take the direct debit which is not free and generates costs to have peace of mind and I arrive in May I ask for an insurance card with sticker from day and I am told your file has been blocked since January we have not received your registration document! 
I sent this registration card but even so it is June and I have no email, no message, no mail telling me that my file should be blocked! 
Result I have to pay in one or two installments the sums of February March April May June and July I tell them that it is not possible that we must find an arrangement because it is not my fault if they do not warn and that he blocks my file like that 
I ask them to pay February March April so 69€ multiply by 3 I find 207€ they tell me no 219€ There are change fees already paid in December so I get annoyed the lady tells me that she to change my file and it's no longer €69/month but €95/month now! 
ABUSED!!!!
So my file is still blocked, I no longer have access to anything while waiting for them to deign to contact me again to manage the conflict! I don't even know if I'm insured or not! SERVICE email I inform them of the problem and they send me an email telling me that they tried to contact me but that I did not pick up I have never received any call from them and they ask me to call customer SERVICE again which is of no use in short we go in circles limit when we call them we make them ch.....
DISGUSTED</v>
      </c>
    </row>
    <row r="149" ht="15.75" customHeight="1">
      <c r="A149" s="2">
        <v>1.0</v>
      </c>
      <c r="B149" s="2" t="s">
        <v>520</v>
      </c>
      <c r="C149" s="2" t="s">
        <v>521</v>
      </c>
      <c r="D149" s="2" t="s">
        <v>128</v>
      </c>
      <c r="E149" s="2" t="s">
        <v>129</v>
      </c>
      <c r="F149" s="2" t="s">
        <v>15</v>
      </c>
      <c r="G149" s="2" t="s">
        <v>522</v>
      </c>
      <c r="H149" s="2" t="s">
        <v>108</v>
      </c>
      <c r="I149" s="2" t="str">
        <f>IFERROR(__xludf.DUMMYFUNCTION("GOOGLETRANSLATE(C149,""fr"",""en"")"),"Very disappointed 30 years of contributions
The disaster in 2 words 
TV antenna falling following a gust of wind on Saturday February 20 
There was an earthquake on Wednesday in Valves 
Despite these 2 elements they do not cover the claim 
It wasn't a 100"&amp;" km hour wind, we were told 
I am thinking of changing all active insurance at pacifica 
")</f>
        <v>Very disappointed 30 years of contributions
The disaster in 2 words 
TV antenna falling following a gust of wind on Saturday February 20 
There was an earthquake on Wednesday in Valves 
Despite these 2 elements they do not cover the claim 
It wasn't a 100 km hour wind, we were told 
I am thinking of changing all active insurance at pacifica 
</v>
      </c>
    </row>
    <row r="150" ht="15.75" customHeight="1">
      <c r="A150" s="2">
        <v>5.0</v>
      </c>
      <c r="B150" s="2" t="s">
        <v>523</v>
      </c>
      <c r="C150" s="2" t="s">
        <v>524</v>
      </c>
      <c r="D150" s="2" t="s">
        <v>254</v>
      </c>
      <c r="E150" s="2" t="s">
        <v>14</v>
      </c>
      <c r="F150" s="2" t="s">
        <v>15</v>
      </c>
      <c r="G150" s="2" t="s">
        <v>483</v>
      </c>
      <c r="H150" s="2" t="s">
        <v>484</v>
      </c>
      <c r="I150" s="2" t="str">
        <f>IFERROR(__xludf.DUMMYFUNCTION("GOOGLETRANSLATE(C150,""fr"",""en"")"),"Insurance which has always given me complete satisfaction for almost 40 years. The prices are perfectly justified given the quality of the guarantee.")</f>
        <v>Insurance which has always given me complete satisfaction for almost 40 years. The prices are perfectly justified given the quality of the guarantee.</v>
      </c>
    </row>
    <row r="151" ht="15.75" customHeight="1">
      <c r="A151" s="2">
        <v>1.0</v>
      </c>
      <c r="B151" s="2" t="s">
        <v>525</v>
      </c>
      <c r="C151" s="2" t="s">
        <v>526</v>
      </c>
      <c r="D151" s="2" t="s">
        <v>136</v>
      </c>
      <c r="E151" s="2" t="s">
        <v>61</v>
      </c>
      <c r="F151" s="2" t="s">
        <v>15</v>
      </c>
      <c r="G151" s="2" t="s">
        <v>527</v>
      </c>
      <c r="H151" s="2" t="s">
        <v>216</v>
      </c>
      <c r="I151" s="2" t="str">
        <f>IFERROR(__xludf.DUMMYFUNCTION("GOOGLETRANSLATE(C151,""fr"",""en"")"),"Intervention deleted at the request of the Internet user.")</f>
        <v>Intervention deleted at the request of the Internet user.</v>
      </c>
    </row>
    <row r="152" ht="15.75" customHeight="1">
      <c r="A152" s="2">
        <v>4.0</v>
      </c>
      <c r="B152" s="2" t="s">
        <v>528</v>
      </c>
      <c r="C152" s="2" t="s">
        <v>529</v>
      </c>
      <c r="D152" s="2" t="s">
        <v>530</v>
      </c>
      <c r="E152" s="2" t="s">
        <v>137</v>
      </c>
      <c r="F152" s="2" t="s">
        <v>15</v>
      </c>
      <c r="G152" s="2" t="s">
        <v>370</v>
      </c>
      <c r="H152" s="2" t="s">
        <v>108</v>
      </c>
      <c r="I152" s="2" t="str">
        <f>IFERROR(__xludf.DUMMYFUNCTION("GOOGLETRANSLATE(C152,""fr"",""en"")"),"I am satisfied with the amount paid for the 5 people in my household. A contract adapted to each member of the family according to needs and scalable if needs change.
A sales representative for setting up the contract who is very attentive and responsive,"&amp;" top-notch telephone advisors on every call (listening, friendly, smiling, answering questions and responsive).
")</f>
        <v>I am satisfied with the amount paid for the 5 people in my household. A contract adapted to each member of the family according to needs and scalable if needs change.
A sales representative for setting up the contract who is very attentive and responsive, top-notch telephone advisors on every call (listening, friendly, smiling, answering questions and responsive).
</v>
      </c>
    </row>
    <row r="153" ht="15.75" customHeight="1">
      <c r="A153" s="2">
        <v>4.0</v>
      </c>
      <c r="B153" s="2" t="s">
        <v>531</v>
      </c>
      <c r="C153" s="2" t="s">
        <v>532</v>
      </c>
      <c r="D153" s="2" t="s">
        <v>28</v>
      </c>
      <c r="E153" s="2" t="s">
        <v>14</v>
      </c>
      <c r="F153" s="2" t="s">
        <v>15</v>
      </c>
      <c r="G153" s="2" t="s">
        <v>533</v>
      </c>
      <c r="H153" s="2" t="s">
        <v>25</v>
      </c>
      <c r="I153" s="2" t="str">
        <f>IFERROR(__xludf.DUMMYFUNCTION("GOOGLETRANSLATE(C153,""fr"",""en"")"),"Simple and quick. I validate. On top of that, the price is a little expensive but that's okay. I hope for a good and long collaboration. 
It should have an app to be perfect ")</f>
        <v>Simple and quick. I validate. On top of that, the price is a little expensive but that's okay. I hope for a good and long collaboration. 
It should have an app to be perfect </v>
      </c>
    </row>
    <row r="154" ht="15.75" customHeight="1">
      <c r="A154" s="2">
        <v>3.0</v>
      </c>
      <c r="B154" s="2" t="s">
        <v>534</v>
      </c>
      <c r="C154" s="2" t="s">
        <v>535</v>
      </c>
      <c r="D154" s="2" t="s">
        <v>13</v>
      </c>
      <c r="E154" s="2" t="s">
        <v>14</v>
      </c>
      <c r="F154" s="2" t="s">
        <v>15</v>
      </c>
      <c r="G154" s="2" t="s">
        <v>536</v>
      </c>
      <c r="H154" s="2" t="s">
        <v>248</v>
      </c>
      <c r="I154" s="2" t="str">
        <f>IFERROR(__xludf.DUMMYFUNCTION("GOOGLETRANSLATE(C154,""fr"",""en"")"),"The prices are reasonable, good value for money for the proposals made. You drive initiative rather satisfactory and easy to save money ")</f>
        <v>The prices are reasonable, good value for money for the proposals made. You drive initiative rather satisfactory and easy to save money </v>
      </c>
    </row>
    <row r="155" ht="15.75" customHeight="1">
      <c r="A155" s="2">
        <v>4.0</v>
      </c>
      <c r="B155" s="2" t="s">
        <v>537</v>
      </c>
      <c r="C155" s="2" t="s">
        <v>538</v>
      </c>
      <c r="D155" s="2" t="s">
        <v>13</v>
      </c>
      <c r="E155" s="2" t="s">
        <v>14</v>
      </c>
      <c r="F155" s="2" t="s">
        <v>15</v>
      </c>
      <c r="G155" s="2" t="s">
        <v>539</v>
      </c>
      <c r="H155" s="2" t="s">
        <v>25</v>
      </c>
      <c r="I155" s="2" t="str">
        <f>IFERROR(__xludf.DUMMYFUNCTION("GOOGLETRANSLATE(C155,""fr"",""en"")"),"Contact is quick and easy
on the other hand the prices are a little more expensive than the competitors 
easy access to documents via the application
")</f>
        <v>Contact is quick and easy
on the other hand the prices are a little more expensive than the competitors 
easy access to documents via the application
</v>
      </c>
    </row>
    <row r="156" ht="15.75" customHeight="1">
      <c r="A156" s="2">
        <v>2.0</v>
      </c>
      <c r="B156" s="2" t="s">
        <v>540</v>
      </c>
      <c r="C156" s="2" t="s">
        <v>541</v>
      </c>
      <c r="D156" s="2" t="s">
        <v>28</v>
      </c>
      <c r="E156" s="2" t="s">
        <v>14</v>
      </c>
      <c r="F156" s="2" t="s">
        <v>15</v>
      </c>
      <c r="G156" s="2" t="s">
        <v>542</v>
      </c>
      <c r="H156" s="2" t="s">
        <v>21</v>
      </c>
      <c r="I156" s="2" t="str">
        <f>IFERROR(__xludf.DUMMYFUNCTION("GOOGLETRANSLATE(C156,""fr"",""en"")"),"On the day of my accident, the number on my green card was “exceptionally closed” so insurance was unreachable! Subsequently my file was suspended so no loaner car, and to this day despite my reminders I still don't know why. Finally, it has been more tha"&amp;"n a month since my car was declared wrecked, when I call with my number the service is closed, with another number the service is open. I didn't think this kind of practice was possible, I am unfortunately powerless. Totally abusive procedures, really fle"&amp;"e!")</f>
        <v>On the day of my accident, the number on my green card was “exceptionally closed” so insurance was unreachable! Subsequently my file was suspended so no loaner car, and to this day despite my reminders I still don't know why. Finally, it has been more than a month since my car was declared wrecked, when I call with my number the service is closed, with another number the service is open. I didn't think this kind of practice was possible, I am unfortunately powerless. Totally abusive procedures, really flee!</v>
      </c>
    </row>
    <row r="157" ht="15.75" customHeight="1">
      <c r="A157" s="2">
        <v>4.0</v>
      </c>
      <c r="B157" s="2" t="s">
        <v>543</v>
      </c>
      <c r="C157" s="2" t="s">
        <v>544</v>
      </c>
      <c r="D157" s="2" t="s">
        <v>197</v>
      </c>
      <c r="E157" s="2" t="s">
        <v>81</v>
      </c>
      <c r="F157" s="2" t="s">
        <v>15</v>
      </c>
      <c r="G157" s="2" t="s">
        <v>420</v>
      </c>
      <c r="H157" s="2" t="s">
        <v>17</v>
      </c>
      <c r="I157" s="2" t="str">
        <f>IFERROR(__xludf.DUMMYFUNCTION("GOOGLETRANSLATE(C157,""fr"",""en"")"),"AMV is a very good insurance that pays quickly. In addition, the site is clear. I therefore remain loyal to the company.
And like any insurance, it’s always too expensive!")</f>
        <v>AMV is a very good insurance that pays quickly. In addition, the site is clear. I therefore remain loyal to the company.
And like any insurance, it’s always too expensive!</v>
      </c>
    </row>
    <row r="158" ht="15.75" customHeight="1">
      <c r="A158" s="2">
        <v>3.0</v>
      </c>
      <c r="B158" s="2" t="s">
        <v>545</v>
      </c>
      <c r="C158" s="2" t="s">
        <v>546</v>
      </c>
      <c r="D158" s="2" t="s">
        <v>13</v>
      </c>
      <c r="E158" s="2" t="s">
        <v>14</v>
      </c>
      <c r="F158" s="2" t="s">
        <v>15</v>
      </c>
      <c r="G158" s="2" t="s">
        <v>547</v>
      </c>
      <c r="H158" s="2" t="s">
        <v>25</v>
      </c>
      <c r="I158" s="2" t="str">
        <f>IFERROR(__xludf.DUMMYFUNCTION("GOOGLETRANSLATE(C158,""fr"",""en"")"),"I am satisfied with the service but the prices increase too much every year and do not take into account customer loyalty 
it is also difficult to communicate by telephone with the platform: formatted staff reciting their lesson and frequent interruptions"&amp;" without reminders.
Sincerely")</f>
        <v>I am satisfied with the service but the prices increase too much every year and do not take into account customer loyalty 
it is also difficult to communicate by telephone with the platform: formatted staff reciting their lesson and frequent interruptions without reminders.
Sincerely</v>
      </c>
    </row>
    <row r="159" ht="15.75" customHeight="1">
      <c r="A159" s="2">
        <v>4.0</v>
      </c>
      <c r="B159" s="2" t="s">
        <v>548</v>
      </c>
      <c r="C159" s="2" t="s">
        <v>549</v>
      </c>
      <c r="D159" s="2" t="s">
        <v>28</v>
      </c>
      <c r="E159" s="2" t="s">
        <v>14</v>
      </c>
      <c r="F159" s="2" t="s">
        <v>15</v>
      </c>
      <c r="G159" s="2" t="s">
        <v>550</v>
      </c>
      <c r="H159" s="2" t="s">
        <v>21</v>
      </c>
      <c r="I159" s="2" t="str">
        <f>IFERROR(__xludf.DUMMYFUNCTION("GOOGLETRANSLATE(C159,""fr"",""en"")"),"Rather simple and practical 
Good insurance for a young driver, I am satisfied but perhaps the 150 characters are a little too high.")</f>
        <v>Rather simple and practical 
Good insurance for a young driver, I am satisfied but perhaps the 150 characters are a little too high.</v>
      </c>
    </row>
    <row r="160" ht="15.75" customHeight="1">
      <c r="A160" s="2">
        <v>1.0</v>
      </c>
      <c r="B160" s="2" t="s">
        <v>551</v>
      </c>
      <c r="C160" s="2" t="s">
        <v>552</v>
      </c>
      <c r="D160" s="2" t="s">
        <v>38</v>
      </c>
      <c r="E160" s="2" t="s">
        <v>39</v>
      </c>
      <c r="F160" s="2" t="s">
        <v>15</v>
      </c>
      <c r="G160" s="2" t="s">
        <v>553</v>
      </c>
      <c r="H160" s="2" t="s">
        <v>248</v>
      </c>
      <c r="I160" s="2" t="str">
        <f>IFERROR(__xludf.DUMMYFUNCTION("GOOGLETRANSLATE(C160,""fr"",""en"")"),"My father died 4 months ago.
Since then my mother has been charged for 2 people despite my numerous calls and emails.
My mother has not received her card and professionals are no longer reimbursed.
His financial situation becomes very delicate.
")</f>
        <v>My father died 4 months ago.
Since then my mother has been charged for 2 people despite my numerous calls and emails.
My mother has not received her card and professionals are no longer reimbursed.
His financial situation becomes very delicate.
</v>
      </c>
    </row>
    <row r="161" ht="15.75" customHeight="1">
      <c r="A161" s="2">
        <v>2.0</v>
      </c>
      <c r="B161" s="2" t="s">
        <v>554</v>
      </c>
      <c r="C161" s="2" t="s">
        <v>555</v>
      </c>
      <c r="D161" s="2" t="s">
        <v>13</v>
      </c>
      <c r="E161" s="2" t="s">
        <v>14</v>
      </c>
      <c r="F161" s="2" t="s">
        <v>15</v>
      </c>
      <c r="G161" s="2" t="s">
        <v>556</v>
      </c>
      <c r="H161" s="2" t="s">
        <v>557</v>
      </c>
      <c r="I161" s="2" t="str">
        <f>IFERROR(__xludf.DUMMYFUNCTION("GOOGLETRANSLATE(C161,""fr"",""en"")"),"I have just received a formal notice from them by email because they have not received my payment check for the insurance of our SKODA, sent a month ago, but not to the correct address. The mandatory address is not indicated on the notice of expiry - ther"&amp;"e are three addresses for Direct Assurance on this document, in Lille, Suresnes and Nanterre. We do not explain that checks must be sent to Lille instead of Suresnes, for example. I imagine that my check is in Suresnes anyway but we don't care about cashi"&amp;"ng it because it wasn't sent to the right address and then a lot of problems follow. After many attempts to find out how to pay, I am forced to send a second check from Singapore where I work for the moment, within an impossible time frame from here. No u"&amp;"nderstanding, no flexibility, despite the fact that we have been a customer for five years, without claims, who always pay on time. If the second check doesn't reach them within the impossible deadline, they will withhold payment and cancel the contract, "&amp;"apparently. But I have to risk it anyway. My suggestion to make a transfer directly to their bank account was refused and I do not have a French bank card, so I can only pay by check and since I am in Singapore, the deadline is too short even if I send th"&amp;"e check immediately. I've talked to four people today, trying to find a solution, but I'm still stuck.")</f>
        <v>I have just received a formal notice from them by email because they have not received my payment check for the insurance of our SKODA, sent a month ago, but not to the correct address. The mandatory address is not indicated on the notice of expiry - there are three addresses for Direct Assurance on this document, in Lille, Suresnes and Nanterre. We do not explain that checks must be sent to Lille instead of Suresnes, for example. I imagine that my check is in Suresnes anyway but we don't care about cashing it because it wasn't sent to the right address and then a lot of problems follow. After many attempts to find out how to pay, I am forced to send a second check from Singapore where I work for the moment, within an impossible time frame from here. No understanding, no flexibility, despite the fact that we have been a customer for five years, without claims, who always pay on time. If the second check doesn't reach them within the impossible deadline, they will withhold payment and cancel the contract, apparently. But I have to risk it anyway. My suggestion to make a transfer directly to their bank account was refused and I do not have a French bank card, so I can only pay by check and since I am in Singapore, the deadline is too short even if I send the check immediately. I've talked to four people today, trying to find a solution, but I'm still stuck.</v>
      </c>
    </row>
    <row r="162" ht="15.75" customHeight="1">
      <c r="A162" s="2">
        <v>5.0</v>
      </c>
      <c r="B162" s="2" t="s">
        <v>558</v>
      </c>
      <c r="C162" s="2" t="s">
        <v>559</v>
      </c>
      <c r="D162" s="2" t="s">
        <v>28</v>
      </c>
      <c r="E162" s="2" t="s">
        <v>14</v>
      </c>
      <c r="F162" s="2" t="s">
        <v>15</v>
      </c>
      <c r="G162" s="2" t="s">
        <v>149</v>
      </c>
      <c r="H162" s="2" t="s">
        <v>111</v>
      </c>
      <c r="I162" s="2" t="str">
        <f>IFERROR(__xludf.DUMMYFUNCTION("GOOGLETRANSLATE(C162,""fr"",""en"")"),"Very good telephone reception each time. Very well informed, always very well guided in our efforts with good and clear explanations.")</f>
        <v>Very good telephone reception each time. Very well informed, always very well guided in our efforts with good and clear explanations.</v>
      </c>
    </row>
    <row r="163" ht="15.75" customHeight="1">
      <c r="A163" s="2">
        <v>4.0</v>
      </c>
      <c r="B163" s="2" t="s">
        <v>560</v>
      </c>
      <c r="C163" s="2" t="s">
        <v>561</v>
      </c>
      <c r="D163" s="2" t="s">
        <v>326</v>
      </c>
      <c r="E163" s="2" t="s">
        <v>14</v>
      </c>
      <c r="F163" s="2" t="s">
        <v>15</v>
      </c>
      <c r="G163" s="2" t="s">
        <v>562</v>
      </c>
      <c r="H163" s="2" t="s">
        <v>354</v>
      </c>
      <c r="I163" s="2" t="str">
        <f>IFERROR(__xludf.DUMMYFUNCTION("GOOGLETRANSLATE(C163,""fr"",""en"")"),"I appreciate the network of its agencies, the welcome and professionalism of the contacts regarding the various contracts and their expertise and efficiency regarding claims.")</f>
        <v>I appreciate the network of its agencies, the welcome and professionalism of the contacts regarding the various contracts and their expertise and efficiency regarding claims.</v>
      </c>
    </row>
    <row r="164" ht="15.75" customHeight="1">
      <c r="A164" s="2">
        <v>1.0</v>
      </c>
      <c r="B164" s="2" t="s">
        <v>563</v>
      </c>
      <c r="C164" s="2" t="s">
        <v>564</v>
      </c>
      <c r="D164" s="2" t="s">
        <v>565</v>
      </c>
      <c r="E164" s="2" t="s">
        <v>137</v>
      </c>
      <c r="F164" s="2" t="s">
        <v>15</v>
      </c>
      <c r="G164" s="2" t="s">
        <v>566</v>
      </c>
      <c r="H164" s="2" t="s">
        <v>228</v>
      </c>
      <c r="I164" s="2" t="str">
        <f>IFERROR(__xludf.DUMMYFUNCTION("GOOGLETRANSLATE(C164,""fr"",""en"")"),"Good morning,
To everyone. There I am, a territorial civil servant on long-term sick leave for 2 and a half years soon. I took out salary supplement insurance at Intériel to be able to continue to pay my bills. When I took the contract, it said that a gap"&amp;" of 6 months was necessary to be able to benefit from the salary supplement. I subscribed to the insurance on August 28, 2015 and I went on sick leave on October 26, 2015. However, Interial started paying me after 3 months of deficiency. Also it says on m"&amp;"y benefit spreadsheet that the declaration date is November 1, 2016. Now he asks me that I have repaid the 10,000 euros that they paid me and refuses to pay me my supplement. salary. I thought that if I started to get paid, that meant that I had respected"&amp;" the contract or that the waiting period had changed. However, they waited 3 and a half years to realize that the waiting period had not been respected. What recourse can I have?
thanks in advance,
Thomas
")</f>
        <v>Good morning,
To everyone. There I am, a territorial civil servant on long-term sick leave for 2 and a half years soon. I took out salary supplement insurance at Intériel to be able to continue to pay my bills. When I took the contract, it said that a gap of 6 months was necessary to be able to benefit from the salary supplement. I subscribed to the insurance on August 28, 2015 and I went on sick leave on October 26, 2015. However, Interial started paying me after 3 months of deficiency. Also it says on my benefit spreadsheet that the declaration date is November 1, 2016. Now he asks me that I have repaid the 10,000 euros that they paid me and refuses to pay me my supplement. salary. I thought that if I started to get paid, that meant that I had respected the contract or that the waiting period had changed. However, they waited 3 and a half years to realize that the waiting period had not been respected. What recourse can I have?
thanks in advance,
Thomas
</v>
      </c>
    </row>
    <row r="165" ht="15.75" customHeight="1">
      <c r="A165" s="2">
        <v>1.0</v>
      </c>
      <c r="B165" s="2" t="s">
        <v>567</v>
      </c>
      <c r="C165" s="2" t="s">
        <v>568</v>
      </c>
      <c r="D165" s="2" t="s">
        <v>28</v>
      </c>
      <c r="E165" s="2" t="s">
        <v>14</v>
      </c>
      <c r="F165" s="2" t="s">
        <v>15</v>
      </c>
      <c r="G165" s="2" t="s">
        <v>569</v>
      </c>
      <c r="H165" s="2" t="s">
        <v>557</v>
      </c>
      <c r="I165" s="2" t="str">
        <f>IFERROR(__xludf.DUMMYFUNCTION("GOOGLETRANSLATE(C165,""fr"",""en"")"),"To flee! Online quote: 560th then on the phone: 630th without explanation, I decide to subscribe anyway. Then after studying the file: 730th which is debited directly from your account because you have authorized to make withdrawals. The increase is due t"&amp;"o a broken glass that I had mentioned over the phone... and also in the simulation. ")</f>
        <v>To flee! Online quote: 560th then on the phone: 630th without explanation, I decide to subscribe anyway. Then after studying the file: 730th which is debited directly from your account because you have authorized to make withdrawals. The increase is due to a broken glass that I had mentioned over the phone... and also in the simulation. </v>
      </c>
    </row>
    <row r="166" ht="15.75" customHeight="1">
      <c r="A166" s="2">
        <v>1.0</v>
      </c>
      <c r="B166" s="2" t="s">
        <v>570</v>
      </c>
      <c r="C166" s="2" t="s">
        <v>571</v>
      </c>
      <c r="D166" s="2" t="s">
        <v>326</v>
      </c>
      <c r="E166" s="2" t="s">
        <v>14</v>
      </c>
      <c r="F166" s="2" t="s">
        <v>15</v>
      </c>
      <c r="G166" s="2" t="s">
        <v>572</v>
      </c>
      <c r="H166" s="2" t="s">
        <v>67</v>
      </c>
      <c r="I166" s="2" t="str">
        <f>IFERROR(__xludf.DUMMYFUNCTION("GOOGLETRANSLATE(C166,""fr"",""en"")"),"Major dispute with AXA after terminating my Multi-Professional contract on a food truck trailer with supporting documents from the Chamber of Commerce showing that my business was effectively terminated. They left the professional contract on my towing ve"&amp;"hicle for this trailer with an additional cost of €30 per month for 24 months. When I realized the dispute I immediately called the insurance company who told me that I had to monitor my accounts and not change jobs too often. So obviously they didn't wan"&amp;"t to give me back the overpayment. I therefore sent a complaint to AXA Paris who forwarded this complaint to my insurer who called me back immediately to first change the €30 into €20 and offer me the small sum of €150 to keep my mouth shut. Do the math 2"&amp;"4 × 30 and we're not there at all. I request a full refund. If Mr. Dominique on this forum would like to communicate with me, it will be with great pleasure")</f>
        <v>Major dispute with AXA after terminating my Multi-Professional contract on a food truck trailer with supporting documents from the Chamber of Commerce showing that my business was effectively terminated. They left the professional contract on my towing vehicle for this trailer with an additional cost of €30 per month for 24 months. When I realized the dispute I immediately called the insurance company who told me that I had to monitor my accounts and not change jobs too often. So obviously they didn't want to give me back the overpayment. I therefore sent a complaint to AXA Paris who forwarded this complaint to my insurer who called me back immediately to first change the €30 into €20 and offer me the small sum of €150 to keep my mouth shut. Do the math 24 × 30 and we're not there at all. I request a full refund. If Mr. Dominique on this forum would like to communicate with me, it will be with great pleasure</v>
      </c>
    </row>
    <row r="167" ht="15.75" customHeight="1">
      <c r="A167" s="2">
        <v>1.0</v>
      </c>
      <c r="B167" s="2" t="s">
        <v>573</v>
      </c>
      <c r="C167" s="2" t="s">
        <v>574</v>
      </c>
      <c r="D167" s="2" t="s">
        <v>254</v>
      </c>
      <c r="E167" s="2" t="s">
        <v>14</v>
      </c>
      <c r="F167" s="2" t="s">
        <v>15</v>
      </c>
      <c r="G167" s="2" t="s">
        <v>575</v>
      </c>
      <c r="H167" s="2" t="s">
        <v>576</v>
      </c>
      <c r="I167" s="2" t="str">
        <f>IFERROR(__xludf.DUMMYFUNCTION("GOOGLETRANSLATE(C167,""fr"",""en"")"),"Good morning,
After years spent at the maif without any claims at 50% bonus for 3 consecutive years, surprise for 2020 another increase of 20eur for the year 2020.
For a simple third-party Clio I am currently at 335eur. Too expensive considering my 50% bo"&amp;"nus at 40 years old.
Competition insured at Carrefour are at 180eur, goodbye maif.")</f>
        <v>Good morning,
After years spent at the maif without any claims at 50% bonus for 3 consecutive years, surprise for 2020 another increase of 20eur for the year 2020.
For a simple third-party Clio I am currently at 335eur. Too expensive considering my 50% bonus at 40 years old.
Competition insured at Carrefour are at 180eur, goodbye maif.</v>
      </c>
    </row>
    <row r="168" ht="15.75" customHeight="1">
      <c r="A168" s="2">
        <v>4.0</v>
      </c>
      <c r="B168" s="2" t="s">
        <v>577</v>
      </c>
      <c r="C168" s="2" t="s">
        <v>578</v>
      </c>
      <c r="D168" s="2" t="s">
        <v>33</v>
      </c>
      <c r="E168" s="2" t="s">
        <v>14</v>
      </c>
      <c r="F168" s="2" t="s">
        <v>15</v>
      </c>
      <c r="G168" s="2" t="s">
        <v>579</v>
      </c>
      <c r="H168" s="2" t="s">
        <v>467</v>
      </c>
      <c r="I168" s="2" t="str">
        <f>IFERROR(__xludf.DUMMYFUNCTION("GOOGLETRANSLATE(C168,""fr"",""en"")"),"Hats off to Mélanie and Hélène from the Matmut agency near Bayonne Station. Impeccable welcome, understanding of expectations and adequacy of offers, remarkable professionalism, smile (not forced) and appreciable zest of humor, patience....that reconciles"&amp;" with the insurance world")</f>
        <v>Hats off to Mélanie and Hélène from the Matmut agency near Bayonne Station. Impeccable welcome, understanding of expectations and adequacy of offers, remarkable professionalism, smile (not forced) and appreciable zest of humor, patience....that reconciles with the insurance world</v>
      </c>
    </row>
    <row r="169" ht="15.75" customHeight="1">
      <c r="A169" s="2">
        <v>5.0</v>
      </c>
      <c r="B169" s="2" t="s">
        <v>580</v>
      </c>
      <c r="C169" s="2" t="s">
        <v>581</v>
      </c>
      <c r="D169" s="2" t="s">
        <v>28</v>
      </c>
      <c r="E169" s="2" t="s">
        <v>14</v>
      </c>
      <c r="F169" s="2" t="s">
        <v>15</v>
      </c>
      <c r="G169" s="2" t="s">
        <v>582</v>
      </c>
      <c r="H169" s="2" t="s">
        <v>17</v>
      </c>
      <c r="I169" s="2" t="str">
        <f>IFERROR(__xludf.DUMMYFUNCTION("GOOGLETRANSLATE(C169,""fr"",""en"")"),"Very satisfied with the sales service, Ms. NASSIMA was very pleasant, able to advise me perfectly and answer each of my questions, thank you for her advice.")</f>
        <v>Very satisfied with the sales service, Ms. NASSIMA was very pleasant, able to advise me perfectly and answer each of my questions, thank you for her advice.</v>
      </c>
    </row>
    <row r="170" ht="15.75" customHeight="1">
      <c r="A170" s="2">
        <v>5.0</v>
      </c>
      <c r="B170" s="2" t="s">
        <v>583</v>
      </c>
      <c r="C170" s="2" t="s">
        <v>584</v>
      </c>
      <c r="D170" s="2" t="s">
        <v>28</v>
      </c>
      <c r="E170" s="2" t="s">
        <v>14</v>
      </c>
      <c r="F170" s="2" t="s">
        <v>15</v>
      </c>
      <c r="G170" s="2" t="s">
        <v>503</v>
      </c>
      <c r="H170" s="2" t="s">
        <v>108</v>
      </c>
      <c r="I170" s="2" t="str">
        <f>IFERROR(__xludf.DUMMYFUNCTION("GOOGLETRANSLATE(C170,""fr"",""en"")"),"Insurance that is always there to listen 
The procedures are quick 
We are not a customer number but a clean person 
I recommend this insurer 
Thank you for your professionalism ")</f>
        <v>Insurance that is always there to listen 
The procedures are quick 
We are not a customer number but a clean person 
I recommend this insurer 
Thank you for your professionalism </v>
      </c>
    </row>
    <row r="171" ht="15.75" customHeight="1">
      <c r="A171" s="2">
        <v>4.0</v>
      </c>
      <c r="B171" s="2" t="s">
        <v>585</v>
      </c>
      <c r="C171" s="2" t="s">
        <v>586</v>
      </c>
      <c r="D171" s="2" t="s">
        <v>326</v>
      </c>
      <c r="E171" s="2" t="s">
        <v>14</v>
      </c>
      <c r="F171" s="2" t="s">
        <v>15</v>
      </c>
      <c r="G171" s="2" t="s">
        <v>388</v>
      </c>
      <c r="H171" s="2" t="s">
        <v>389</v>
      </c>
      <c r="I171" s="2" t="str">
        <f>IFERROR(__xludf.DUMMYFUNCTION("GOOGLETRANSLATE(C171,""fr"",""en"")"),"I only have one criticism to make of Axa, and that is its prices because even being third party, it is expensive for the guarantees taken out. Otherwise no problems handling claims ")</f>
        <v>I only have one criticism to make of Axa, and that is its prices because even being third party, it is expensive for the guarantees taken out. Otherwise no problems handling claims </v>
      </c>
    </row>
    <row r="172" ht="15.75" customHeight="1">
      <c r="A172" s="2">
        <v>1.0</v>
      </c>
      <c r="B172" s="2" t="s">
        <v>587</v>
      </c>
      <c r="C172" s="2" t="s">
        <v>588</v>
      </c>
      <c r="D172" s="2" t="s">
        <v>303</v>
      </c>
      <c r="E172" s="2" t="s">
        <v>14</v>
      </c>
      <c r="F172" s="2" t="s">
        <v>15</v>
      </c>
      <c r="G172" s="2" t="s">
        <v>317</v>
      </c>
      <c r="H172" s="2" t="s">
        <v>25</v>
      </c>
      <c r="I172" s="2" t="str">
        <f>IFERROR(__xludf.DUMMYFUNCTION("GOOGLETRANSLATE(C172,""fr"",""en"")"),"Victim of a car accident. The repairs on my car were reduced after the visit of a second expert. There was an electrical outage with short circuit in 2020 during confinement in my attic.  No help from Macif, they found no craftsmen. The person I spoke to "&amp;"on the phone told me to make the house safe by disconnecting the circuit. I left Macif this year for Maaf, there was a promotion of 200 euros for opening car and home insurance.")</f>
        <v>Victim of a car accident. The repairs on my car were reduced after the visit of a second expert. There was an electrical outage with short circuit in 2020 during confinement in my attic.  No help from Macif, they found no craftsmen. The person I spoke to on the phone told me to make the house safe by disconnecting the circuit. I left Macif this year for Maaf, there was a promotion of 200 euros for opening car and home insurance.</v>
      </c>
    </row>
    <row r="173" ht="15.75" customHeight="1">
      <c r="A173" s="2">
        <v>5.0</v>
      </c>
      <c r="B173" s="2" t="s">
        <v>589</v>
      </c>
      <c r="C173" s="2" t="s">
        <v>590</v>
      </c>
      <c r="D173" s="2" t="s">
        <v>493</v>
      </c>
      <c r="E173" s="2" t="s">
        <v>101</v>
      </c>
      <c r="F173" s="2" t="s">
        <v>15</v>
      </c>
      <c r="G173" s="2" t="s">
        <v>591</v>
      </c>
      <c r="H173" s="2" t="s">
        <v>125</v>
      </c>
      <c r="I173" s="2" t="str">
        <f>IFERROR(__xludf.DUMMYFUNCTION("GOOGLETRANSLATE(C173,""fr"",""en"")"),"I am satisfied with the service from Zen'Up, where the agents are available. The advertised prices are correct. I can happily recommend it to those around me. ")</f>
        <v>I am satisfied with the service from Zen'Up, where the agents are available. The advertised prices are correct. I can happily recommend it to those around me. </v>
      </c>
    </row>
    <row r="174" ht="15.75" customHeight="1">
      <c r="A174" s="2">
        <v>5.0</v>
      </c>
      <c r="B174" s="2" t="s">
        <v>592</v>
      </c>
      <c r="C174" s="2" t="s">
        <v>593</v>
      </c>
      <c r="D174" s="2" t="s">
        <v>13</v>
      </c>
      <c r="E174" s="2" t="s">
        <v>14</v>
      </c>
      <c r="F174" s="2" t="s">
        <v>15</v>
      </c>
      <c r="G174" s="2" t="s">
        <v>420</v>
      </c>
      <c r="H174" s="2" t="s">
        <v>17</v>
      </c>
      <c r="I174" s="2" t="str">
        <f>IFERROR(__xludf.DUMMYFUNCTION("GOOGLETRANSLATE(C174,""fr"",""en"")"),"I am satisfied!! The prices are very attractive!!
Fast and efficient. Very happy with the service to see in the long term but I am satisfied for the moment.")</f>
        <v>I am satisfied!! The prices are very attractive!!
Fast and efficient. Very happy with the service to see in the long term but I am satisfied for the moment.</v>
      </c>
    </row>
    <row r="175" ht="15.75" customHeight="1">
      <c r="A175" s="2">
        <v>1.0</v>
      </c>
      <c r="B175" s="2" t="s">
        <v>594</v>
      </c>
      <c r="C175" s="2" t="s">
        <v>595</v>
      </c>
      <c r="D175" s="2" t="s">
        <v>326</v>
      </c>
      <c r="E175" s="2" t="s">
        <v>129</v>
      </c>
      <c r="F175" s="2" t="s">
        <v>15</v>
      </c>
      <c r="G175" s="2" t="s">
        <v>596</v>
      </c>
      <c r="H175" s="2" t="s">
        <v>474</v>
      </c>
      <c r="I175" s="2" t="str">
        <f>IFERROR(__xludf.DUMMYFUNCTION("GOOGLETRANSLATE(C175,""fr"",""en"")"),"AXA insurance policy: increase the annual home insurance premium by more than 20% or even terminate its customers' contracts as soon as there is a disaster!")</f>
        <v>AXA insurance policy: increase the annual home insurance premium by more than 20% or even terminate its customers' contracts as soon as there is a disaster!</v>
      </c>
    </row>
    <row r="176" ht="15.75" customHeight="1">
      <c r="A176" s="2">
        <v>5.0</v>
      </c>
      <c r="B176" s="2" t="s">
        <v>597</v>
      </c>
      <c r="C176" s="2" t="s">
        <v>598</v>
      </c>
      <c r="D176" s="2" t="s">
        <v>13</v>
      </c>
      <c r="E176" s="2" t="s">
        <v>14</v>
      </c>
      <c r="F176" s="2" t="s">
        <v>15</v>
      </c>
      <c r="G176" s="2" t="s">
        <v>251</v>
      </c>
      <c r="H176" s="2" t="s">
        <v>83</v>
      </c>
      <c r="I176" s="2" t="str">
        <f>IFERROR(__xludf.DUMMYFUNCTION("GOOGLETRANSLATE(C176,""fr"",""en"")"),"I am very satisfied with the offer that was made to me.
The transaction was quickly concluded and I am very satisfied with the welcome of the person who reserved me!")</f>
        <v>I am very satisfied with the offer that was made to me.
The transaction was quickly concluded and I am very satisfied with the welcome of the person who reserved me!</v>
      </c>
    </row>
    <row r="177" ht="15.75" customHeight="1">
      <c r="A177" s="2">
        <v>1.0</v>
      </c>
      <c r="B177" s="2" t="s">
        <v>599</v>
      </c>
      <c r="C177" s="2" t="s">
        <v>600</v>
      </c>
      <c r="D177" s="2" t="s">
        <v>601</v>
      </c>
      <c r="E177" s="2" t="s">
        <v>39</v>
      </c>
      <c r="F177" s="2" t="s">
        <v>15</v>
      </c>
      <c r="G177" s="2" t="s">
        <v>602</v>
      </c>
      <c r="H177" s="2" t="s">
        <v>21</v>
      </c>
      <c r="I177" s="2" t="str">
        <f>IFERROR(__xludf.DUMMYFUNCTION("GOOGLETRANSLATE(C177,""fr"",""en"")"),"I have been the beneficiary at Cocoon since January 2016 of a hospitalization stay contract allowing €20 daily reimbursement. In 2019 and 2020, I underwent 93 days of hospitalization. Cocoon spent 3 months in 2021 to close my file.
It was at this time, in"&amp;" May 2021, that I learned that Génération was unaware of the existence of my contract. 5 years later!
Now, it's up to me to redo a large, complete file even though it was sent on request to Génération, in Quimper.
This is enough to discourage any insured "&amp;"person, which is undoubtedly the goal. Will I ever be reimbursed?
Gilles Petit")</f>
        <v>I have been the beneficiary at Cocoon since January 2016 of a hospitalization stay contract allowing €20 daily reimbursement. In 2019 and 2020, I underwent 93 days of hospitalization. Cocoon spent 3 months in 2021 to close my file.
It was at this time, in May 2021, that I learned that Génération was unaware of the existence of my contract. 5 years later!
Now, it's up to me to redo a large, complete file even though it was sent on request to Génération, in Quimper.
This is enough to discourage any insured person, which is undoubtedly the goal. Will I ever be reimbursed?
Gilles Petit</v>
      </c>
    </row>
    <row r="178" ht="15.75" customHeight="1">
      <c r="A178" s="2">
        <v>4.0</v>
      </c>
      <c r="B178" s="2" t="s">
        <v>603</v>
      </c>
      <c r="C178" s="2" t="s">
        <v>604</v>
      </c>
      <c r="D178" s="2" t="s">
        <v>303</v>
      </c>
      <c r="E178" s="2" t="s">
        <v>14</v>
      </c>
      <c r="F178" s="2" t="s">
        <v>15</v>
      </c>
      <c r="G178" s="2" t="s">
        <v>605</v>
      </c>
      <c r="H178" s="2" t="s">
        <v>41</v>
      </c>
      <c r="I178" s="2" t="str">
        <f>IFERROR(__xludf.DUMMYFUNCTION("GOOGLETRANSLATE(C178,""fr"",""en"")"),"After 2 incidents 7 days apart (1st incident vandalism of the car completely scratched by a key, 2nd incident reversing and slight impact on the car behind) I saw my contract terminated... too bad, my father was at home them for 50 years, apart from this "&amp;"great disappointment it is a very competent insurer I recommend ")</f>
        <v>After 2 incidents 7 days apart (1st incident vandalism of the car completely scratched by a key, 2nd incident reversing and slight impact on the car behind) I saw my contract terminated... too bad, my father was at home them for 50 years, apart from this great disappointment it is a very competent insurer I recommend </v>
      </c>
    </row>
    <row r="179" ht="15.75" customHeight="1">
      <c r="A179" s="2">
        <v>1.0</v>
      </c>
      <c r="B179" s="2" t="s">
        <v>606</v>
      </c>
      <c r="C179" s="2" t="s">
        <v>607</v>
      </c>
      <c r="D179" s="2" t="s">
        <v>254</v>
      </c>
      <c r="E179" s="2" t="s">
        <v>14</v>
      </c>
      <c r="F179" s="2" t="s">
        <v>15</v>
      </c>
      <c r="G179" s="2" t="s">
        <v>608</v>
      </c>
      <c r="H179" s="2" t="s">
        <v>71</v>
      </c>
      <c r="I179" s="2" t="str">
        <f>IFERROR(__xludf.DUMMYFUNCTION("GOOGLETRANSLATE(C179,""fr"",""en"")"),"MAIF is an insurance company that promotes solidarity. MAIF, activist insurer...
Where is the solidarity when the poorest policyholders, who cannot pay for their insurance in one go, are offered different payment solutions in several installments, but wit"&amp;"hout always specifying that this is a credit with interest. A “financial effort” corrects the advisor I have online! So it is the poorest who must make a “financial effort”. Nice show of solidarity! Activist insurer? For what cause?!!!")</f>
        <v>MAIF is an insurance company that promotes solidarity. MAIF, activist insurer...
Where is the solidarity when the poorest policyholders, who cannot pay for their insurance in one go, are offered different payment solutions in several installments, but without always specifying that this is a credit with interest. A “financial effort” corrects the advisor I have online! So it is the poorest who must make a “financial effort”. Nice show of solidarity! Activist insurer? For what cause?!!!</v>
      </c>
    </row>
    <row r="180" ht="15.75" customHeight="1">
      <c r="A180" s="2">
        <v>2.0</v>
      </c>
      <c r="B180" s="2" t="s">
        <v>609</v>
      </c>
      <c r="C180" s="2" t="s">
        <v>610</v>
      </c>
      <c r="D180" s="2" t="s">
        <v>254</v>
      </c>
      <c r="E180" s="2" t="s">
        <v>14</v>
      </c>
      <c r="F180" s="2" t="s">
        <v>15</v>
      </c>
      <c r="G180" s="2" t="s">
        <v>611</v>
      </c>
      <c r="H180" s="2" t="s">
        <v>612</v>
      </c>
      <c r="I180" s="2" t="str">
        <f>IFERROR(__xludf.DUMMYFUNCTION("GOOGLETRANSLATE(C180,""fr"",""en"")"),"unresolved incident dating from July 2016")</f>
        <v>unresolved incident dating from July 2016</v>
      </c>
    </row>
    <row r="181" ht="15.75" customHeight="1">
      <c r="A181" s="2">
        <v>5.0</v>
      </c>
      <c r="B181" s="2" t="s">
        <v>613</v>
      </c>
      <c r="C181" s="2" t="s">
        <v>614</v>
      </c>
      <c r="D181" s="2" t="s">
        <v>493</v>
      </c>
      <c r="E181" s="2" t="s">
        <v>101</v>
      </c>
      <c r="F181" s="2" t="s">
        <v>15</v>
      </c>
      <c r="G181" s="2" t="s">
        <v>615</v>
      </c>
      <c r="H181" s="2" t="s">
        <v>25</v>
      </c>
      <c r="I181" s="2" t="str">
        <f>IFERROR(__xludf.DUMMYFUNCTION("GOOGLETRANSLATE(C181,""fr"",""en"")"),"I am satisfied with your service. Thank you. The proposed insurance rates seem attractive to me. Me Hazera alexandre 1940 Avenue de toulouse 33140 cadaujac")</f>
        <v>I am satisfied with your service. Thank you. The proposed insurance rates seem attractive to me. Me Hazera alexandre 1940 Avenue de toulouse 33140 cadaujac</v>
      </c>
    </row>
    <row r="182" ht="15.75" customHeight="1">
      <c r="A182" s="2">
        <v>5.0</v>
      </c>
      <c r="B182" s="2" t="s">
        <v>616</v>
      </c>
      <c r="C182" s="2" t="s">
        <v>617</v>
      </c>
      <c r="D182" s="2" t="s">
        <v>13</v>
      </c>
      <c r="E182" s="2" t="s">
        <v>14</v>
      </c>
      <c r="F182" s="2" t="s">
        <v>15</v>
      </c>
      <c r="G182" s="2" t="s">
        <v>251</v>
      </c>
      <c r="H182" s="2" t="s">
        <v>83</v>
      </c>
      <c r="I182" s="2" t="str">
        <f>IFERROR(__xludf.DUMMYFUNCTION("GOOGLETRANSLATE(C182,""fr"",""en"")"),"I am satisfied with the service and the very competitive prices. To be seen over time depending on possible incidents to see the support. No agency, all by telephone, negative point.")</f>
        <v>I am satisfied with the service and the very competitive prices. To be seen over time depending on possible incidents to see the support. No agency, all by telephone, negative point.</v>
      </c>
    </row>
    <row r="183" ht="15.75" customHeight="1">
      <c r="A183" s="2">
        <v>5.0</v>
      </c>
      <c r="B183" s="2" t="s">
        <v>618</v>
      </c>
      <c r="C183" s="2" t="s">
        <v>619</v>
      </c>
      <c r="D183" s="2" t="s">
        <v>28</v>
      </c>
      <c r="E183" s="2" t="s">
        <v>14</v>
      </c>
      <c r="F183" s="2" t="s">
        <v>15</v>
      </c>
      <c r="G183" s="2" t="s">
        <v>620</v>
      </c>
      <c r="H183" s="2" t="s">
        <v>17</v>
      </c>
      <c r="I183" s="2" t="str">
        <f>IFERROR(__xludf.DUMMYFUNCTION("GOOGLETRANSLATE(C183,""fr"",""en"")"),"simple and practical I am satisfied I would just like a small discount from time to time. 
in any case your responsiveness is exemplary well done I recommend you.")</f>
        <v>simple and practical I am satisfied I would just like a small discount from time to time. 
in any case your responsiveness is exemplary well done I recommend you.</v>
      </c>
    </row>
    <row r="184" ht="15.75" customHeight="1">
      <c r="A184" s="2">
        <v>3.0</v>
      </c>
      <c r="B184" s="2" t="s">
        <v>621</v>
      </c>
      <c r="C184" s="2" t="s">
        <v>622</v>
      </c>
      <c r="D184" s="2" t="s">
        <v>623</v>
      </c>
      <c r="E184" s="2" t="s">
        <v>101</v>
      </c>
      <c r="F184" s="2" t="s">
        <v>15</v>
      </c>
      <c r="G184" s="2" t="s">
        <v>624</v>
      </c>
      <c r="H184" s="2" t="s">
        <v>612</v>
      </c>
      <c r="I184" s="2" t="str">
        <f>IFERROR(__xludf.DUMMYFUNCTION("GOOGLETRANSLATE(C184,""fr"",""en"")"),"Good morning 
I would like to post a comment to express my dissatisfaction with cardif
Following breast cancer in 2011 I was placed on category 2 disability recognized as unfit by occupational medicine so I lost my job and recognized by the MDPH
Following"&amp;" this in 2013 I fell ill again with uterine sarcoma followed by chemotherapy radiotherapy brachytherapy (currently still in treatment and Kine twice a week) which today leaves me with very serious after-effects 
I have had a left hip prosthesis since 2012"&amp;" and am waiting for the right hip operation when my health allows it. I am very disabled for daily tasks. 
In January 2017 after 5 years of compensation regarding the repayment of my property loan they decided to no longer support me, I am completely inco"&amp;"mprehensible 
1 cancer in 2011 
1 cancer in 2013
A left hip prosthesis 
Depression 
Still in care linked to the after-effects of cancer, loss of my job due to professional incapacity 
MDPH recognition
I am exhausted by all these steps and am very angry, I"&amp;" will not give up 
A letter has just left by AR and I'm going to fight ")</f>
        <v>Good morning 
I would like to post a comment to express my dissatisfaction with cardif
Following breast cancer in 2011 I was placed on category 2 disability recognized as unfit by occupational medicine so I lost my job and recognized by the MDPH
Following this in 2013 I fell ill again with uterine sarcoma followed by chemotherapy radiotherapy brachytherapy (currently still in treatment and Kine twice a week) which today leaves me with very serious after-effects 
I have had a left hip prosthesis since 2012 and am waiting for the right hip operation when my health allows it. I am very disabled for daily tasks. 
In January 2017 after 5 years of compensation regarding the repayment of my property loan they decided to no longer support me, I am completely incomprehensible 
1 cancer in 2011 
1 cancer in 2013
A left hip prosthesis 
Depression 
Still in care linked to the after-effects of cancer, loss of my job due to professional incapacity 
MDPH recognition
I am exhausted by all these steps and am very angry, I will not give up 
A letter has just left by AR and I'm going to fight </v>
      </c>
    </row>
    <row r="185" ht="15.75" customHeight="1">
      <c r="A185" s="2">
        <v>4.0</v>
      </c>
      <c r="B185" s="2" t="s">
        <v>625</v>
      </c>
      <c r="C185" s="2" t="s">
        <v>626</v>
      </c>
      <c r="D185" s="2" t="s">
        <v>197</v>
      </c>
      <c r="E185" s="2" t="s">
        <v>81</v>
      </c>
      <c r="F185" s="2" t="s">
        <v>15</v>
      </c>
      <c r="G185" s="2" t="s">
        <v>627</v>
      </c>
      <c r="H185" s="2" t="s">
        <v>57</v>
      </c>
      <c r="I185" s="2" t="str">
        <f>IFERROR(__xludf.DUMMYFUNCTION("GOOGLETRANSLATE(C185,""fr"",""en"")"),"Good price, easy to upgrade for a motorcycle. All this done via the website which is rather ergonomic and easy to use.
All that is missing is loyalty and good behavior rewarded to be completely satisfied.")</f>
        <v>Good price, easy to upgrade for a motorcycle. All this done via the website which is rather ergonomic and easy to use.
All that is missing is loyalty and good behavior rewarded to be completely satisfied.</v>
      </c>
    </row>
    <row r="186" ht="15.75" customHeight="1">
      <c r="A186" s="2">
        <v>3.0</v>
      </c>
      <c r="B186" s="2" t="s">
        <v>628</v>
      </c>
      <c r="C186" s="2" t="s">
        <v>629</v>
      </c>
      <c r="D186" s="2" t="s">
        <v>13</v>
      </c>
      <c r="E186" s="2" t="s">
        <v>14</v>
      </c>
      <c r="F186" s="2" t="s">
        <v>15</v>
      </c>
      <c r="G186" s="2" t="s">
        <v>630</v>
      </c>
      <c r="H186" s="2" t="s">
        <v>286</v>
      </c>
      <c r="I186" s="2" t="str">
        <f>IFERROR(__xludf.DUMMYFUNCTION("GOOGLETRANSLATE(C186,""fr"",""en"")"),"Practical, easy and quick quote. However, the help available for each field to be completed is of no help (no precise description) and redundant.
Cdt,")</f>
        <v>Practical, easy and quick quote. However, the help available for each field to be completed is of no help (no precise description) and redundant.
Cdt,</v>
      </c>
    </row>
    <row r="187" ht="15.75" customHeight="1">
      <c r="A187" s="2">
        <v>1.0</v>
      </c>
      <c r="B187" s="2" t="s">
        <v>631</v>
      </c>
      <c r="C187" s="2" t="s">
        <v>632</v>
      </c>
      <c r="D187" s="2" t="s">
        <v>303</v>
      </c>
      <c r="E187" s="2" t="s">
        <v>129</v>
      </c>
      <c r="F187" s="2" t="s">
        <v>15</v>
      </c>
      <c r="G187" s="2" t="s">
        <v>633</v>
      </c>
      <c r="H187" s="2" t="s">
        <v>634</v>
      </c>
      <c r="I187" s="2" t="str">
        <f>IFERROR(__xludf.DUMMYFUNCTION("GOOGLETRANSLATE(C187,""fr"",""en"")"),"I made sure MACIF. Without paying attention in the 3rd year they added a pension plan without me asking... I pay my contribution thinking of only paying for housing... And that's it... ")</f>
        <v>I made sure MACIF. Without paying attention in the 3rd year they added a pension plan without me asking... I pay my contribution thinking of only paying for housing... And that's it... </v>
      </c>
    </row>
    <row r="188" ht="15.75" customHeight="1">
      <c r="A188" s="2">
        <v>5.0</v>
      </c>
      <c r="B188" s="2" t="s">
        <v>635</v>
      </c>
      <c r="C188" s="2" t="s">
        <v>636</v>
      </c>
      <c r="D188" s="2" t="s">
        <v>493</v>
      </c>
      <c r="E188" s="2" t="s">
        <v>101</v>
      </c>
      <c r="F188" s="2" t="s">
        <v>15</v>
      </c>
      <c r="G188" s="2" t="s">
        <v>637</v>
      </c>
      <c r="H188" s="2" t="s">
        <v>25</v>
      </c>
      <c r="I188" s="2" t="str">
        <f>IFERROR(__xludf.DUMMYFUNCTION("GOOGLETRANSLATE(C188,""fr"",""en"")"),"I am satisfied with the service and prices offered. The exchanges are clear and the procedures are simplified. I can't yet judge the quality of the insurance, however.")</f>
        <v>I am satisfied with the service and prices offered. The exchanges are clear and the procedures are simplified. I can't yet judge the quality of the insurance, however.</v>
      </c>
    </row>
    <row r="189" ht="15.75" customHeight="1">
      <c r="A189" s="2">
        <v>1.0</v>
      </c>
      <c r="B189" s="2" t="s">
        <v>638</v>
      </c>
      <c r="C189" s="2" t="s">
        <v>639</v>
      </c>
      <c r="D189" s="2" t="s">
        <v>310</v>
      </c>
      <c r="E189" s="2" t="s">
        <v>14</v>
      </c>
      <c r="F189" s="2" t="s">
        <v>15</v>
      </c>
      <c r="G189" s="2" t="s">
        <v>640</v>
      </c>
      <c r="H189" s="2" t="s">
        <v>181</v>
      </c>
      <c r="I189" s="2" t="str">
        <f>IFERROR(__xludf.DUMMYFUNCTION("GOOGLETRANSLATE(C189,""fr"",""en"")"),"To flee I advise you against it because the day you have a single claim the contract will be terminated they take us for cash cows,..................... ..................................")</f>
        <v>To flee I advise you against it because the day you have a single claim the contract will be terminated they take us for cash cows,..................... ..................................</v>
      </c>
    </row>
    <row r="190" ht="15.75" customHeight="1">
      <c r="A190" s="2">
        <v>1.0</v>
      </c>
      <c r="B190" s="2" t="s">
        <v>641</v>
      </c>
      <c r="C190" s="2" t="s">
        <v>642</v>
      </c>
      <c r="D190" s="2" t="s">
        <v>80</v>
      </c>
      <c r="E190" s="2" t="s">
        <v>81</v>
      </c>
      <c r="F190" s="2" t="s">
        <v>15</v>
      </c>
      <c r="G190" s="2" t="s">
        <v>442</v>
      </c>
      <c r="H190" s="2" t="s">
        <v>442</v>
      </c>
      <c r="I190" s="2" t="str">
        <f>IFERROR(__xludf.DUMMYFUNCTION("GOOGLETRANSLATE(C190,""fr"",""en"")"),"A not serious insurer, I send all the documents by email and until today no green card, I pay for a very poor service, customer service is not clear on the phone. I advise everyone not to sign a contract with this insurer, the problem is the program, once"&amp;" you have paid the money is gone, it is canceled and no refund. ATTENTION !! ")</f>
        <v>A not serious insurer, I send all the documents by email and until today no green card, I pay for a very poor service, customer service is not clear on the phone. I advise everyone not to sign a contract with this insurer, the problem is the program, once you have paid the money is gone, it is canceled and no refund. ATTENTION !! </v>
      </c>
    </row>
    <row r="191" ht="15.75" customHeight="1">
      <c r="A191" s="2">
        <v>3.0</v>
      </c>
      <c r="B191" s="2" t="s">
        <v>643</v>
      </c>
      <c r="C191" s="2" t="s">
        <v>644</v>
      </c>
      <c r="D191" s="2" t="s">
        <v>13</v>
      </c>
      <c r="E191" s="2" t="s">
        <v>14</v>
      </c>
      <c r="F191" s="2" t="s">
        <v>15</v>
      </c>
      <c r="G191" s="2" t="s">
        <v>645</v>
      </c>
      <c r="H191" s="2" t="s">
        <v>21</v>
      </c>
      <c r="I191" s="2" t="str">
        <f>IFERROR(__xludf.DUMMYFUNCTION("GOOGLETRANSLATE(C191,""fr"",""en"")"),"very practical, easy, quick, to see in use if the service is there, if this is the case I will sponsor other customers and other vehicles ")</f>
        <v>very practical, easy, quick, to see in use if the service is there, if this is the case I will sponsor other customers and other vehicles </v>
      </c>
    </row>
    <row r="192" ht="15.75" customHeight="1">
      <c r="A192" s="2">
        <v>4.0</v>
      </c>
      <c r="B192" s="2" t="s">
        <v>646</v>
      </c>
      <c r="C192" s="2" t="s">
        <v>647</v>
      </c>
      <c r="D192" s="2" t="s">
        <v>28</v>
      </c>
      <c r="E192" s="2" t="s">
        <v>14</v>
      </c>
      <c r="F192" s="2" t="s">
        <v>15</v>
      </c>
      <c r="G192" s="2" t="s">
        <v>648</v>
      </c>
      <c r="H192" s="2" t="s">
        <v>17</v>
      </c>
      <c r="I192" s="2" t="str">
        <f>IFERROR(__xludf.DUMMYFUNCTION("GOOGLETRANSLATE(C192,""fr"",""en"")"),"Alright ! The advisor was fast and efficient, very clear and the proposed contract adapted to our expectations. We have another car assured soon we will call on the olive tree.")</f>
        <v>Alright ! The advisor was fast and efficient, very clear and the proposed contract adapted to our expectations. We have another car assured soon we will call on the olive tree.</v>
      </c>
    </row>
    <row r="193" ht="15.75" customHeight="1">
      <c r="A193" s="2">
        <v>2.0</v>
      </c>
      <c r="B193" s="2" t="s">
        <v>649</v>
      </c>
      <c r="C193" s="2" t="s">
        <v>650</v>
      </c>
      <c r="D193" s="2" t="s">
        <v>13</v>
      </c>
      <c r="E193" s="2" t="s">
        <v>129</v>
      </c>
      <c r="F193" s="2" t="s">
        <v>15</v>
      </c>
      <c r="G193" s="2" t="s">
        <v>651</v>
      </c>
      <c r="H193" s="2" t="s">
        <v>248</v>
      </c>
      <c r="I193" s="2" t="str">
        <f>IFERROR(__xludf.DUMMYFUNCTION("GOOGLETRANSLATE(C193,""fr"",""en"")"),"Scandalous! I take out home insurance with direct insurance on 06/03/2020 for an apartment located in a new building currently being delivered, at a temporarily assigned address.
The land registry having determined the final number, I ask Direct Assurance"&amp;" on 06/30/2020 for the only modification to my contract of the building number, and that it is not my surprise to see the amount of my insurance increased by 25 euros retroactive because considered as a new contract! I contacted customer service by email "&amp;"and telephone to return to the terms of the contract initially accepted. .. nothing happened, they gave me inadmissible arguments, as if they wanted to make me believe that changing the name of a street changed the risk of disaster; No commercial gesture "&amp;"even though we have several contracts with them... it's not for the amount but for the principle! this is a totally scandalous abuse... I do not agree that we are taken for pigeons and I ask you to share this opinion.")</f>
        <v>Scandalous! I take out home insurance with direct insurance on 06/03/2020 for an apartment located in a new building currently being delivered, at a temporarily assigned address.
The land registry having determined the final number, I ask Direct Assurance on 06/30/2020 for the only modification to my contract of the building number, and that it is not my surprise to see the amount of my insurance increased by 25 euros retroactive because considered as a new contract! I contacted customer service by email and telephone to return to the terms of the contract initially accepted. .. nothing happened, they gave me inadmissible arguments, as if they wanted to make me believe that changing the name of a street changed the risk of disaster; No commercial gesture even though we have several contracts with them... it's not for the amount but for the principle! this is a totally scandalous abuse... I do not agree that we are taken for pigeons and I ask you to share this opinion.</v>
      </c>
    </row>
    <row r="194" ht="15.75" customHeight="1">
      <c r="A194" s="2">
        <v>1.0</v>
      </c>
      <c r="B194" s="2" t="s">
        <v>652</v>
      </c>
      <c r="C194" s="2" t="s">
        <v>653</v>
      </c>
      <c r="D194" s="2" t="s">
        <v>80</v>
      </c>
      <c r="E194" s="2" t="s">
        <v>81</v>
      </c>
      <c r="F194" s="2" t="s">
        <v>15</v>
      </c>
      <c r="G194" s="2" t="s">
        <v>654</v>
      </c>
      <c r="H194" s="2" t="s">
        <v>83</v>
      </c>
      <c r="I194" s="2" t="str">
        <f>IFERROR(__xludf.DUMMYFUNCTION("GOOGLETRANSLATE(C194,""fr"",""en"")"),"The rest to improve. The advisor does not respect his commitments (it is agreed that he calls before 6:00 p.m. to validate my contract on 06/07/2021, he did not do so. I missed my purchase because of him....)")</f>
        <v>The rest to improve. The advisor does not respect his commitments (it is agreed that he calls before 6:00 p.m. to validate my contract on 06/07/2021, he did not do so. I missed my purchase because of him....)</v>
      </c>
    </row>
    <row r="195" ht="15.75" customHeight="1">
      <c r="A195" s="2">
        <v>4.0</v>
      </c>
      <c r="B195" s="2" t="s">
        <v>655</v>
      </c>
      <c r="C195" s="2" t="s">
        <v>656</v>
      </c>
      <c r="D195" s="2" t="s">
        <v>80</v>
      </c>
      <c r="E195" s="2" t="s">
        <v>81</v>
      </c>
      <c r="F195" s="2" t="s">
        <v>15</v>
      </c>
      <c r="G195" s="2" t="s">
        <v>657</v>
      </c>
      <c r="H195" s="2" t="s">
        <v>71</v>
      </c>
      <c r="I195" s="2" t="str">
        <f>IFERROR(__xludf.DUMMYFUNCTION("GOOGLETRANSLATE(C195,""fr"",""en"")"),"I am satisfied thank you very much it was really fast 
I have other vehicles I will surely assure you it is absolutely perfect  
Thank you so much ")</f>
        <v>I am satisfied thank you very much it was really fast 
I have other vehicles I will surely assure you it is absolutely perfect  
Thank you so much </v>
      </c>
    </row>
    <row r="196" ht="15.75" customHeight="1">
      <c r="A196" s="2">
        <v>1.0</v>
      </c>
      <c r="B196" s="2" t="s">
        <v>658</v>
      </c>
      <c r="C196" s="2" t="s">
        <v>659</v>
      </c>
      <c r="D196" s="2" t="s">
        <v>13</v>
      </c>
      <c r="E196" s="2" t="s">
        <v>14</v>
      </c>
      <c r="F196" s="2" t="s">
        <v>15</v>
      </c>
      <c r="G196" s="2" t="s">
        <v>660</v>
      </c>
      <c r="H196" s="2" t="s">
        <v>661</v>
      </c>
      <c r="I196" s="2" t="str">
        <f>IFERROR(__xludf.DUMMYFUNCTION("GOOGLETRANSLATE(C196,""fr"",""en"")"),"does not want to transfer the insurance to the garage's courtesy vehicle - therefore no vehicle loan possible - insurance increased from €30/month to €46/month in 2 years")</f>
        <v>does not want to transfer the insurance to the garage's courtesy vehicle - therefore no vehicle loan possible - insurance increased from €30/month to €46/month in 2 years</v>
      </c>
    </row>
    <row r="197" ht="15.75" customHeight="1">
      <c r="A197" s="2">
        <v>4.0</v>
      </c>
      <c r="B197" s="2" t="s">
        <v>662</v>
      </c>
      <c r="C197" s="2" t="s">
        <v>663</v>
      </c>
      <c r="D197" s="2" t="s">
        <v>664</v>
      </c>
      <c r="E197" s="2" t="s">
        <v>39</v>
      </c>
      <c r="F197" s="2" t="s">
        <v>15</v>
      </c>
      <c r="G197" s="2" t="s">
        <v>494</v>
      </c>
      <c r="H197" s="2" t="s">
        <v>83</v>
      </c>
      <c r="I197" s="2" t="str">
        <f>IFERROR(__xludf.DUMMYFUNCTION("GOOGLETRANSLATE(C197,""fr"",""en"")"),"I thank Widad for his kindness in responding to my various requests clearly and precisely. Very professional and also with a smiling/pleasant tone, that's always a plus??.")</f>
        <v>I thank Widad for his kindness in responding to my various requests clearly and precisely. Very professional and also with a smiling/pleasant tone, that's always a plus??.</v>
      </c>
    </row>
    <row r="198" ht="15.75" customHeight="1">
      <c r="A198" s="2">
        <v>1.0</v>
      </c>
      <c r="B198" s="2" t="s">
        <v>665</v>
      </c>
      <c r="C198" s="2" t="s">
        <v>666</v>
      </c>
      <c r="D198" s="2" t="s">
        <v>38</v>
      </c>
      <c r="E198" s="2" t="s">
        <v>39</v>
      </c>
      <c r="F198" s="2" t="s">
        <v>15</v>
      </c>
      <c r="G198" s="2" t="s">
        <v>667</v>
      </c>
      <c r="H198" s="2" t="s">
        <v>83</v>
      </c>
      <c r="I198" s="2" t="str">
        <f>IFERROR(__xludf.DUMMYFUNCTION("GOOGLETRANSLATE(C198,""fr"",""en"")"),"Very bad mutual! absolutely avoid!
Always a problem getting reimbursed.
I have just been refused reimbursement from the third party payer for visits to rheumatologists and physiotherapists. This is unacceptable. Looking forward to seeing the end of the co"&amp;"ntract so I can move towards a mutual fund worthy of the name.
")</f>
        <v>Very bad mutual! absolutely avoid!
Always a problem getting reimbursed.
I have just been refused reimbursement from the third party payer for visits to rheumatologists and physiotherapists. This is unacceptable. Looking forward to seeing the end of the contract so I can move towards a mutual fund worthy of the name.
</v>
      </c>
    </row>
    <row r="199" ht="15.75" customHeight="1">
      <c r="A199" s="2">
        <v>4.0</v>
      </c>
      <c r="B199" s="2" t="s">
        <v>668</v>
      </c>
      <c r="C199" s="2" t="s">
        <v>669</v>
      </c>
      <c r="D199" s="2" t="s">
        <v>128</v>
      </c>
      <c r="E199" s="2" t="s">
        <v>14</v>
      </c>
      <c r="F199" s="2" t="s">
        <v>15</v>
      </c>
      <c r="G199" s="2" t="s">
        <v>670</v>
      </c>
      <c r="H199" s="2" t="s">
        <v>361</v>
      </c>
      <c r="I199" s="2" t="str">
        <f>IFERROR(__xludf.DUMMYFUNCTION("GOOGLETRANSLATE(C199,""fr"",""en"")"),"Insured for car and home + real estate loan. Good insurer but never an offer of price reduction despite a request 1 year ago following my loyalty.  Which is regrettable and pushes me to look elsewhere as I am a good insured person. There is competition th"&amp;"at is present.  ")</f>
        <v>Insured for car and home + real estate loan. Good insurer but never an offer of price reduction despite a request 1 year ago following my loyalty.  Which is regrettable and pushes me to look elsewhere as I am a good insured person. There is competition that is present.  </v>
      </c>
    </row>
    <row r="200" ht="15.75" customHeight="1">
      <c r="A200" s="2">
        <v>4.0</v>
      </c>
      <c r="B200" s="2" t="s">
        <v>671</v>
      </c>
      <c r="C200" s="2" t="s">
        <v>672</v>
      </c>
      <c r="D200" s="2" t="s">
        <v>493</v>
      </c>
      <c r="E200" s="2" t="s">
        <v>101</v>
      </c>
      <c r="F200" s="2" t="s">
        <v>15</v>
      </c>
      <c r="G200" s="2" t="s">
        <v>673</v>
      </c>
      <c r="H200" s="2" t="s">
        <v>111</v>
      </c>
      <c r="I200" s="2" t="str">
        <f>IFERROR(__xludf.DUMMYFUNCTION("GOOGLETRANSLATE(C200,""fr"",""en"")"),"I am very satisfied with the customer service of zen up 
Good follow-up of files from the start to the end of the subscription 
Very good value for money I recommend")</f>
        <v>I am very satisfied with the customer service of zen up 
Good follow-up of files from the start to the end of the subscription 
Very good value for money I recommend</v>
      </c>
    </row>
    <row r="201" ht="15.75" customHeight="1">
      <c r="A201" s="2">
        <v>3.0</v>
      </c>
      <c r="B201" s="2" t="s">
        <v>674</v>
      </c>
      <c r="C201" s="2" t="s">
        <v>675</v>
      </c>
      <c r="D201" s="2" t="s">
        <v>13</v>
      </c>
      <c r="E201" s="2" t="s">
        <v>14</v>
      </c>
      <c r="F201" s="2" t="s">
        <v>15</v>
      </c>
      <c r="G201" s="2" t="s">
        <v>676</v>
      </c>
      <c r="H201" s="2" t="s">
        <v>111</v>
      </c>
      <c r="I201" s="2" t="str">
        <f>IFERROR(__xludf.DUMMYFUNCTION("GOOGLETRANSLATE(C201,""fr"",""en"")"),"Simple and effective, I hope not to be disappointed, especially when I need service following a breakdown or accident. What I don't want at all ")</f>
        <v>Simple and effective, I hope not to be disappointed, especially when I need service following a breakdown or accident. What I don't want at all </v>
      </c>
    </row>
    <row r="202" ht="15.75" customHeight="1">
      <c r="A202" s="2">
        <v>4.0</v>
      </c>
      <c r="B202" s="2" t="s">
        <v>677</v>
      </c>
      <c r="C202" s="2" t="s">
        <v>678</v>
      </c>
      <c r="D202" s="2" t="s">
        <v>13</v>
      </c>
      <c r="E202" s="2" t="s">
        <v>14</v>
      </c>
      <c r="F202" s="2" t="s">
        <v>15</v>
      </c>
      <c r="G202" s="2" t="s">
        <v>533</v>
      </c>
      <c r="H202" s="2" t="s">
        <v>25</v>
      </c>
      <c r="I202" s="2" t="str">
        <f>IFERROR(__xludf.DUMMYFUNCTION("GOOGLETRANSLATE(C202,""fr"",""en"")"),"I am very satisfied with the competence of my advisor and his speed of action. It's so good to deal with people who know their work inside out.")</f>
        <v>I am very satisfied with the competence of my advisor and his speed of action. It's so good to deal with people who know their work inside out.</v>
      </c>
    </row>
    <row r="203" ht="15.75" customHeight="1">
      <c r="A203" s="2">
        <v>1.0</v>
      </c>
      <c r="B203" s="2" t="s">
        <v>679</v>
      </c>
      <c r="C203" s="2" t="s">
        <v>680</v>
      </c>
      <c r="D203" s="2" t="s">
        <v>303</v>
      </c>
      <c r="E203" s="2" t="s">
        <v>14</v>
      </c>
      <c r="F203" s="2" t="s">
        <v>15</v>
      </c>
      <c r="G203" s="2" t="s">
        <v>681</v>
      </c>
      <c r="H203" s="2" t="s">
        <v>442</v>
      </c>
      <c r="I203" s="2" t="str">
        <f>IFERROR(__xludf.DUMMYFUNCTION("GOOGLETRANSLATE(C203,""fr"",""en"")"),"Good morning,
I suffered loss following the theft of my vehicle in early January 2019.
The expert in charge of my file confirmed to me in writing that the value of my vehicle after the disaster was 500 euros including tax. 
Today, despite my efforts (in t"&amp;"he agency and by telephone), I am repeatedly told that a manager will contact me. Pff, I've been waiting for almost 2 months.
In the event of a disaster, you are no longer interesting. But to water, continue to deduct my car insurance and send me my notic"&amp;"e of expiry. They are too strong!!! to break your morale...
Has anyone experienced a disaster and obtained satisfaction...
To read you,")</f>
        <v>Good morning,
I suffered loss following the theft of my vehicle in early January 2019.
The expert in charge of my file confirmed to me in writing that the value of my vehicle after the disaster was 500 euros including tax. 
Today, despite my efforts (in the agency and by telephone), I am repeatedly told that a manager will contact me. Pff, I've been waiting for almost 2 months.
In the event of a disaster, you are no longer interesting. But to water, continue to deduct my car insurance and send me my notice of expiry. They are too strong!!! to break your morale...
Has anyone experienced a disaster and obtained satisfaction...
To read you,</v>
      </c>
    </row>
    <row r="204" ht="15.75" customHeight="1">
      <c r="A204" s="2">
        <v>3.0</v>
      </c>
      <c r="B204" s="2" t="s">
        <v>682</v>
      </c>
      <c r="C204" s="2" t="s">
        <v>683</v>
      </c>
      <c r="D204" s="2" t="s">
        <v>65</v>
      </c>
      <c r="E204" s="2" t="s">
        <v>129</v>
      </c>
      <c r="F204" s="2" t="s">
        <v>15</v>
      </c>
      <c r="G204" s="2" t="s">
        <v>684</v>
      </c>
      <c r="H204" s="2" t="s">
        <v>328</v>
      </c>
      <c r="I204" s="2" t="str">
        <f>IFERROR(__xludf.DUMMYFUNCTION("GOOGLETRANSLATE(C204,""fr"",""en"")"),"My son had significant water damage in his house and I can tell you that they were great experts the next day and started to repair it, thank you his father")</f>
        <v>My son had significant water damage in his house and I can tell you that they were great experts the next day and started to repair it, thank you his father</v>
      </c>
    </row>
    <row r="205" ht="15.75" customHeight="1">
      <c r="A205" s="2">
        <v>4.0</v>
      </c>
      <c r="B205" s="2" t="s">
        <v>685</v>
      </c>
      <c r="C205" s="2" t="s">
        <v>686</v>
      </c>
      <c r="D205" s="2" t="s">
        <v>13</v>
      </c>
      <c r="E205" s="2" t="s">
        <v>14</v>
      </c>
      <c r="F205" s="2" t="s">
        <v>15</v>
      </c>
      <c r="G205" s="2" t="s">
        <v>687</v>
      </c>
      <c r="H205" s="2" t="s">
        <v>83</v>
      </c>
      <c r="I205" s="2" t="str">
        <f>IFERROR(__xludf.DUMMYFUNCTION("GOOGLETRANSLATE(C205,""fr"",""en"")"),"the prices are reasonable as well as the very numerous offers the customer is well guided always friendly and attentive on the phone and discounts are always made when we have good behavior")</f>
        <v>the prices are reasonable as well as the very numerous offers the customer is well guided always friendly and attentive on the phone and discounts are always made when we have good behavior</v>
      </c>
    </row>
    <row r="206" ht="15.75" customHeight="1">
      <c r="A206" s="2">
        <v>1.0</v>
      </c>
      <c r="B206" s="2" t="s">
        <v>688</v>
      </c>
      <c r="C206" s="2" t="s">
        <v>689</v>
      </c>
      <c r="D206" s="2" t="s">
        <v>49</v>
      </c>
      <c r="E206" s="2" t="s">
        <v>50</v>
      </c>
      <c r="F206" s="2" t="s">
        <v>15</v>
      </c>
      <c r="G206" s="2" t="s">
        <v>690</v>
      </c>
      <c r="H206" s="2" t="s">
        <v>634</v>
      </c>
      <c r="I206" s="2" t="str">
        <f>IFERROR(__xludf.DUMMYFUNCTION("GOOGLETRANSLATE(C206,""fr"",""en"")"),"I would like to cancel my contract but I cannot log into my account and the advisors do not want to know anything on the phone.")</f>
        <v>I would like to cancel my contract but I cannot log into my account and the advisors do not want to know anything on the phone.</v>
      </c>
    </row>
    <row r="207" ht="15.75" customHeight="1">
      <c r="A207" s="2">
        <v>4.0</v>
      </c>
      <c r="B207" s="2" t="s">
        <v>691</v>
      </c>
      <c r="C207" s="2" t="s">
        <v>692</v>
      </c>
      <c r="D207" s="2" t="s">
        <v>13</v>
      </c>
      <c r="E207" s="2" t="s">
        <v>14</v>
      </c>
      <c r="F207" s="2" t="s">
        <v>15</v>
      </c>
      <c r="G207" s="2" t="s">
        <v>645</v>
      </c>
      <c r="H207" s="2" t="s">
        <v>21</v>
      </c>
      <c r="I207" s="2" t="str">
        <f>IFERROR(__xludf.DUMMYFUNCTION("GOOGLETRANSLATE(C207,""fr"",""en"")"),"I am satisfied with the service, responsiveness and availability of the agents. 
The prices are very reasonable.  The online service is clear and efficient.")</f>
        <v>I am satisfied with the service, responsiveness and availability of the agents. 
The prices are very reasonable.  The online service is clear and efficient.</v>
      </c>
    </row>
    <row r="208" ht="15.75" customHeight="1">
      <c r="A208" s="2">
        <v>1.0</v>
      </c>
      <c r="B208" s="2" t="s">
        <v>693</v>
      </c>
      <c r="C208" s="2" t="s">
        <v>694</v>
      </c>
      <c r="D208" s="2" t="s">
        <v>695</v>
      </c>
      <c r="E208" s="2" t="s">
        <v>50</v>
      </c>
      <c r="F208" s="2" t="s">
        <v>15</v>
      </c>
      <c r="G208" s="2" t="s">
        <v>696</v>
      </c>
      <c r="H208" s="2" t="s">
        <v>111</v>
      </c>
      <c r="I208" s="2" t="str">
        <f>IFERROR(__xludf.DUMMYFUNCTION("GOOGLETRANSLATE(C208,""fr"",""en"")"),"not serious insurance, I took out a contract which starts in January 2022, on the phone it was agreed that they would cancel my current insurance and that I will not have any waiting periods but on the contract 6 months of waiting period I I tried to call"&amp;" but no one contacted me, so I canceled by registered letter with AR. Today finally someone called me but to tell me that my cancellation was not accepted I exceeded the 14 days of withdrawal and I will have to pay for insurance that I don't want for a ye"&amp;"ar ")</f>
        <v>not serious insurance, I took out a contract which starts in January 2022, on the phone it was agreed that they would cancel my current insurance and that I will not have any waiting periods but on the contract 6 months of waiting period I I tried to call but no one contacted me, so I canceled by registered letter with AR. Today finally someone called me but to tell me that my cancellation was not accepted I exceeded the 14 days of withdrawal and I will have to pay for insurance that I don't want for a year </v>
      </c>
    </row>
    <row r="209" ht="15.75" customHeight="1">
      <c r="A209" s="2">
        <v>4.0</v>
      </c>
      <c r="B209" s="2" t="s">
        <v>697</v>
      </c>
      <c r="C209" s="2" t="s">
        <v>698</v>
      </c>
      <c r="D209" s="2" t="s">
        <v>80</v>
      </c>
      <c r="E209" s="2" t="s">
        <v>81</v>
      </c>
      <c r="F209" s="2" t="s">
        <v>15</v>
      </c>
      <c r="G209" s="2" t="s">
        <v>699</v>
      </c>
      <c r="H209" s="2" t="s">
        <v>83</v>
      </c>
      <c r="I209" s="2" t="str">
        <f>IFERROR(__xludf.DUMMYFUNCTION("GOOGLETRANSLATE(C209,""fr"",""en"")"),"I am satisfied with the services of this insurance 
Fast and efficient and inexpensive I hope not to be disappointed in the event of a disaster but I don't understand what we have ")</f>
        <v>I am satisfied with the services of this insurance 
Fast and efficient and inexpensive I hope not to be disappointed in the event of a disaster but I don't understand what we have </v>
      </c>
    </row>
    <row r="210" ht="15.75" customHeight="1">
      <c r="A210" s="2">
        <v>3.0</v>
      </c>
      <c r="B210" s="2" t="s">
        <v>700</v>
      </c>
      <c r="C210" s="2" t="s">
        <v>701</v>
      </c>
      <c r="D210" s="2" t="s">
        <v>13</v>
      </c>
      <c r="E210" s="2" t="s">
        <v>14</v>
      </c>
      <c r="F210" s="2" t="s">
        <v>15</v>
      </c>
      <c r="G210" s="2" t="s">
        <v>702</v>
      </c>
      <c r="H210" s="2" t="s">
        <v>286</v>
      </c>
      <c r="I210" s="2" t="str">
        <f>IFERROR(__xludf.DUMMYFUNCTION("GOOGLETRANSLATE(C210,""fr"",""en"")"),"Relatively satisfied with the service and the choices made available, after contacting an advisor it is likely that I will recommend this insurance to those around me 
")</f>
        <v>Relatively satisfied with the service and the choices made available, after contacting an advisor it is likely that I will recommend this insurance to those around me 
</v>
      </c>
    </row>
    <row r="211" ht="15.75" customHeight="1">
      <c r="A211" s="2">
        <v>1.0</v>
      </c>
      <c r="B211" s="2" t="s">
        <v>703</v>
      </c>
      <c r="C211" s="2" t="s">
        <v>704</v>
      </c>
      <c r="D211" s="2" t="s">
        <v>145</v>
      </c>
      <c r="E211" s="2" t="s">
        <v>14</v>
      </c>
      <c r="F211" s="2" t="s">
        <v>15</v>
      </c>
      <c r="G211" s="2" t="s">
        <v>705</v>
      </c>
      <c r="H211" s="2" t="s">
        <v>232</v>
      </c>
      <c r="I211" s="2" t="str">
        <f>IFERROR(__xludf.DUMMYFUNCTION("GOOGLETRANSLATE(C211,""fr"",""en"")"),"Accident Renault Zoé ")</f>
        <v>Accident Renault Zoé </v>
      </c>
    </row>
    <row r="212" ht="15.75" customHeight="1">
      <c r="A212" s="2">
        <v>2.0</v>
      </c>
      <c r="B212" s="2" t="s">
        <v>706</v>
      </c>
      <c r="C212" s="2" t="s">
        <v>707</v>
      </c>
      <c r="D212" s="2" t="s">
        <v>303</v>
      </c>
      <c r="E212" s="2" t="s">
        <v>14</v>
      </c>
      <c r="F212" s="2" t="s">
        <v>15</v>
      </c>
      <c r="G212" s="2" t="s">
        <v>708</v>
      </c>
      <c r="H212" s="2" t="s">
        <v>108</v>
      </c>
      <c r="I212" s="2" t="str">
        <f>IFERROR(__xludf.DUMMYFUNCTION("GOOGLETRANSLATE(C212,""fr"",""en"")"),"I was hoping for a fair return from mutual insurance to these members after such a special year (confinement, etc.) and the very low use of vehicles (I have 2 in all risks all year round). I see on the expiry notice that no. 
In addition to not having any"&amp;" reduction or retrocession package like other insurers, certain contracts have even increased such as motorcycle or body insurance, a shame.
Justifying yourself by donating to associations or works is good, but the direct return to your members who suppor"&amp;"t you would have been even better. I at least hope that you will pass on savings to your employees through your annual bonuses.
However, I am not criticizing the customer service which is currently satisfactory.")</f>
        <v>I was hoping for a fair return from mutual insurance to these members after such a special year (confinement, etc.) and the very low use of vehicles (I have 2 in all risks all year round). I see on the expiry notice that no. 
In addition to not having any reduction or retrocession package like other insurers, certain contracts have even increased such as motorcycle or body insurance, a shame.
Justifying yourself by donating to associations or works is good, but the direct return to your members who support you would have been even better. I at least hope that you will pass on savings to your employees through your annual bonuses.
However, I am not criticizing the customer service which is currently satisfactory.</v>
      </c>
    </row>
    <row r="213" ht="15.75" customHeight="1">
      <c r="A213" s="2">
        <v>4.0</v>
      </c>
      <c r="B213" s="2" t="s">
        <v>709</v>
      </c>
      <c r="C213" s="2" t="s">
        <v>710</v>
      </c>
      <c r="D213" s="2" t="s">
        <v>49</v>
      </c>
      <c r="E213" s="2" t="s">
        <v>50</v>
      </c>
      <c r="F213" s="2" t="s">
        <v>15</v>
      </c>
      <c r="G213" s="2" t="s">
        <v>605</v>
      </c>
      <c r="H213" s="2" t="s">
        <v>41</v>
      </c>
      <c r="I213" s="2" t="str">
        <f>IFERROR(__xludf.DUMMYFUNCTION("GOOGLETRANSLATE(C213,""fr"",""en"")"),"Owner of a Bernese mountain dog, I took out a contract when he was 3 years old. He became seriously ill, even though the waiting period had only been reached for 24 hours; all examinations and care were covered according to the contract clauses without qu"&amp;"estion (scan, colonoscopy, MRI)
At the end of 2017, he became very seriously ill again, and although he underwent numerous examinations and treatments, veterinarians were unable to save him. Again, reimbursements were quick. I was very saddened by this lo"&amp;"ss, so I only informed SantéVet a few weeks after his death; I was refunded the overpayment without even having to ask. ")</f>
        <v>Owner of a Bernese mountain dog, I took out a contract when he was 3 years old. He became seriously ill, even though the waiting period had only been reached for 24 hours; all examinations and care were covered according to the contract clauses without question (scan, colonoscopy, MRI)
At the end of 2017, he became very seriously ill again, and although he underwent numerous examinations and treatments, veterinarians were unable to save him. Again, reimbursements were quick. I was very saddened by this loss, so I only informed SantéVet a few weeks after his death; I was refunded the overpayment without even having to ask. </v>
      </c>
    </row>
    <row r="214" ht="15.75" customHeight="1">
      <c r="A214" s="2">
        <v>1.0</v>
      </c>
      <c r="B214" s="2" t="s">
        <v>711</v>
      </c>
      <c r="C214" s="2" t="s">
        <v>712</v>
      </c>
      <c r="D214" s="2" t="s">
        <v>13</v>
      </c>
      <c r="E214" s="2" t="s">
        <v>14</v>
      </c>
      <c r="F214" s="2" t="s">
        <v>15</v>
      </c>
      <c r="G214" s="2" t="s">
        <v>713</v>
      </c>
      <c r="H214" s="2" t="s">
        <v>25</v>
      </c>
      <c r="I214" s="2" t="str">
        <f>IFERROR(__xludf.DUMMYFUNCTION("GOOGLETRANSLATE(C214,""fr"",""en"")"),"Hello, I just received my new schedule and discovered an 11% increase for the next year.  I am not ready to accept this increase which is not justified for 2020 inflation in France of 0.5%, in any case no explanation is provided by Direct Assurance justif"&amp;"ying this increase. Good day.")</f>
        <v>Hello, I just received my new schedule and discovered an 11% increase for the next year.  I am not ready to accept this increase which is not justified for 2020 inflation in France of 0.5%, in any case no explanation is provided by Direct Assurance justifying this increase. Good day.</v>
      </c>
    </row>
    <row r="215" ht="15.75" customHeight="1">
      <c r="A215" s="2">
        <v>1.0</v>
      </c>
      <c r="B215" s="2" t="s">
        <v>714</v>
      </c>
      <c r="C215" s="2" t="s">
        <v>715</v>
      </c>
      <c r="D215" s="2" t="s">
        <v>465</v>
      </c>
      <c r="E215" s="2" t="s">
        <v>39</v>
      </c>
      <c r="F215" s="2" t="s">
        <v>15</v>
      </c>
      <c r="G215" s="2" t="s">
        <v>716</v>
      </c>
      <c r="H215" s="2" t="s">
        <v>25</v>
      </c>
      <c r="I215" s="2" t="str">
        <f>IFERROR(__xludf.DUMMYFUNCTION("GOOGLETRANSLATE(C215,""fr"",""en"")"),"Mutual insurance unreachable, do not respond to email, not on the phone... except by letter (in the digital age), looking for the small detail to not reimburse you, insurance in bad faith.
Waste of time, stamps, money...
")</f>
        <v>Mutual insurance unreachable, do not respond to email, not on the phone... except by letter (in the digital age), looking for the small detail to not reimburse you, insurance in bad faith.
Waste of time, stamps, money...
</v>
      </c>
    </row>
    <row r="216" ht="15.75" customHeight="1">
      <c r="A216" s="2">
        <v>1.0</v>
      </c>
      <c r="B216" s="2" t="s">
        <v>717</v>
      </c>
      <c r="C216" s="2" t="s">
        <v>718</v>
      </c>
      <c r="D216" s="2" t="s">
        <v>100</v>
      </c>
      <c r="E216" s="2" t="s">
        <v>101</v>
      </c>
      <c r="F216" s="2" t="s">
        <v>15</v>
      </c>
      <c r="G216" s="2" t="s">
        <v>719</v>
      </c>
      <c r="H216" s="2" t="s">
        <v>30</v>
      </c>
      <c r="I216" s="2" t="str">
        <f>IFERROR(__xludf.DUMMYFUNCTION("GOOGLETRANSLATE(C216,""fr"",""en"")"),"To flee!!!! My husband had covid from the first confinement so not confirmed by blood test but given the symptoms no doubt. It took him over 6 months to recover. Caci never wanted to compensate him, there is always something missing. Recently it is the pr"&amp;"oof of work stoppage from 2007!!!! Who are we kidding???  Result we change insurance!")</f>
        <v>To flee!!!! My husband had covid from the first confinement so not confirmed by blood test but given the symptoms no doubt. It took him over 6 months to recover. Caci never wanted to compensate him, there is always something missing. Recently it is the proof of work stoppage from 2007!!!! Who are we kidding???  Result we change insurance!</v>
      </c>
    </row>
    <row r="217" ht="15.75" customHeight="1">
      <c r="A217" s="2">
        <v>3.0</v>
      </c>
      <c r="B217" s="2" t="s">
        <v>720</v>
      </c>
      <c r="C217" s="2" t="s">
        <v>721</v>
      </c>
      <c r="D217" s="2" t="s">
        <v>284</v>
      </c>
      <c r="E217" s="2" t="s">
        <v>81</v>
      </c>
      <c r="F217" s="2" t="s">
        <v>15</v>
      </c>
      <c r="G217" s="2" t="s">
        <v>722</v>
      </c>
      <c r="H217" s="2" t="s">
        <v>21</v>
      </c>
      <c r="I217" s="2" t="str">
        <f>IFERROR(__xludf.DUMMYFUNCTION("GOOGLETRANSLATE(C217,""fr"",""en"")"),"Overall, the bikers' mutual gave me satisfaction but it is clear that now it is the opposite, unreachable mutual, hence their new slogan ""if you don't need us, call us""")</f>
        <v>Overall, the bikers' mutual gave me satisfaction but it is clear that now it is the opposite, unreachable mutual, hence their new slogan "if you don't need us, call us"</v>
      </c>
    </row>
    <row r="218" ht="15.75" customHeight="1">
      <c r="A218" s="2">
        <v>1.0</v>
      </c>
      <c r="B218" s="2" t="s">
        <v>723</v>
      </c>
      <c r="C218" s="2" t="s">
        <v>724</v>
      </c>
      <c r="D218" s="2" t="s">
        <v>89</v>
      </c>
      <c r="E218" s="2" t="s">
        <v>39</v>
      </c>
      <c r="F218" s="2" t="s">
        <v>15</v>
      </c>
      <c r="G218" s="2" t="s">
        <v>725</v>
      </c>
      <c r="H218" s="2" t="s">
        <v>21</v>
      </c>
      <c r="I218" s="2" t="str">
        <f>IFERROR(__xludf.DUMMYFUNCTION("GOOGLETRANSLATE(C218,""fr"",""en"")"),"I have been with this mutual since January 2021, very disappointed, not at all the criteria that I had asked for, bad surprise during reimbursements and when we obtain them.......,
I am taking steps for another, more competent mutual fund, and when we ask"&amp;" for an explanation, they have the audacity to tell us that we are in bad faith. ")</f>
        <v>I have been with this mutual since January 2021, very disappointed, not at all the criteria that I had asked for, bad surprise during reimbursements and when we obtain them.......,
I am taking steps for another, more competent mutual fund, and when we ask for an explanation, they have the audacity to tell us that we are in bad faith. </v>
      </c>
    </row>
    <row r="219" ht="15.75" customHeight="1">
      <c r="A219" s="2">
        <v>2.0</v>
      </c>
      <c r="B219" s="2" t="s">
        <v>726</v>
      </c>
      <c r="C219" s="2" t="s">
        <v>727</v>
      </c>
      <c r="D219" s="2" t="s">
        <v>13</v>
      </c>
      <c r="E219" s="2" t="s">
        <v>14</v>
      </c>
      <c r="F219" s="2" t="s">
        <v>15</v>
      </c>
      <c r="G219" s="2" t="s">
        <v>164</v>
      </c>
      <c r="H219" s="2" t="s">
        <v>30</v>
      </c>
      <c r="I219" s="2" t="str">
        <f>IFERROR(__xludf.DUMMYFUNCTION("GOOGLETRANSLATE(C219,""fr"",""en"")"),"Good morning,
I am disappointed, you do not want to insure me because of three broken windows for which I am not responsible!
It's difficult to avoid gravel that you don't see coming, on newly gravelled roads. 
Sincerely")</f>
        <v>Good morning,
I am disappointed, you do not want to insure me because of three broken windows for which I am not responsible!
It's difficult to avoid gravel that you don't see coming, on newly gravelled roads. 
Sincerely</v>
      </c>
    </row>
    <row r="220" ht="15.75" customHeight="1">
      <c r="A220" s="2">
        <v>3.0</v>
      </c>
      <c r="B220" s="2" t="s">
        <v>728</v>
      </c>
      <c r="C220" s="2" t="s">
        <v>729</v>
      </c>
      <c r="D220" s="2" t="s">
        <v>13</v>
      </c>
      <c r="E220" s="2" t="s">
        <v>14</v>
      </c>
      <c r="F220" s="2" t="s">
        <v>15</v>
      </c>
      <c r="G220" s="2" t="s">
        <v>730</v>
      </c>
      <c r="H220" s="2" t="s">
        <v>111</v>
      </c>
      <c r="I220" s="2" t="str">
        <f>IFERROR(__xludf.DUMMYFUNCTION("GOOGLETRANSLATE(C220,""fr"",""en"")"),"Simple, easy and practical.
Fair prices despite a slight desire to adhere to the options.
It is not possible to link an existing member in order to benefit from sponsorship.")</f>
        <v>Simple, easy and practical.
Fair prices despite a slight desire to adhere to the options.
It is not possible to link an existing member in order to benefit from sponsorship.</v>
      </c>
    </row>
    <row r="221" ht="15.75" customHeight="1">
      <c r="A221" s="2">
        <v>5.0</v>
      </c>
      <c r="B221" s="2" t="s">
        <v>731</v>
      </c>
      <c r="C221" s="2" t="s">
        <v>732</v>
      </c>
      <c r="D221" s="2" t="s">
        <v>28</v>
      </c>
      <c r="E221" s="2" t="s">
        <v>14</v>
      </c>
      <c r="F221" s="2" t="s">
        <v>15</v>
      </c>
      <c r="G221" s="2" t="s">
        <v>733</v>
      </c>
      <c r="H221" s="2" t="s">
        <v>25</v>
      </c>
      <c r="I221" s="2" t="str">
        <f>IFERROR(__xludf.DUMMYFUNCTION("GOOGLETRANSLATE(C221,""fr"",""en"")"),"I subscribed to you because you are the cheapest on the market.
I wanted insurance with theft &amp; fire, and you are the only ones to offer me this price for this guarantee.")</f>
        <v>I subscribed to you because you are the cheapest on the market.
I wanted insurance with theft &amp; fire, and you are the only ones to offer me this price for this guarantee.</v>
      </c>
    </row>
    <row r="222" ht="15.75" customHeight="1">
      <c r="A222" s="2">
        <v>1.0</v>
      </c>
      <c r="B222" s="2" t="s">
        <v>734</v>
      </c>
      <c r="C222" s="2" t="s">
        <v>735</v>
      </c>
      <c r="D222" s="2" t="s">
        <v>281</v>
      </c>
      <c r="E222" s="2" t="s">
        <v>39</v>
      </c>
      <c r="F222" s="2" t="s">
        <v>15</v>
      </c>
      <c r="G222" s="2" t="s">
        <v>497</v>
      </c>
      <c r="H222" s="2" t="s">
        <v>57</v>
      </c>
      <c r="I222" s="2" t="str">
        <f>IFERROR(__xludf.DUMMYFUNCTION("GOOGLETRANSLATE(C222,""fr"",""en"")"),"Very difficult to contact. Never respond to emails. Lots of delays in processing requests for supplementary solidarity health care.  But they charge them even though we are not taken care of. 3 weeks to process a payment by check. And when we call them, t"&amp;"hey never answer. I saw them call 8 times before getting through and still... It's deplorable!!! ")</f>
        <v>Very difficult to contact. Never respond to emails. Lots of delays in processing requests for supplementary solidarity health care.  But they charge them even though we are not taken care of. 3 weeks to process a payment by check. And when we call them, they never answer. I saw them call 8 times before getting through and still... It's deplorable!!! </v>
      </c>
    </row>
    <row r="223" ht="15.75" customHeight="1">
      <c r="A223" s="2">
        <v>5.0</v>
      </c>
      <c r="B223" s="2" t="s">
        <v>736</v>
      </c>
      <c r="C223" s="2" t="s">
        <v>737</v>
      </c>
      <c r="D223" s="2" t="s">
        <v>28</v>
      </c>
      <c r="E223" s="2" t="s">
        <v>14</v>
      </c>
      <c r="F223" s="2" t="s">
        <v>15</v>
      </c>
      <c r="G223" s="2" t="s">
        <v>738</v>
      </c>
      <c r="H223" s="2" t="s">
        <v>46</v>
      </c>
      <c r="I223" s="2" t="str">
        <f>IFERROR(__xludf.DUMMYFUNCTION("GOOGLETRANSLATE(C223,""fr"",""en"")"),"I am satisfied with the procedure, now we will see over time whether in the event of a problem you will react to the situation. came thanks to a friend who recommended me")</f>
        <v>I am satisfied with the procedure, now we will see over time whether in the event of a problem you will react to the situation. came thanks to a friend who recommended me</v>
      </c>
    </row>
    <row r="224" ht="15.75" customHeight="1">
      <c r="A224" s="2">
        <v>2.0</v>
      </c>
      <c r="B224" s="2" t="s">
        <v>739</v>
      </c>
      <c r="C224" s="2" t="s">
        <v>740</v>
      </c>
      <c r="D224" s="2" t="s">
        <v>120</v>
      </c>
      <c r="E224" s="2" t="s">
        <v>61</v>
      </c>
      <c r="F224" s="2" t="s">
        <v>15</v>
      </c>
      <c r="G224" s="2" t="s">
        <v>741</v>
      </c>
      <c r="H224" s="2" t="s">
        <v>347</v>
      </c>
      <c r="I224" s="2" t="str">
        <f>IFERROR(__xludf.DUMMYFUNCTION("GOOGLETRANSLATE(C224,""fr"",""en"")"),"Incredible partial redemption repayment period! Request sent on 11/22 to benefit from the reduction. Despite several calls which all confirm that everything is in order, the transfer is still not there on 3/01. Tax benefit lost for the year. Never seen th"&amp;"at! I am studying the appeals...")</f>
        <v>Incredible partial redemption repayment period! Request sent on 11/22 to benefit from the reduction. Despite several calls which all confirm that everything is in order, the transfer is still not there on 3/01. Tax benefit lost for the year. Never seen that! I am studying the appeals...</v>
      </c>
    </row>
    <row r="225" ht="15.75" customHeight="1">
      <c r="A225" s="2">
        <v>1.0</v>
      </c>
      <c r="B225" s="2" t="s">
        <v>742</v>
      </c>
      <c r="C225" s="2" t="s">
        <v>743</v>
      </c>
      <c r="D225" s="2" t="s">
        <v>89</v>
      </c>
      <c r="E225" s="2" t="s">
        <v>39</v>
      </c>
      <c r="F225" s="2" t="s">
        <v>15</v>
      </c>
      <c r="G225" s="2" t="s">
        <v>744</v>
      </c>
      <c r="H225" s="2" t="s">
        <v>745</v>
      </c>
      <c r="I225" s="2" t="str">
        <f>IFERROR(__xludf.DUMMYFUNCTION("GOOGLETRANSLATE(C225,""fr"",""en"")"),"To flee as quickly as possible! always finds the little loophole to not reimburse services. Read the fine print of the general conditions and the table of guarantees carefully with a magnifying glass! very difficult to cancel...")</f>
        <v>To flee as quickly as possible! always finds the little loophole to not reimburse services. Read the fine print of the general conditions and the table of guarantees carefully with a magnifying glass! very difficult to cancel...</v>
      </c>
    </row>
    <row r="226" ht="15.75" customHeight="1">
      <c r="A226" s="2">
        <v>4.0</v>
      </c>
      <c r="B226" s="2" t="s">
        <v>746</v>
      </c>
      <c r="C226" s="2" t="s">
        <v>747</v>
      </c>
      <c r="D226" s="2" t="s">
        <v>13</v>
      </c>
      <c r="E226" s="2" t="s">
        <v>14</v>
      </c>
      <c r="F226" s="2" t="s">
        <v>15</v>
      </c>
      <c r="G226" s="2" t="s">
        <v>748</v>
      </c>
      <c r="H226" s="2" t="s">
        <v>83</v>
      </c>
      <c r="I226" s="2" t="str">
        <f>IFERROR(__xludf.DUMMYFUNCTION("GOOGLETRANSLATE(C226,""fr"",""en"")"),"We still find the prices very expensive, but for the moment it's okay. I don't really know what to add, but the customer service over the phone is very nice.")</f>
        <v>We still find the prices very expensive, but for the moment it's okay. I don't really know what to add, but the customer service over the phone is very nice.</v>
      </c>
    </row>
    <row r="227" ht="15.75" customHeight="1">
      <c r="A227" s="2">
        <v>1.0</v>
      </c>
      <c r="B227" s="2" t="s">
        <v>749</v>
      </c>
      <c r="C227" s="2" t="s">
        <v>750</v>
      </c>
      <c r="D227" s="2" t="s">
        <v>13</v>
      </c>
      <c r="E227" s="2" t="s">
        <v>14</v>
      </c>
      <c r="F227" s="2" t="s">
        <v>15</v>
      </c>
      <c r="G227" s="2" t="s">
        <v>751</v>
      </c>
      <c r="H227" s="2" t="s">
        <v>125</v>
      </c>
      <c r="I227" s="2" t="str">
        <f>IFERROR(__xludf.DUMMYFUNCTION("GOOGLETRANSLATE(C227,""fr"",""en"")"),"Direct insurance is the worst insurance not only is it expensive but the customer service is deplorable, the advisors speak French badly and do not take into account your requests basically to avoid!!")</f>
        <v>Direct insurance is the worst insurance not only is it expensive but the customer service is deplorable, the advisors speak French badly and do not take into account your requests basically to avoid!!</v>
      </c>
    </row>
    <row r="228" ht="15.75" customHeight="1">
      <c r="A228" s="2">
        <v>5.0</v>
      </c>
      <c r="B228" s="2" t="s">
        <v>752</v>
      </c>
      <c r="C228" s="2" t="s">
        <v>753</v>
      </c>
      <c r="D228" s="2" t="s">
        <v>28</v>
      </c>
      <c r="E228" s="2" t="s">
        <v>14</v>
      </c>
      <c r="F228" s="2" t="s">
        <v>15</v>
      </c>
      <c r="G228" s="2" t="s">
        <v>754</v>
      </c>
      <c r="H228" s="2" t="s">
        <v>30</v>
      </c>
      <c r="I228" s="2" t="str">
        <f>IFERROR(__xludf.DUMMYFUNCTION("GOOGLETRANSLATE(C228,""fr"",""en"")"),"Perfect I recommend it
Advice was very
Clear in his explanations.
Everything is
Perfect
?? 
")</f>
        <v>Perfect I recommend it
Advice was very
Clear in his explanations.
Everything is
Perfect
?? 
</v>
      </c>
    </row>
    <row r="229" ht="15.75" customHeight="1">
      <c r="A229" s="2">
        <v>5.0</v>
      </c>
      <c r="B229" s="2" t="s">
        <v>755</v>
      </c>
      <c r="C229" s="2" t="s">
        <v>756</v>
      </c>
      <c r="D229" s="2" t="s">
        <v>28</v>
      </c>
      <c r="E229" s="2" t="s">
        <v>14</v>
      </c>
      <c r="F229" s="2" t="s">
        <v>15</v>
      </c>
      <c r="G229" s="2" t="s">
        <v>757</v>
      </c>
      <c r="H229" s="2" t="s">
        <v>21</v>
      </c>
      <c r="I229" s="2" t="str">
        <f>IFERROR(__xludf.DUMMYFUNCTION("GOOGLETRANSLATE(C229,""fr"",""en"")"),"TOP THOUSAND THANKS professional call, top price, kindness and understanding of Samantha thank you for all good luck to you I would recommend your services, good to you")</f>
        <v>TOP THOUSAND THANKS professional call, top price, kindness and understanding of Samantha thank you for all good luck to you I would recommend your services, good to you</v>
      </c>
    </row>
    <row r="230" ht="15.75" customHeight="1">
      <c r="A230" s="2">
        <v>4.0</v>
      </c>
      <c r="B230" s="2" t="s">
        <v>758</v>
      </c>
      <c r="C230" s="2" t="s">
        <v>759</v>
      </c>
      <c r="D230" s="2" t="s">
        <v>128</v>
      </c>
      <c r="E230" s="2" t="s">
        <v>129</v>
      </c>
      <c r="F230" s="2" t="s">
        <v>15</v>
      </c>
      <c r="G230" s="2" t="s">
        <v>760</v>
      </c>
      <c r="H230" s="2" t="s">
        <v>111</v>
      </c>
      <c r="I230" s="2" t="str">
        <f>IFERROR(__xludf.DUMMYFUNCTION("GOOGLETRANSLATE(C230,""fr"",""en"")"),"Water damage following a pipe leak flush with the concrete slab was effectively dealt with. An expert came to probe with ultrasound and detect that the leak was running into the crawl space. An intervention took place immediately a few days apart and our "&amp;"installation is now healthy without any financial loss. Our wallpapers have been professionally changed. No criticism to make. The only unknown is the increase in the premium at the next due date.")</f>
        <v>Water damage following a pipe leak flush with the concrete slab was effectively dealt with. An expert came to probe with ultrasound and detect that the leak was running into the crawl space. An intervention took place immediately a few days apart and our installation is now healthy without any financial loss. Our wallpapers have been professionally changed. No criticism to make. The only unknown is the increase in the premium at the next due date.</v>
      </c>
    </row>
    <row r="231" ht="15.75" customHeight="1">
      <c r="A231" s="2">
        <v>4.0</v>
      </c>
      <c r="B231" s="2" t="s">
        <v>761</v>
      </c>
      <c r="C231" s="2" t="s">
        <v>762</v>
      </c>
      <c r="D231" s="2" t="s">
        <v>28</v>
      </c>
      <c r="E231" s="2" t="s">
        <v>14</v>
      </c>
      <c r="F231" s="2" t="s">
        <v>15</v>
      </c>
      <c r="G231" s="2" t="s">
        <v>83</v>
      </c>
      <c r="H231" s="2" t="s">
        <v>83</v>
      </c>
      <c r="I231" s="2" t="str">
        <f>IFERROR(__xludf.DUMMYFUNCTION("GOOGLETRANSLATE(C231,""fr"",""en"")"),"I am satisfied with the speed it took me to get insurance... the prices are good because I don't pay much... Simple and practical, it goes very quickly ")</f>
        <v>I am satisfied with the speed it took me to get insurance... the prices are good because I don't pay much... Simple and practical, it goes very quickly </v>
      </c>
    </row>
    <row r="232" ht="15.75" customHeight="1">
      <c r="A232" s="2">
        <v>1.0</v>
      </c>
      <c r="B232" s="2" t="s">
        <v>763</v>
      </c>
      <c r="C232" s="2" t="s">
        <v>764</v>
      </c>
      <c r="D232" s="2" t="s">
        <v>33</v>
      </c>
      <c r="E232" s="2" t="s">
        <v>129</v>
      </c>
      <c r="F232" s="2" t="s">
        <v>15</v>
      </c>
      <c r="G232" s="2" t="s">
        <v>765</v>
      </c>
      <c r="H232" s="2" t="s">
        <v>361</v>
      </c>
      <c r="I232" s="2" t="str">
        <f>IFERROR(__xludf.DUMMYFUNCTION("GOOGLETRANSLATE(C232,""fr"",""en"")"),"To flee    
Home and car insurance  
Even if the price is correct it does not at all correspond to reimbursement when you have a problem..   
My file is a novel, I strongly advise against this insurance, they make you go crazy... starting with the inst"&amp;"aller who is forcing you to put in anything and not the equivalent... ")</f>
        <v>To flee    
Home and car insurance  
Even if the price is correct it does not at all correspond to reimbursement when you have a problem..   
My file is a novel, I strongly advise against this insurance, they make you go crazy... starting with the installer who is forcing you to put in anything and not the equivalent... </v>
      </c>
    </row>
    <row r="233" ht="15.75" customHeight="1">
      <c r="A233" s="2">
        <v>5.0</v>
      </c>
      <c r="B233" s="2" t="s">
        <v>766</v>
      </c>
      <c r="C233" s="2" t="s">
        <v>767</v>
      </c>
      <c r="D233" s="2" t="s">
        <v>28</v>
      </c>
      <c r="E233" s="2" t="s">
        <v>14</v>
      </c>
      <c r="F233" s="2" t="s">
        <v>15</v>
      </c>
      <c r="G233" s="2" t="s">
        <v>768</v>
      </c>
      <c r="H233" s="2" t="s">
        <v>57</v>
      </c>
      <c r="I233" s="2" t="str">
        <f>IFERROR(__xludf.DUMMYFUNCTION("GOOGLETRANSLATE(C233,""fr"",""en"")"),"Attractive price for third-party car insurance.
It is very easy to subscribe.
The site is very pleasant and intuitive and exchanges via the personal space are easy.")</f>
        <v>Attractive price for third-party car insurance.
It is very easy to subscribe.
The site is very pleasant and intuitive and exchanges via the personal space are easy.</v>
      </c>
    </row>
    <row r="234" ht="15.75" customHeight="1">
      <c r="A234" s="2">
        <v>1.0</v>
      </c>
      <c r="B234" s="2" t="s">
        <v>769</v>
      </c>
      <c r="C234" s="2" t="s">
        <v>770</v>
      </c>
      <c r="D234" s="2" t="s">
        <v>28</v>
      </c>
      <c r="E234" s="2" t="s">
        <v>14</v>
      </c>
      <c r="F234" s="2" t="s">
        <v>15</v>
      </c>
      <c r="G234" s="2" t="s">
        <v>771</v>
      </c>
      <c r="H234" s="2" t="s">
        <v>256</v>
      </c>
      <c r="I234" s="2" t="str">
        <f>IFERROR(__xludf.DUMMYFUNCTION("GOOGLETRANSLATE(C234,""fr"",""en"")"),"Huge lie.
Interesting call price 1 year ago (50%Bonus for over 12 years.)
This year Rear triangular window glass broken. 105 euros excess to pay.
New premium INCREASED BY MORE THAN 60% without explanation???? Due to claims?
50% lifetime bonus and no liabi"&amp;"lity??? What exactly does that mean?")</f>
        <v>Huge lie.
Interesting call price 1 year ago (50%Bonus for over 12 years.)
This year Rear triangular window glass broken. 105 euros excess to pay.
New premium INCREASED BY MORE THAN 60% without explanation???? Due to claims?
50% lifetime bonus and no liability??? What exactly does that mean?</v>
      </c>
    </row>
    <row r="235" ht="15.75" customHeight="1">
      <c r="A235" s="2">
        <v>5.0</v>
      </c>
      <c r="B235" s="2" t="s">
        <v>772</v>
      </c>
      <c r="C235" s="2" t="s">
        <v>773</v>
      </c>
      <c r="D235" s="2" t="s">
        <v>28</v>
      </c>
      <c r="E235" s="2" t="s">
        <v>14</v>
      </c>
      <c r="F235" s="2" t="s">
        <v>15</v>
      </c>
      <c r="G235" s="2" t="s">
        <v>582</v>
      </c>
      <c r="H235" s="2" t="s">
        <v>17</v>
      </c>
      <c r="I235" s="2" t="str">
        <f>IFERROR(__xludf.DUMMYFUNCTION("GOOGLETRANSLATE(C235,""fr"",""en"")"),"Very satisfied with the prices as well as the quality of the call, the insurer was very friendly and attentive during our call and explained the different points of the contract very well ")</f>
        <v>Very satisfied with the prices as well as the quality of the call, the insurer was very friendly and attentive during our call and explained the different points of the contract very well </v>
      </c>
    </row>
    <row r="236" ht="15.75" customHeight="1">
      <c r="A236" s="2">
        <v>1.0</v>
      </c>
      <c r="B236" s="2" t="s">
        <v>774</v>
      </c>
      <c r="C236" s="2" t="s">
        <v>775</v>
      </c>
      <c r="D236" s="2" t="s">
        <v>254</v>
      </c>
      <c r="E236" s="2" t="s">
        <v>129</v>
      </c>
      <c r="F236" s="2" t="s">
        <v>15</v>
      </c>
      <c r="G236" s="2" t="s">
        <v>776</v>
      </c>
      <c r="H236" s="2" t="s">
        <v>83</v>
      </c>
      <c r="I236" s="2" t="str">
        <f>IFERROR(__xludf.DUMMYFUNCTION("GOOGLETRANSLATE(C236,""fr"",""en"")"),"In 20 years only two losses: small toilet leak and pair of children's glasses. 7000 euros is a lot to pay for 2 m2 of linoleum and a pair of glasses. I recently changed insurer and divided my contribution by 3 for exactly the same guarantees. Everything i"&amp;"s said. The MAIF flee!!!!")</f>
        <v>In 20 years only two losses: small toilet leak and pair of children's glasses. 7000 euros is a lot to pay for 2 m2 of linoleum and a pair of glasses. I recently changed insurer and divided my contribution by 3 for exactly the same guarantees. Everything is said. The MAIF flee!!!!</v>
      </c>
    </row>
    <row r="237" ht="15.75" customHeight="1">
      <c r="A237" s="2">
        <v>4.0</v>
      </c>
      <c r="B237" s="2" t="s">
        <v>777</v>
      </c>
      <c r="C237" s="2" t="s">
        <v>778</v>
      </c>
      <c r="D237" s="2" t="s">
        <v>13</v>
      </c>
      <c r="E237" s="2" t="s">
        <v>14</v>
      </c>
      <c r="F237" s="2" t="s">
        <v>15</v>
      </c>
      <c r="G237" s="2" t="s">
        <v>278</v>
      </c>
      <c r="H237" s="2" t="s">
        <v>71</v>
      </c>
      <c r="I237" s="2" t="str">
        <f>IFERROR(__xludf.DUMMYFUNCTION("GOOGLETRANSLATE(C237,""fr"",""en"")"),"good insurance by telephone, easy and practical access, availability of agents. good service in general
good readability of the contract with option to change")</f>
        <v>good insurance by telephone, easy and practical access, availability of agents. good service in general
good readability of the contract with option to change</v>
      </c>
    </row>
    <row r="238" ht="15.75" customHeight="1">
      <c r="A238" s="2">
        <v>5.0</v>
      </c>
      <c r="B238" s="2" t="s">
        <v>779</v>
      </c>
      <c r="C238" s="2" t="s">
        <v>780</v>
      </c>
      <c r="D238" s="2" t="s">
        <v>80</v>
      </c>
      <c r="E238" s="2" t="s">
        <v>81</v>
      </c>
      <c r="F238" s="2" t="s">
        <v>15</v>
      </c>
      <c r="G238" s="2" t="s">
        <v>781</v>
      </c>
      <c r="H238" s="2" t="s">
        <v>94</v>
      </c>
      <c r="I238" s="2" t="str">
        <f>IFERROR(__xludf.DUMMYFUNCTION("GOOGLETRANSLATE(C238,""fr"",""en"")"),"I am satisfied very affordable prices, super fast registration I really recommend this insurance and above all they are really very responsive when you have a problem ")</f>
        <v>I am satisfied very affordable prices, super fast registration I really recommend this insurance and above all they are really very responsive when you have a problem </v>
      </c>
    </row>
    <row r="239" ht="15.75" customHeight="1">
      <c r="A239" s="2">
        <v>1.0</v>
      </c>
      <c r="B239" s="2" t="s">
        <v>782</v>
      </c>
      <c r="C239" s="2" t="s">
        <v>783</v>
      </c>
      <c r="D239" s="2" t="s">
        <v>28</v>
      </c>
      <c r="E239" s="2" t="s">
        <v>14</v>
      </c>
      <c r="F239" s="2" t="s">
        <v>15</v>
      </c>
      <c r="G239" s="2" t="s">
        <v>784</v>
      </c>
      <c r="H239" s="2" t="s">
        <v>275</v>
      </c>
      <c r="I239" s="2" t="str">
        <f>IFERROR(__xludf.DUMMYFUNCTION("GOOGLETRANSLATE(C239,""fr"",""en"")"),"Customer service impossible to reach by phone. 3 times I tried my luck at different times of the day, each time 40 minutes of waiting, but in the end never giving advice on the phone!")</f>
        <v>Customer service impossible to reach by phone. 3 times I tried my luck at different times of the day, each time 40 minutes of waiting, but in the end never giving advice on the phone!</v>
      </c>
    </row>
    <row r="240" ht="15.75" customHeight="1">
      <c r="A240" s="2">
        <v>3.0</v>
      </c>
      <c r="B240" s="2" t="s">
        <v>785</v>
      </c>
      <c r="C240" s="2" t="s">
        <v>786</v>
      </c>
      <c r="D240" s="2" t="s">
        <v>326</v>
      </c>
      <c r="E240" s="2" t="s">
        <v>14</v>
      </c>
      <c r="F240" s="2" t="s">
        <v>15</v>
      </c>
      <c r="G240" s="2" t="s">
        <v>787</v>
      </c>
      <c r="H240" s="2" t="s">
        <v>35</v>
      </c>
      <c r="I240" s="2" t="str">
        <f>IFERROR(__xludf.DUMMYFUNCTION("GOOGLETRANSLATE(C240,""fr"",""en"")"),"little negotiation possible for contract prices
opacity of contract information
responsiveness during accidents or vehicle breakdowns
efficient emergency care service")</f>
        <v>little negotiation possible for contract prices
opacity of contract information
responsiveness during accidents or vehicle breakdowns
efficient emergency care service</v>
      </c>
    </row>
    <row r="241" ht="15.75" customHeight="1">
      <c r="A241" s="2">
        <v>1.0</v>
      </c>
      <c r="B241" s="2" t="s">
        <v>788</v>
      </c>
      <c r="C241" s="2" t="s">
        <v>789</v>
      </c>
      <c r="D241" s="2" t="s">
        <v>13</v>
      </c>
      <c r="E241" s="2" t="s">
        <v>14</v>
      </c>
      <c r="F241" s="2" t="s">
        <v>15</v>
      </c>
      <c r="G241" s="2" t="s">
        <v>790</v>
      </c>
      <c r="H241" s="2" t="s">
        <v>71</v>
      </c>
      <c r="I241" s="2" t="str">
        <f>IFERROR(__xludf.DUMMYFUNCTION("GOOGLETRANSLATE(C241,""fr"",""en"")"),"I take out car insurance with Direct insurance with ""steering wheel loan"" and then when I lend my steering wheel and there is a claim, I am charged €1,500 deductible. Obviously you are careful not to specify that it is It's a ""steering wheel loan with "&amp;"mandatory designation"" and then you come and tell me that it's written in the contract, drowned out by dozens of lines...
So soon I'll say goodbye to you!")</f>
        <v>I take out car insurance with Direct insurance with "steering wheel loan" and then when I lend my steering wheel and there is a claim, I am charged €1,500 deductible. Obviously you are careful not to specify that it is It's a "steering wheel loan with mandatory designation" and then you come and tell me that it's written in the contract, drowned out by dozens of lines...
So soon I'll say goodbye to you!</v>
      </c>
    </row>
    <row r="242" ht="15.75" customHeight="1">
      <c r="A242" s="2">
        <v>4.0</v>
      </c>
      <c r="B242" s="2" t="s">
        <v>791</v>
      </c>
      <c r="C242" s="2" t="s">
        <v>792</v>
      </c>
      <c r="D242" s="2" t="s">
        <v>28</v>
      </c>
      <c r="E242" s="2" t="s">
        <v>14</v>
      </c>
      <c r="F242" s="2" t="s">
        <v>15</v>
      </c>
      <c r="G242" s="2" t="s">
        <v>793</v>
      </c>
      <c r="H242" s="2" t="s">
        <v>111</v>
      </c>
      <c r="I242" s="2" t="str">
        <f>IFERROR(__xludf.DUMMYFUNCTION("GOOGLETRANSLATE(C242,""fr"",""en"")"),"Satisfied by the telephone relationship with the advisor who was able to explain in detail the purpose of the automobile contract he was offering me. The contract is reliable")</f>
        <v>Satisfied by the telephone relationship with the advisor who was able to explain in detail the purpose of the automobile contract he was offering me. The contract is reliable</v>
      </c>
    </row>
    <row r="243" ht="15.75" customHeight="1">
      <c r="A243" s="2">
        <v>2.0</v>
      </c>
      <c r="B243" s="2" t="s">
        <v>794</v>
      </c>
      <c r="C243" s="2" t="s">
        <v>795</v>
      </c>
      <c r="D243" s="2" t="s">
        <v>28</v>
      </c>
      <c r="E243" s="2" t="s">
        <v>14</v>
      </c>
      <c r="F243" s="2" t="s">
        <v>15</v>
      </c>
      <c r="G243" s="2" t="s">
        <v>796</v>
      </c>
      <c r="H243" s="2" t="s">
        <v>576</v>
      </c>
      <c r="I243" s="2" t="str">
        <f>IFERROR(__xludf.DUMMYFUNCTION("GOOGLETRANSLATE(C243,""fr"",""en"")"),"Here I am insured with Olivier Assurances and I had a non-responsible claim on 10/12/2019 the report was completed signed by both parties and sent the next day. I did everything possible to have my file taken care of (multiple calls, emails, etc.) to no a"&amp;"vail. Today 01/17/2020 status quo no response from them, my car has still not been seen by the expert and I continue to pay my installments however. So I went to ""UFC que chose "" and despite the call from the association advisor nothing moves and I'm re"&amp;"ally starting to lose my cool, this assurance is a shame!! You are looking for insurance, if you are offered L'olivier assurances, some advice: Run away!!! ")</f>
        <v>Here I am insured with Olivier Assurances and I had a non-responsible claim on 10/12/2019 the report was completed signed by both parties and sent the next day. I did everything possible to have my file taken care of (multiple calls, emails, etc.) to no avail. Today 01/17/2020 status quo no response from them, my car has still not been seen by the expert and I continue to pay my installments however. So I went to "UFC que chose " and despite the call from the association advisor nothing moves and I'm really starting to lose my cool, this assurance is a shame!! You are looking for insurance, if you are offered L'olivier assurances, some advice: Run away!!! </v>
      </c>
    </row>
    <row r="244" ht="15.75" customHeight="1">
      <c r="A244" s="2">
        <v>1.0</v>
      </c>
      <c r="B244" s="2" t="s">
        <v>797</v>
      </c>
      <c r="C244" s="2" t="s">
        <v>798</v>
      </c>
      <c r="D244" s="2" t="s">
        <v>799</v>
      </c>
      <c r="E244" s="2" t="s">
        <v>129</v>
      </c>
      <c r="F244" s="2" t="s">
        <v>15</v>
      </c>
      <c r="G244" s="2" t="s">
        <v>800</v>
      </c>
      <c r="H244" s="2" t="s">
        <v>133</v>
      </c>
      <c r="I244" s="2" t="str">
        <f>IFERROR(__xludf.DUMMYFUNCTION("GOOGLETRANSLATE(C244,""fr"",""en"")"),"Groupama may not be very expensive but as soon as you have a problem they leave you exhausted. amazing the exchanges I had with their services. they only talk about the conditions. nothing human. to flee.")</f>
        <v>Groupama may not be very expensive but as soon as you have a problem they leave you exhausted. amazing the exchanges I had with their services. they only talk about the conditions. nothing human. to flee.</v>
      </c>
    </row>
    <row r="245" ht="15.75" customHeight="1">
      <c r="A245" s="2">
        <v>3.0</v>
      </c>
      <c r="B245" s="2" t="s">
        <v>801</v>
      </c>
      <c r="C245" s="2" t="s">
        <v>802</v>
      </c>
      <c r="D245" s="2" t="s">
        <v>28</v>
      </c>
      <c r="E245" s="2" t="s">
        <v>14</v>
      </c>
      <c r="F245" s="2" t="s">
        <v>15</v>
      </c>
      <c r="G245" s="2" t="s">
        <v>602</v>
      </c>
      <c r="H245" s="2" t="s">
        <v>21</v>
      </c>
      <c r="I245" s="2" t="str">
        <f>IFERROR(__xludf.DUMMYFUNCTION("GOOGLETRANSLATE(C245,""fr"",""en"")"),"Good for a young driver, inexpensive to be worry-free with a bonus per year of 508 euros, great thank you, there is no problem with registration, even very fast and without contract worries.")</f>
        <v>Good for a young driver, inexpensive to be worry-free with a bonus per year of 508 euros, great thank you, there is no problem with registration, even very fast and without contract worries.</v>
      </c>
    </row>
    <row r="246" ht="15.75" customHeight="1">
      <c r="A246" s="2">
        <v>4.0</v>
      </c>
      <c r="B246" s="2" t="s">
        <v>803</v>
      </c>
      <c r="C246" s="2" t="s">
        <v>804</v>
      </c>
      <c r="D246" s="2" t="s">
        <v>13</v>
      </c>
      <c r="E246" s="2" t="s">
        <v>14</v>
      </c>
      <c r="F246" s="2" t="s">
        <v>15</v>
      </c>
      <c r="G246" s="2" t="s">
        <v>350</v>
      </c>
      <c r="H246" s="2" t="s">
        <v>83</v>
      </c>
      <c r="I246" s="2" t="str">
        <f>IFERROR(__xludf.DUMMYFUNCTION("GOOGLETRANSLATE(C246,""fr"",""en"")"),"I am satisfied with the service, the prices are reasonable and the application is easy to use, it is sometimes difficult to contact an advisor ")</f>
        <v>I am satisfied with the service, the prices are reasonable and the application is easy to use, it is sometimes difficult to contact an advisor </v>
      </c>
    </row>
    <row r="247" ht="15.75" customHeight="1">
      <c r="A247" s="2">
        <v>3.0</v>
      </c>
      <c r="B247" s="2" t="s">
        <v>805</v>
      </c>
      <c r="C247" s="2" t="s">
        <v>806</v>
      </c>
      <c r="D247" s="2" t="s">
        <v>80</v>
      </c>
      <c r="E247" s="2" t="s">
        <v>81</v>
      </c>
      <c r="F247" s="2" t="s">
        <v>15</v>
      </c>
      <c r="G247" s="2" t="s">
        <v>807</v>
      </c>
      <c r="H247" s="2" t="s">
        <v>46</v>
      </c>
      <c r="I247" s="2" t="str">
        <f>IFERROR(__xludf.DUMMYFUNCTION("GOOGLETRANSLATE(C247,""fr"",""en"")"),"Good for the interface for April and easy to fill in the boxes. It's simple fun.  No need to ask too many questions and nothing that leaves him in doubt ")</f>
        <v>Good for the interface for April and easy to fill in the boxes. It's simple fun.  No need to ask too many questions and nothing that leaves him in doubt </v>
      </c>
    </row>
    <row r="248" ht="15.75" customHeight="1">
      <c r="A248" s="2">
        <v>4.0</v>
      </c>
      <c r="B248" s="2" t="s">
        <v>808</v>
      </c>
      <c r="C248" s="2" t="s">
        <v>809</v>
      </c>
      <c r="D248" s="2" t="s">
        <v>80</v>
      </c>
      <c r="E248" s="2" t="s">
        <v>81</v>
      </c>
      <c r="F248" s="2" t="s">
        <v>15</v>
      </c>
      <c r="G248" s="2" t="s">
        <v>810</v>
      </c>
      <c r="H248" s="2" t="s">
        <v>21</v>
      </c>
      <c r="I248" s="2" t="str">
        <f>IFERROR(__xludf.DUMMYFUNCTION("GOOGLETRANSLATE(C248,""fr"",""en"")"),"Fast, remains to be seen in use. But the internet procedures are practical and simple. However, limited guarantees in relation to the price, if you are looking for a good QUALITY/PRICE ratio, do not hesitate!")</f>
        <v>Fast, remains to be seen in use. But the internet procedures are practical and simple. However, limited guarantees in relation to the price, if you are looking for a good QUALITY/PRICE ratio, do not hesitate!</v>
      </c>
    </row>
    <row r="249" ht="15.75" customHeight="1">
      <c r="A249" s="2">
        <v>5.0</v>
      </c>
      <c r="B249" s="2" t="s">
        <v>811</v>
      </c>
      <c r="C249" s="2" t="s">
        <v>812</v>
      </c>
      <c r="D249" s="2" t="s">
        <v>38</v>
      </c>
      <c r="E249" s="2" t="s">
        <v>39</v>
      </c>
      <c r="F249" s="2" t="s">
        <v>15</v>
      </c>
      <c r="G249" s="2" t="s">
        <v>813</v>
      </c>
      <c r="H249" s="2" t="s">
        <v>361</v>
      </c>
      <c r="I249" s="2" t="str">
        <f>IFERROR(__xludf.DUMMYFUNCTION("GOOGLETRANSLATE(C249,""fr"",""en"")"),"I admit that I don't really understand the negative reviews. I have used their services 3 times in 2 years: for a quote for teeth I received a response by email within 2 days, the reimbursement transfer for the invoice for my teeth was made to my account "&amp;"within 48 hours. I also called on them to pay my lawyer's fees for an intervention with the Industrial Court (legal assistance guarantee) and the payment was made very quickly to my lawyer. and the 3rd time for my surgeon's fees I have never had any probl"&amp;"ems with Neoliane, I highly recommend")</f>
        <v>I admit that I don't really understand the negative reviews. I have used their services 3 times in 2 years: for a quote for teeth I received a response by email within 2 days, the reimbursement transfer for the invoice for my teeth was made to my account within 48 hours. I also called on them to pay my lawyer's fees for an intervention with the Industrial Court (legal assistance guarantee) and the payment was made very quickly to my lawyer. and the 3rd time for my surgeon's fees I have never had any problems with Neoliane, I highly recommend</v>
      </c>
    </row>
    <row r="250" ht="15.75" customHeight="1">
      <c r="A250" s="2">
        <v>4.0</v>
      </c>
      <c r="B250" s="2" t="s">
        <v>814</v>
      </c>
      <c r="C250" s="2" t="s">
        <v>815</v>
      </c>
      <c r="D250" s="2" t="s">
        <v>28</v>
      </c>
      <c r="E250" s="2" t="s">
        <v>14</v>
      </c>
      <c r="F250" s="2" t="s">
        <v>15</v>
      </c>
      <c r="G250" s="2" t="s">
        <v>480</v>
      </c>
      <c r="H250" s="2" t="s">
        <v>46</v>
      </c>
      <c r="I250" s="2" t="str">
        <f>IFERROR(__xludf.DUMMYFUNCTION("GOOGLETRANSLATE(C250,""fr"",""en"")"),"I am very satisfied with my experience 
Everything has been explained clearly 
Friendly, welcoming and attentive person 
Well accompanied on the phone ")</f>
        <v>I am very satisfied with my experience 
Everything has been explained clearly 
Friendly, welcoming and attentive person 
Well accompanied on the phone </v>
      </c>
    </row>
    <row r="251" ht="15.75" customHeight="1">
      <c r="A251" s="2">
        <v>1.0</v>
      </c>
      <c r="B251" s="2" t="s">
        <v>816</v>
      </c>
      <c r="C251" s="2" t="s">
        <v>817</v>
      </c>
      <c r="D251" s="2" t="s">
        <v>190</v>
      </c>
      <c r="E251" s="2" t="s">
        <v>14</v>
      </c>
      <c r="F251" s="2" t="s">
        <v>15</v>
      </c>
      <c r="G251" s="2" t="s">
        <v>818</v>
      </c>
      <c r="H251" s="2" t="s">
        <v>328</v>
      </c>
      <c r="I251" s="2" t="str">
        <f>IFERROR(__xludf.DUMMYFUNCTION("GOOGLETRANSLATE(C251,""fr"",""en"")"),"In the event of a disaster, even if we are not responsible, they use the law very well with them and they compensate after 2 years so that we cannot go against them")</f>
        <v>In the event of a disaster, even if we are not responsible, they use the law very well with them and they compensate after 2 years so that we cannot go against them</v>
      </c>
    </row>
    <row r="252" ht="15.75" customHeight="1">
      <c r="A252" s="2">
        <v>5.0</v>
      </c>
      <c r="B252" s="2" t="s">
        <v>819</v>
      </c>
      <c r="C252" s="2" t="s">
        <v>820</v>
      </c>
      <c r="D252" s="2" t="s">
        <v>80</v>
      </c>
      <c r="E252" s="2" t="s">
        <v>81</v>
      </c>
      <c r="F252" s="2" t="s">
        <v>15</v>
      </c>
      <c r="G252" s="2" t="s">
        <v>821</v>
      </c>
      <c r="H252" s="2" t="s">
        <v>71</v>
      </c>
      <c r="I252" s="2" t="str">
        <f>IFERROR(__xludf.DUMMYFUNCTION("GOOGLETRANSLATE(C252,""fr"",""en"")"),"impeccable price for young driver, thank you for your trust and speed! the perfect solution to start the contract of trust. Very well done site.")</f>
        <v>impeccable price for young driver, thank you for your trust and speed! the perfect solution to start the contract of trust. Very well done site.</v>
      </c>
    </row>
    <row r="253" ht="15.75" customHeight="1">
      <c r="A253" s="2">
        <v>3.0</v>
      </c>
      <c r="B253" s="2" t="s">
        <v>822</v>
      </c>
      <c r="C253" s="2" t="s">
        <v>823</v>
      </c>
      <c r="D253" s="2" t="s">
        <v>89</v>
      </c>
      <c r="E253" s="2" t="s">
        <v>39</v>
      </c>
      <c r="F253" s="2" t="s">
        <v>15</v>
      </c>
      <c r="G253" s="2" t="s">
        <v>30</v>
      </c>
      <c r="H253" s="2" t="s">
        <v>30</v>
      </c>
      <c r="I253" s="2" t="str">
        <f>IFERROR(__xludf.DUMMYFUNCTION("GOOGLETRANSLATE(C253,""fr"",""en"")"),"Hospital treatment requested on April 10 for an urgent operation on April 14 is still not covered today and it is impossible to contact them!")</f>
        <v>Hospital treatment requested on April 10 for an urgent operation on April 14 is still not covered today and it is impossible to contact them!</v>
      </c>
    </row>
    <row r="254" ht="15.75" customHeight="1">
      <c r="A254" s="2">
        <v>4.0</v>
      </c>
      <c r="B254" s="2" t="s">
        <v>824</v>
      </c>
      <c r="C254" s="2" t="s">
        <v>825</v>
      </c>
      <c r="D254" s="2" t="s">
        <v>13</v>
      </c>
      <c r="E254" s="2" t="s">
        <v>14</v>
      </c>
      <c r="F254" s="2" t="s">
        <v>15</v>
      </c>
      <c r="G254" s="2" t="s">
        <v>826</v>
      </c>
      <c r="H254" s="2" t="s">
        <v>25</v>
      </c>
      <c r="I254" s="2" t="str">
        <f>IFERROR(__xludf.DUMMYFUNCTION("GOOGLETRANSLATE(C254,""fr"",""en"")"),"the prices are interesting and the guarantees are also very uninteresting
for vehicles at least for the house it was no more interesting than what I currently have ")</f>
        <v>the prices are interesting and the guarantees are also very uninteresting
for vehicles at least for the house it was no more interesting than what I currently have </v>
      </c>
    </row>
    <row r="255" ht="15.75" customHeight="1">
      <c r="A255" s="2">
        <v>2.0</v>
      </c>
      <c r="B255" s="2" t="s">
        <v>827</v>
      </c>
      <c r="C255" s="2" t="s">
        <v>828</v>
      </c>
      <c r="D255" s="2" t="s">
        <v>303</v>
      </c>
      <c r="E255" s="2" t="s">
        <v>14</v>
      </c>
      <c r="F255" s="2" t="s">
        <v>15</v>
      </c>
      <c r="G255" s="2" t="s">
        <v>829</v>
      </c>
      <c r="H255" s="2" t="s">
        <v>286</v>
      </c>
      <c r="I255" s="2" t="str">
        <f>IFERROR(__xludf.DUMMYFUNCTION("GOOGLETRANSLATE(C255,""fr"",""en"")"),"December 2018 water damage in my commercial premises an advance was made to me 2 months ago after regular phone calls and visits to the agency. Still not fully compensated 17 months later, very angry with the Macif. To avoid absolutely ")</f>
        <v>December 2018 water damage in my commercial premises an advance was made to me 2 months ago after regular phone calls and visits to the agency. Still not fully compensated 17 months later, very angry with the Macif. To avoid absolutely </v>
      </c>
    </row>
    <row r="256" ht="15.75" customHeight="1">
      <c r="A256" s="2">
        <v>1.0</v>
      </c>
      <c r="B256" s="2" t="s">
        <v>830</v>
      </c>
      <c r="C256" s="2" t="s">
        <v>831</v>
      </c>
      <c r="D256" s="2" t="s">
        <v>322</v>
      </c>
      <c r="E256" s="2" t="s">
        <v>14</v>
      </c>
      <c r="F256" s="2" t="s">
        <v>15</v>
      </c>
      <c r="G256" s="2" t="s">
        <v>832</v>
      </c>
      <c r="H256" s="2" t="s">
        <v>41</v>
      </c>
      <c r="I256" s="2" t="str">
        <f>IFERROR(__xludf.DUMMYFUNCTION("GOOGLETRANSLATE(C256,""fr"",""en"")"),"customer 289411. very disappointed with the customer service, close to non-existent. putting together the file was extremely complex, with constant requests for additional documents. sent numerous quotes which increased each time based on information from"&amp;" documents provided from the start. no response to the various emails, the telephone number provided for the customer does not give any information and we refer to the premium rate number for a possible response. after 15MN of communication, i.e. more tha"&amp;"n 12€, the file is finally finalized and above all they have found the amounts already paid. we pay the last payment requested. we must have an email giving us the code to validate the file and receive the green card....and since then access to the custom"&amp;"er account is no longer possible, and still no email....as for information by telephone....they don't know, maybe tomorrow this will work....great answer...but no one is unable to send me my green card despite paying all the amounts requested and sending "&amp;"the quote by email.
Unacceptable! This absolutely does not give confidence and to be honest, we wonder if we are dealing with a real insurance company.
how to drive without a green card
")</f>
        <v>customer 289411. very disappointed with the customer service, close to non-existent. putting together the file was extremely complex, with constant requests for additional documents. sent numerous quotes which increased each time based on information from documents provided from the start. no response to the various emails, the telephone number provided for the customer does not give any information and we refer to the premium rate number for a possible response. after 15MN of communication, i.e. more than 12€, the file is finally finalized and above all they have found the amounts already paid. we pay the last payment requested. we must have an email giving us the code to validate the file and receive the green card....and since then access to the customer account is no longer possible, and still no email....as for information by telephone....they don't know, maybe tomorrow this will work....great answer...but no one is unable to send me my green card despite paying all the amounts requested and sending the quote by email.
Unacceptable! This absolutely does not give confidence and to be honest, we wonder if we are dealing with a real insurance company.
how to drive without a green card
</v>
      </c>
    </row>
    <row r="257" ht="15.75" customHeight="1">
      <c r="A257" s="2">
        <v>3.0</v>
      </c>
      <c r="B257" s="2" t="s">
        <v>833</v>
      </c>
      <c r="C257" s="2" t="s">
        <v>834</v>
      </c>
      <c r="D257" s="2" t="s">
        <v>281</v>
      </c>
      <c r="E257" s="2" t="s">
        <v>39</v>
      </c>
      <c r="F257" s="2" t="s">
        <v>15</v>
      </c>
      <c r="G257" s="2" t="s">
        <v>835</v>
      </c>
      <c r="H257" s="2" t="s">
        <v>374</v>
      </c>
      <c r="I257" s="2" t="str">
        <f>IFERROR(__xludf.DUMMYFUNCTION("GOOGLETRANSLATE(C257,""fr"",""en"")"),"Lamentable!
No digital exchange: a missing piece: he sends you a paper letter to ask for it!!!!!
(Too crazy, in 2018!!!!!)
 You return this document IMMEDIATELY in PDF but the file does not move forward!
 the only response: ""we need 3 weeks to process"&amp;" your request...""
You are not kept informed of the progress of the file!!!!!
Bottom line: I've been with them for 3 months and I'm still waiting for my first refund!
")</f>
        <v>Lamentable!
No digital exchange: a missing piece: he sends you a paper letter to ask for it!!!!!
(Too crazy, in 2018!!!!!)
 You return this document IMMEDIATELY in PDF but the file does not move forward!
 the only response: "we need 3 weeks to process your request..."
You are not kept informed of the progress of the file!!!!!
Bottom line: I've been with them for 3 months and I'm still waiting for my first refund!
</v>
      </c>
    </row>
    <row r="258" ht="15.75" customHeight="1">
      <c r="A258" s="2">
        <v>3.0</v>
      </c>
      <c r="B258" s="2" t="s">
        <v>836</v>
      </c>
      <c r="C258" s="2" t="s">
        <v>837</v>
      </c>
      <c r="D258" s="2" t="s">
        <v>695</v>
      </c>
      <c r="E258" s="2" t="s">
        <v>50</v>
      </c>
      <c r="F258" s="2" t="s">
        <v>15</v>
      </c>
      <c r="G258" s="2" t="s">
        <v>838</v>
      </c>
      <c r="H258" s="2" t="s">
        <v>442</v>
      </c>
      <c r="I258" s="2" t="str">
        <f>IFERROR(__xludf.DUMMYFUNCTION("GOOGLETRANSLATE(C258,""fr"",""en"")"),"Hello, why does ECA not reimburse consultations or fees as stipulated in the contract? When you make the request and follow up by email, you knowingly receive a response alongside talking about the costs that were covered, as if the question was not under"&amp;"stood... Just like the famous free months promised during of membership ?????")</f>
        <v>Hello, why does ECA not reimburse consultations or fees as stipulated in the contract? When you make the request and follow up by email, you knowingly receive a response alongside talking about the costs that were covered, as if the question was not understood... Just like the famous free months promised during of membership ?????</v>
      </c>
    </row>
    <row r="259" ht="15.75" customHeight="1">
      <c r="A259" s="2">
        <v>1.0</v>
      </c>
      <c r="B259" s="2" t="s">
        <v>839</v>
      </c>
      <c r="C259" s="2" t="s">
        <v>840</v>
      </c>
      <c r="D259" s="2" t="s">
        <v>13</v>
      </c>
      <c r="E259" s="2" t="s">
        <v>14</v>
      </c>
      <c r="F259" s="2" t="s">
        <v>15</v>
      </c>
      <c r="G259" s="2" t="s">
        <v>841</v>
      </c>
      <c r="H259" s="2" t="s">
        <v>275</v>
      </c>
      <c r="I259" s="2" t="str">
        <f>IFERROR(__xludf.DUMMYFUNCTION("GOOGLETRANSLATE(C259,""fr"",""en"")"),"- Difficult to reach, a hassle! because of lack of organization in transferring calls. 
- Their price level is higher than the market contrary to what they advertise in the ADS.")</f>
        <v>- Difficult to reach, a hassle! because of lack of organization in transferring calls. 
- Their price level is higher than the market contrary to what they advertise in the ADS.</v>
      </c>
    </row>
    <row r="260" ht="15.75" customHeight="1">
      <c r="A260" s="2">
        <v>2.0</v>
      </c>
      <c r="B260" s="2" t="s">
        <v>842</v>
      </c>
      <c r="C260" s="2" t="s">
        <v>843</v>
      </c>
      <c r="D260" s="2" t="s">
        <v>120</v>
      </c>
      <c r="E260" s="2" t="s">
        <v>61</v>
      </c>
      <c r="F260" s="2" t="s">
        <v>15</v>
      </c>
      <c r="G260" s="2" t="s">
        <v>844</v>
      </c>
      <c r="H260" s="2" t="s">
        <v>576</v>
      </c>
      <c r="I260" s="2" t="str">
        <f>IFERROR(__xludf.DUMMYFUNCTION("GOOGLETRANSLATE(C260,""fr"",""en"")"),"Everyone is unreachable, I am waiting for the transfer of my grandmother's estate but nothing is happening, the money transfer is not happening, no one is answering emails or the phone. 
Is there anyone at Afer who could explain to me what is happening?")</f>
        <v>Everyone is unreachable, I am waiting for the transfer of my grandmother's estate but nothing is happening, the money transfer is not happening, no one is answering emails or the phone. 
Is there anyone at Afer who could explain to me what is happening?</v>
      </c>
    </row>
    <row r="261" ht="15.75" customHeight="1">
      <c r="A261" s="2">
        <v>1.0</v>
      </c>
      <c r="B261" s="2" t="s">
        <v>845</v>
      </c>
      <c r="C261" s="2" t="s">
        <v>846</v>
      </c>
      <c r="D261" s="2" t="s">
        <v>28</v>
      </c>
      <c r="E261" s="2" t="s">
        <v>14</v>
      </c>
      <c r="F261" s="2" t="s">
        <v>15</v>
      </c>
      <c r="G261" s="2" t="s">
        <v>847</v>
      </c>
      <c r="H261" s="2" t="s">
        <v>612</v>
      </c>
      <c r="I261" s="2" t="str">
        <f>IFERROR(__xludf.DUMMYFUNCTION("GOOGLETRANSLATE(C261,""fr"",""en"")"),"Excessively long processing time for requests: they take 3 to 4 days to respond to a simple email. The operations that you carry out in a few clicks with others at l'olivier can take months.")</f>
        <v>Excessively long processing time for requests: they take 3 to 4 days to respond to a simple email. The operations that you carry out in a few clicks with others at l'olivier can take months.</v>
      </c>
    </row>
    <row r="262" ht="15.75" customHeight="1">
      <c r="A262" s="2">
        <v>5.0</v>
      </c>
      <c r="B262" s="2" t="s">
        <v>848</v>
      </c>
      <c r="C262" s="2" t="s">
        <v>849</v>
      </c>
      <c r="D262" s="2" t="s">
        <v>13</v>
      </c>
      <c r="E262" s="2" t="s">
        <v>14</v>
      </c>
      <c r="F262" s="2" t="s">
        <v>15</v>
      </c>
      <c r="G262" s="2" t="s">
        <v>850</v>
      </c>
      <c r="H262" s="2" t="s">
        <v>111</v>
      </c>
      <c r="I262" s="2" t="str">
        <f>IFERROR(__xludf.DUMMYFUNCTION("GOOGLETRANSLATE(C262,""fr"",""en"")"),"I am satisfied with the service, the prices suit me, the service seems fast and serious. I highly recommend this insurance. The price level is really affordable.
")</f>
        <v>I am satisfied with the service, the prices suit me, the service seems fast and serious. I highly recommend this insurance. The price level is really affordable.
</v>
      </c>
    </row>
    <row r="263" ht="15.75" customHeight="1">
      <c r="A263" s="2">
        <v>4.0</v>
      </c>
      <c r="B263" s="2" t="s">
        <v>851</v>
      </c>
      <c r="C263" s="2" t="s">
        <v>852</v>
      </c>
      <c r="D263" s="2" t="s">
        <v>13</v>
      </c>
      <c r="E263" s="2" t="s">
        <v>14</v>
      </c>
      <c r="F263" s="2" t="s">
        <v>15</v>
      </c>
      <c r="G263" s="2" t="s">
        <v>25</v>
      </c>
      <c r="H263" s="2" t="s">
        <v>25</v>
      </c>
      <c r="I263" s="2" t="str">
        <f>IFERROR(__xludf.DUMMYFUNCTION("GOOGLETRANSLATE(C263,""fr"",""en"")"),"The prices offered remain a little high even if they are significantly lower than those that competitors can offer for the same guarantees. Overall satisfied")</f>
        <v>The prices offered remain a little high even if they are significantly lower than those that competitors can offer for the same guarantees. Overall satisfied</v>
      </c>
    </row>
    <row r="264" ht="15.75" customHeight="1">
      <c r="A264" s="2">
        <v>1.0</v>
      </c>
      <c r="B264" s="2" t="s">
        <v>853</v>
      </c>
      <c r="C264" s="2" t="s">
        <v>854</v>
      </c>
      <c r="D264" s="2" t="s">
        <v>120</v>
      </c>
      <c r="E264" s="2" t="s">
        <v>61</v>
      </c>
      <c r="F264" s="2" t="s">
        <v>15</v>
      </c>
      <c r="G264" s="2" t="s">
        <v>855</v>
      </c>
      <c r="H264" s="2" t="s">
        <v>216</v>
      </c>
      <c r="I264" s="2" t="str">
        <f>IFERROR(__xludf.DUMMYFUNCTION("GOOGLETRANSLATE(C264,""fr"",""en"")"),"Afer society to flee. No follow-up of the file, no response to questions, no delay in recovering your money. These are pikes, nothing more and nothing less. Member since October I have only had problems with afer. I do not recommend this company at all")</f>
        <v>Afer society to flee. No follow-up of the file, no response to questions, no delay in recovering your money. These are pikes, nothing more and nothing less. Member since October I have only had problems with afer. I do not recommend this company at all</v>
      </c>
    </row>
    <row r="265" ht="15.75" customHeight="1">
      <c r="A265" s="2">
        <v>1.0</v>
      </c>
      <c r="B265" s="2" t="s">
        <v>856</v>
      </c>
      <c r="C265" s="2" t="s">
        <v>857</v>
      </c>
      <c r="D265" s="2" t="s">
        <v>190</v>
      </c>
      <c r="E265" s="2" t="s">
        <v>129</v>
      </c>
      <c r="F265" s="2" t="s">
        <v>15</v>
      </c>
      <c r="G265" s="2" t="s">
        <v>858</v>
      </c>
      <c r="H265" s="2" t="s">
        <v>35</v>
      </c>
      <c r="I265" s="2" t="str">
        <f>IFERROR(__xludf.DUMMYFUNCTION("GOOGLETRANSLATE(C265,""fr"",""en"")"),"Untreated claim (door broken after break-in) after two and a half months No processing letter from the GMF even after my follow-up. Proposal after the visit of an expert to leave the door for a day to repair it in the workshop ( without replacing it) with"&amp;" an outside temperature of -5 and two children at home! truly shameful and in complete contradiction with the certainly human countryside....")</f>
        <v>Untreated claim (door broken after break-in) after two and a half months No processing letter from the GMF even after my follow-up. Proposal after the visit of an expert to leave the door for a day to repair it in the workshop ( without replacing it) with an outside temperature of -5 and two children at home! truly shameful and in complete contradiction with the certainly human countryside....</v>
      </c>
    </row>
    <row r="266" ht="15.75" customHeight="1">
      <c r="A266" s="2">
        <v>1.0</v>
      </c>
      <c r="B266" s="2" t="s">
        <v>859</v>
      </c>
      <c r="C266" s="2" t="s">
        <v>860</v>
      </c>
      <c r="D266" s="2" t="s">
        <v>44</v>
      </c>
      <c r="E266" s="2" t="s">
        <v>101</v>
      </c>
      <c r="F266" s="2" t="s">
        <v>15</v>
      </c>
      <c r="G266" s="2" t="s">
        <v>861</v>
      </c>
      <c r="H266" s="2" t="s">
        <v>35</v>
      </c>
      <c r="I266" s="2" t="str">
        <f>IFERROR(__xludf.DUMMYFUNCTION("GOOGLETRANSLATE(C266,""fr"",""en"")"),"I find the customer service very poor because for the past 1 month, I have still not been able to find someone who can answer my questions about the repurchase of my credit by another bank!!!
For several weeks, I have been trying to find someone capable o"&amp;"f giving me answers.
Here are the actions carried out since the end of December:
- Send email for information 12/26/2016
- Response to my request on January 4, 2017
directing me to 04 72 36 75 01
- Call 04 72 36 75 01 on January 11, January 17, January 18"&amp;", January 20, January 23
Impossible to get a person (Waiting time at least 15 minutes)! As a working person, I can't spend my life listening to your answering machine...
- Call from 04 72 36 75 01 on January 30
I am asked to contact 04 72 36 75 01 again a"&amp;"nd ask for a specific person (without knowing why)
- So I ask for this person, this time I am asked to call 09 74 50 20 20
I call this number and PAF! Person!! I am asked to move towards the insured space!!!! The organization is incomprehensible.
- So, I "&amp;"contact 04 26 29 36 48
I am asked to call back because no advisor available!!!
Simply incredible! for almost a month, I haven't been able to get anyone to answer my questions???
If this continues like this, it is very simple for me, I will stop paying m"&amp;"y loan insurance contract and I will look elsewhere!
I'm seriously starting to lose my patience.
It is unacceptable to provide such poor service (not to mention the wasted time)!!
If you do not wish to serve me, then just say so! It is not complicated to"&amp;" go elsewhere....")</f>
        <v>I find the customer service very poor because for the past 1 month, I have still not been able to find someone who can answer my questions about the repurchase of my credit by another bank!!!
For several weeks, I have been trying to find someone capable of giving me answers.
Here are the actions carried out since the end of December:
- Send email for information 12/26/2016
- Response to my request on January 4, 2017
directing me to 04 72 36 75 01
- Call 04 72 36 75 01 on January 11, January 17, January 18, January 20, January 23
Impossible to get a person (Waiting time at least 15 minutes)! As a working person, I can't spend my life listening to your answering machine...
- Call from 04 72 36 75 01 on January 30
I am asked to contact 04 72 36 75 01 again and ask for a specific person (without knowing why)
- So I ask for this person, this time I am asked to call 09 74 50 20 20
I call this number and PAF! Person!! I am asked to move towards the insured space!!!! The organization is incomprehensible.
- So, I contact 04 26 29 36 48
I am asked to call back because no advisor available!!!
Simply incredible! for almost a month, I haven't been able to get anyone to answer my questions???
If this continues like this, it is very simple for me, I will stop paying my loan insurance contract and I will look elsewhere!
I'm seriously starting to lose my patience.
It is unacceptable to provide such poor service (not to mention the wasted time)!!
If you do not wish to serve me, then just say so! It is not complicated to go elsewhere....</v>
      </c>
    </row>
    <row r="267" ht="15.75" customHeight="1">
      <c r="A267" s="2">
        <v>2.0</v>
      </c>
      <c r="B267" s="2" t="s">
        <v>862</v>
      </c>
      <c r="C267" s="2" t="s">
        <v>863</v>
      </c>
      <c r="D267" s="2" t="s">
        <v>38</v>
      </c>
      <c r="E267" s="2" t="s">
        <v>39</v>
      </c>
      <c r="F267" s="2" t="s">
        <v>15</v>
      </c>
      <c r="G267" s="2" t="s">
        <v>864</v>
      </c>
      <c r="H267" s="2" t="s">
        <v>248</v>
      </c>
      <c r="I267" s="2" t="str">
        <f>IFERROR(__xludf.DUMMYFUNCTION("GOOGLETRANSLATE(C267,""fr"",""en"")"),"Poorly competent mutual fund, late reimbursements, little uncertainty about reimbursements, the people you speak to are not very competent, barely know the files, why should you trust this type of mutual fund? ")</f>
        <v>Poorly competent mutual fund, late reimbursements, little uncertainty about reimbursements, the people you speak to are not very competent, barely know the files, why should you trust this type of mutual fund? </v>
      </c>
    </row>
    <row r="268" ht="15.75" customHeight="1">
      <c r="A268" s="2">
        <v>2.0</v>
      </c>
      <c r="B268" s="2" t="s">
        <v>865</v>
      </c>
      <c r="C268" s="2" t="s">
        <v>866</v>
      </c>
      <c r="D268" s="2" t="s">
        <v>281</v>
      </c>
      <c r="E268" s="2" t="s">
        <v>39</v>
      </c>
      <c r="F268" s="2" t="s">
        <v>15</v>
      </c>
      <c r="G268" s="2" t="s">
        <v>867</v>
      </c>
      <c r="H268" s="2" t="s">
        <v>557</v>
      </c>
      <c r="I268" s="2" t="str">
        <f>IFERROR(__xludf.DUMMYFUNCTION("GOOGLETRANSLATE(C268,""fr"",""en"")"),"Following a very significant change in my eyesight, I ask if there will be support (given the fact that I changed my lenses less than 24 months ago)
8 weeks later, no response, other than an email and a phone call to tell me that my request was received. "&amp;"Classic attitude in this type of structure (bank, insurance, etc.) 
Advice for young people starting their professional career. Do not join a mutual health insurance fund, but place the amount of the contribution each month in a special account. You will "&amp;"notice that this very quickly represents a significant sum which will allow you to cover the costs not reimbursed by social security.")</f>
        <v>Following a very significant change in my eyesight, I ask if there will be support (given the fact that I changed my lenses less than 24 months ago)
8 weeks later, no response, other than an email and a phone call to tell me that my request was received. Classic attitude in this type of structure (bank, insurance, etc.) 
Advice for young people starting their professional career. Do not join a mutual health insurance fund, but place the amount of the contribution each month in a special account. You will notice that this very quickly represents a significant sum which will allow you to cover the costs not reimbursed by social security.</v>
      </c>
    </row>
    <row r="269" ht="15.75" customHeight="1">
      <c r="A269" s="2">
        <v>3.0</v>
      </c>
      <c r="B269" s="2" t="s">
        <v>868</v>
      </c>
      <c r="C269" s="2" t="s">
        <v>869</v>
      </c>
      <c r="D269" s="2" t="s">
        <v>28</v>
      </c>
      <c r="E269" s="2" t="s">
        <v>14</v>
      </c>
      <c r="F269" s="2" t="s">
        <v>15</v>
      </c>
      <c r="G269" s="2" t="s">
        <v>268</v>
      </c>
      <c r="H269" s="2" t="s">
        <v>111</v>
      </c>
      <c r="I269" s="2" t="str">
        <f>IFERROR(__xludf.DUMMYFUNCTION("GOOGLETRANSLATE(C269,""fr"",""en"")"),"I find it strange to ask for an opinion before the contract even starts.
The subscription is impeccable, for the rest, give me time to see what it is.
THANKS")</f>
        <v>I find it strange to ask for an opinion before the contract even starts.
The subscription is impeccable, for the rest, give me time to see what it is.
THANKS</v>
      </c>
    </row>
    <row r="270" ht="15.75" customHeight="1">
      <c r="A270" s="2">
        <v>2.0</v>
      </c>
      <c r="B270" s="2" t="s">
        <v>870</v>
      </c>
      <c r="C270" s="2" t="s">
        <v>871</v>
      </c>
      <c r="D270" s="2" t="s">
        <v>254</v>
      </c>
      <c r="E270" s="2" t="s">
        <v>129</v>
      </c>
      <c r="F270" s="2" t="s">
        <v>15</v>
      </c>
      <c r="G270" s="2" t="s">
        <v>872</v>
      </c>
      <c r="H270" s="2" t="s">
        <v>347</v>
      </c>
      <c r="I270" s="2" t="str">
        <f>IFERROR(__xludf.DUMMYFUNCTION("GOOGLETRANSLATE(C270,""fr"",""en"")"),"Victim of water damage to the ceiling of the entrance and living room in 2014 (explosion of a radiator on the upper floor) I reported in mid-2016 that the repair made after a long drying time did not hold up in the entrance.The approved repairer comes bac"&amp;"k in the fall and tells me that he will see about it with Maif; I point out to him that the result at the salon is also very ugly. Without any news, I contact the maif (in June 2017) who tells me that the file is closed; what I am surprised about;  in Oct"&amp;"ober, after having insisted, the MAIF confirmed to me that the repairer would have told me that it was structural and that there was nothing more to do. My next letter in October reminds the maif that I am an assured activist and (WELL) contributor for ha"&amp;"lf a century, without major problem; and, that the authorized repairer was paid for ineffective work. In November, I was told that my file would be re-examined. Since silence. In summary: I have been insured (!?) for 50 years, I am a victim, the approved "&amp;"agent has been paid and the plaster on my ceiling is broken. My situation is therefore that of an uninsured person. There is a real problem...As for my activism as a Maifien insured, it won't go very far!!!")</f>
        <v>Victim of water damage to the ceiling of the entrance and living room in 2014 (explosion of a radiator on the upper floor) I reported in mid-2016 that the repair made after a long drying time did not hold up in the entrance.The approved repairer comes back in the fall and tells me that he will see about it with Maif; I point out to him that the result at the salon is also very ugly. Without any news, I contact the maif (in June 2017) who tells me that the file is closed; what I am surprised about;  in October, after having insisted, the MAIF confirmed to me that the repairer would have told me that it was structural and that there was nothing more to do. My next letter in October reminds the maif that I am an assured activist and (WELL) contributor for half a century, without major problem; and, that the authorized repairer was paid for ineffective work. In November, I was told that my file would be re-examined. Since silence. In summary: I have been insured (!?) for 50 years, I am a victim, the approved agent has been paid and the plaster on my ceiling is broken. My situation is therefore that of an uninsured person. There is a real problem...As for my activism as a Maifien insured, it won't go very far!!!</v>
      </c>
    </row>
    <row r="271" ht="15.75" customHeight="1">
      <c r="A271" s="2">
        <v>3.0</v>
      </c>
      <c r="B271" s="2" t="s">
        <v>873</v>
      </c>
      <c r="C271" s="2" t="s">
        <v>874</v>
      </c>
      <c r="D271" s="2" t="s">
        <v>875</v>
      </c>
      <c r="E271" s="2" t="s">
        <v>50</v>
      </c>
      <c r="F271" s="2" t="s">
        <v>15</v>
      </c>
      <c r="G271" s="2" t="s">
        <v>876</v>
      </c>
      <c r="H271" s="2" t="s">
        <v>343</v>
      </c>
      <c r="I271" s="2" t="str">
        <f>IFERROR(__xludf.DUMMYFUNCTION("GOOGLETRANSLATE(C271,""fr"",""en"")"),"lack of clarity in the exclusions of which my dog ​​was a part congenital illness expenses 2000 euros reimbursement 0. I would have done better to place the monthly payments in an account it would have been much more advantageous. I try another insurance "&amp;"that offers GPS The chow chow breed is runaway  ")</f>
        <v>lack of clarity in the exclusions of which my dog ​​was a part congenital illness expenses 2000 euros reimbursement 0. I would have done better to place the monthly payments in an account it would have been much more advantageous. I try another insurance that offers GPS The chow chow breed is runaway  </v>
      </c>
    </row>
    <row r="272" ht="15.75" customHeight="1">
      <c r="A272" s="2">
        <v>5.0</v>
      </c>
      <c r="B272" s="2" t="s">
        <v>877</v>
      </c>
      <c r="C272" s="2" t="s">
        <v>878</v>
      </c>
      <c r="D272" s="2" t="s">
        <v>190</v>
      </c>
      <c r="E272" s="2" t="s">
        <v>14</v>
      </c>
      <c r="F272" s="2" t="s">
        <v>15</v>
      </c>
      <c r="G272" s="2" t="s">
        <v>879</v>
      </c>
      <c r="H272" s="2" t="s">
        <v>71</v>
      </c>
      <c r="I272" s="2" t="str">
        <f>IFERROR(__xludf.DUMMYFUNCTION("GOOGLETRANSLATE(C272,""fr"",""en"")"),"Everything is perfect. Just the conditions for a replacement vehicle not adapted to the type of breakdown and immobilization of the vehicle.
The range of approved rental companies is low in rural areas. ")</f>
        <v>Everything is perfect. Just the conditions for a replacement vehicle not adapted to the type of breakdown and immobilization of the vehicle.
The range of approved rental companies is low in rural areas. </v>
      </c>
    </row>
    <row r="273" ht="15.75" customHeight="1">
      <c r="A273" s="2">
        <v>4.0</v>
      </c>
      <c r="B273" s="2" t="s">
        <v>880</v>
      </c>
      <c r="C273" s="2" t="s">
        <v>881</v>
      </c>
      <c r="D273" s="2" t="s">
        <v>80</v>
      </c>
      <c r="E273" s="2" t="s">
        <v>81</v>
      </c>
      <c r="F273" s="2" t="s">
        <v>15</v>
      </c>
      <c r="G273" s="2" t="s">
        <v>487</v>
      </c>
      <c r="H273" s="2" t="s">
        <v>30</v>
      </c>
      <c r="I273" s="2" t="str">
        <f>IFERROR(__xludf.DUMMYFUNCTION("GOOGLETRANSLATE(C273,""fr"",""en"")"),"Great options and competitive prices
Significant changes to options to suit our needs
10% AIPP also appreciated
The ARGUS +15% value refund guarantee can be valuable
")</f>
        <v>Great options and competitive prices
Significant changes to options to suit our needs
10% AIPP also appreciated
The ARGUS +15% value refund guarantee can be valuable
</v>
      </c>
    </row>
    <row r="274" ht="15.75" customHeight="1">
      <c r="A274" s="2">
        <v>1.0</v>
      </c>
      <c r="B274" s="2" t="s">
        <v>882</v>
      </c>
      <c r="C274" s="2" t="s">
        <v>883</v>
      </c>
      <c r="D274" s="2" t="s">
        <v>136</v>
      </c>
      <c r="E274" s="2" t="s">
        <v>137</v>
      </c>
      <c r="F274" s="2" t="s">
        <v>15</v>
      </c>
      <c r="G274" s="2" t="s">
        <v>884</v>
      </c>
      <c r="H274" s="2" t="s">
        <v>67</v>
      </c>
      <c r="I274" s="2" t="str">
        <f>IFERROR(__xludf.DUMMYFUNCTION("GOOGLETRANSLATE(C274,""fr"",""en"")"),"Insurance not paid since March 8, 2020 they apologize for not having the documents relating to my stoppage including a covid paper which is unnecessary because I have been on leave since 12/30/20. All the documents were sent both by me and my employer but"&amp;" of course their site does not send you any acknowledgment and leaves no trace, which suits them well. It will end up in court next step LRAR. ")</f>
        <v>Insurance not paid since March 8, 2020 they apologize for not having the documents relating to my stoppage including a covid paper which is unnecessary because I have been on leave since 12/30/20. All the documents were sent both by me and my employer but of course their site does not send you any acknowledgment and leaves no trace, which suits them well. It will end up in court next step LRAR. </v>
      </c>
    </row>
    <row r="275" ht="15.75" customHeight="1">
      <c r="A275" s="2">
        <v>5.0</v>
      </c>
      <c r="B275" s="2" t="s">
        <v>885</v>
      </c>
      <c r="C275" s="2" t="s">
        <v>886</v>
      </c>
      <c r="D275" s="2" t="s">
        <v>38</v>
      </c>
      <c r="E275" s="2" t="s">
        <v>39</v>
      </c>
      <c r="F275" s="2" t="s">
        <v>15</v>
      </c>
      <c r="G275" s="2" t="s">
        <v>738</v>
      </c>
      <c r="H275" s="2" t="s">
        <v>46</v>
      </c>
      <c r="I275" s="2" t="str">
        <f>IFERROR(__xludf.DUMMYFUNCTION("GOOGLETRANSLATE(C275,""fr"",""en"")"),"I had an advisor named WIDAD, a very kind person who informed me well with a lot of kindness and very good, clear and precise explanations. Thank you for that ")</f>
        <v>I had an advisor named WIDAD, a very kind person who informed me well with a lot of kindness and very good, clear and precise explanations. Thank you for that </v>
      </c>
    </row>
    <row r="276" ht="15.75" customHeight="1">
      <c r="A276" s="2">
        <v>1.0</v>
      </c>
      <c r="B276" s="2" t="s">
        <v>887</v>
      </c>
      <c r="C276" s="2" t="s">
        <v>888</v>
      </c>
      <c r="D276" s="2" t="s">
        <v>394</v>
      </c>
      <c r="E276" s="2" t="s">
        <v>129</v>
      </c>
      <c r="F276" s="2" t="s">
        <v>15</v>
      </c>
      <c r="G276" s="2" t="s">
        <v>889</v>
      </c>
      <c r="H276" s="2" t="s">
        <v>181</v>
      </c>
      <c r="I276" s="2" t="str">
        <f>IFERROR(__xludf.DUMMYFUNCTION("GOOGLETRANSLATE(C276,""fr"",""en"")"),"Does not keep its commitments or legal repayment deadlines. I am in conflict with them and I have recourse to a lawyer specializing in insurance law with undoubtedly a procedure involved and therefore significant costs")</f>
        <v>Does not keep its commitments or legal repayment deadlines. I am in conflict with them and I have recourse to a lawyer specializing in insurance law with undoubtedly a procedure involved and therefore significant costs</v>
      </c>
    </row>
    <row r="277" ht="15.75" customHeight="1">
      <c r="A277" s="2">
        <v>4.0</v>
      </c>
      <c r="B277" s="2" t="s">
        <v>890</v>
      </c>
      <c r="C277" s="2" t="s">
        <v>891</v>
      </c>
      <c r="D277" s="2" t="s">
        <v>28</v>
      </c>
      <c r="E277" s="2" t="s">
        <v>14</v>
      </c>
      <c r="F277" s="2" t="s">
        <v>15</v>
      </c>
      <c r="G277" s="2" t="s">
        <v>892</v>
      </c>
      <c r="H277" s="2" t="s">
        <v>46</v>
      </c>
      <c r="I277" s="2" t="str">
        <f>IFERROR(__xludf.DUMMYFUNCTION("GOOGLETRANSLATE(C277,""fr"",""en"")"),"I am more or less satisfied but a little expensive price level customer service nothing to say perfect we will see in terms of accidents if the service is competent")</f>
        <v>I am more or less satisfied but a little expensive price level customer service nothing to say perfect we will see in terms of accidents if the service is competent</v>
      </c>
    </row>
    <row r="278" ht="15.75" customHeight="1">
      <c r="A278" s="2">
        <v>2.0</v>
      </c>
      <c r="B278" s="2" t="s">
        <v>893</v>
      </c>
      <c r="C278" s="2" t="s">
        <v>894</v>
      </c>
      <c r="D278" s="2" t="s">
        <v>145</v>
      </c>
      <c r="E278" s="2" t="s">
        <v>81</v>
      </c>
      <c r="F278" s="2" t="s">
        <v>15</v>
      </c>
      <c r="G278" s="2" t="s">
        <v>895</v>
      </c>
      <c r="H278" s="2" t="s">
        <v>83</v>
      </c>
      <c r="I278" s="2" t="str">
        <f>IFERROR(__xludf.DUMMYFUNCTION("GOOGLETRANSLATE(C278,""fr"",""en"")"),"I was insured with Maaf for 11 years without claims, I sold my motorcycle and therefore canceled my insurance 3 years and 2 months ago.
Last week I contacted them for a quote.
Following this quote, I reserve my motorcycle and contact them again to take ou"&amp;"t insurance, this the day before collecting my motorcycle.
I come across someone who lets me understand that the first person made a mistake and that they can no longer assure me.
That my bonus is kept for 3 years and that since the 3 years have passed th"&amp;"ey switch to my auto bonus and since this one is at 1.08, they cannot offer me anything.
I was unable to purchase my motorcycle due to their mistake and lost my deposit.
What a lack of seriousness, very disappointing.")</f>
        <v>I was insured with Maaf for 11 years without claims, I sold my motorcycle and therefore canceled my insurance 3 years and 2 months ago.
Last week I contacted them for a quote.
Following this quote, I reserve my motorcycle and contact them again to take out insurance, this the day before collecting my motorcycle.
I come across someone who lets me understand that the first person made a mistake and that they can no longer assure me.
That my bonus is kept for 3 years and that since the 3 years have passed they switch to my auto bonus and since this one is at 1.08, they cannot offer me anything.
I was unable to purchase my motorcycle due to their mistake and lost my deposit.
What a lack of seriousness, very disappointing.</v>
      </c>
    </row>
    <row r="279" ht="15.75" customHeight="1">
      <c r="A279" s="2">
        <v>3.0</v>
      </c>
      <c r="B279" s="2" t="s">
        <v>896</v>
      </c>
      <c r="C279" s="2" t="s">
        <v>897</v>
      </c>
      <c r="D279" s="2" t="s">
        <v>38</v>
      </c>
      <c r="E279" s="2" t="s">
        <v>39</v>
      </c>
      <c r="F279" s="2" t="s">
        <v>15</v>
      </c>
      <c r="G279" s="2" t="s">
        <v>898</v>
      </c>
      <c r="H279" s="2" t="s">
        <v>899</v>
      </c>
      <c r="I279" s="2" t="str">
        <f>IFERROR(__xludf.DUMMYFUNCTION("GOOGLETRANSLATE(C279,""fr"",""en"")"),"Following my post of November 27 at 2:11 a.m. bibi3008 I inform you that I won my case confirmed by email from Santiane the broker who canceled the contract and reimbursed me for the sums paid since June 2017. Thanks to opinion assurances who helped me he"&amp;"lped in my dispute")</f>
        <v>Following my post of November 27 at 2:11 a.m. bibi3008 I inform you that I won my case confirmed by email from Santiane the broker who canceled the contract and reimbursed me for the sums paid since June 2017. Thanks to opinion assurances who helped me helped in my dispute</v>
      </c>
    </row>
    <row r="280" ht="15.75" customHeight="1">
      <c r="A280" s="2">
        <v>1.0</v>
      </c>
      <c r="B280" s="2" t="s">
        <v>900</v>
      </c>
      <c r="C280" s="2" t="s">
        <v>901</v>
      </c>
      <c r="D280" s="2" t="s">
        <v>60</v>
      </c>
      <c r="E280" s="2" t="s">
        <v>61</v>
      </c>
      <c r="F280" s="2" t="s">
        <v>15</v>
      </c>
      <c r="G280" s="2" t="s">
        <v>902</v>
      </c>
      <c r="H280" s="2" t="s">
        <v>576</v>
      </c>
      <c r="I280" s="2" t="str">
        <f>IFERROR(__xludf.DUMMYFUNCTION("GOOGLETRANSLATE(C280,""fr"",""en"")"),"with 7 contracts, 6 are and were seriously tainted - non-full repayment, legal interest forgotten, contract opened and closed we still do not know why, advanced rates of return not held (start 4.25 end 1.25), capital robbed of 50%")</f>
        <v>with 7 contracts, 6 are and were seriously tainted - non-full repayment, legal interest forgotten, contract opened and closed we still do not know why, advanced rates of return not held (start 4.25 end 1.25), capital robbed of 50%</v>
      </c>
    </row>
    <row r="281" ht="15.75" customHeight="1">
      <c r="A281" s="2">
        <v>1.0</v>
      </c>
      <c r="B281" s="2" t="s">
        <v>903</v>
      </c>
      <c r="C281" s="2" t="s">
        <v>904</v>
      </c>
      <c r="D281" s="2" t="s">
        <v>145</v>
      </c>
      <c r="E281" s="2" t="s">
        <v>14</v>
      </c>
      <c r="F281" s="2" t="s">
        <v>15</v>
      </c>
      <c r="G281" s="2" t="s">
        <v>627</v>
      </c>
      <c r="H281" s="2" t="s">
        <v>57</v>
      </c>
      <c r="I281" s="2" t="str">
        <f>IFERROR(__xludf.DUMMYFUNCTION("GOOGLETRANSLATE(C281,""fr"",""en"")"),"Insurer TO ABSOLUTELY AVOID, no responsiveness....
Everything is going well until the disaster???? Loss not responsible. House access garage door broken by a responsible third party. 1 month after expert still not passed!!!! And my home access is not prot"&amp;"ected. They are very good at invoicing and not at all professional in fulfilling their mission
LAMENTABLE!!! ??????????
????????      FOLLOWING      ????????
We have been fighting for 3 months to get a full refund of the quote for the replacement of our"&amp;" garage door. After several reminders from us we are ignored, they turn a “deaf ear”!!!!!! LAMENTABLE the consideration that Maaf has towards its victim companies!!!! ????    
Will they finally resolve our situation... TO BE CONTINUED")</f>
        <v>Insurer TO ABSOLUTELY AVOID, no responsiveness....
Everything is going well until the disaster???? Loss not responsible. House access garage door broken by a responsible third party. 1 month after expert still not passed!!!! And my home access is not protected. They are very good at invoicing and not at all professional in fulfilling their mission
LAMENTABLE!!! ??????????
????????      FOLLOWING      ????????
We have been fighting for 3 months to get a full refund of the quote for the replacement of our garage door. After several reminders from us we are ignored, they turn a “deaf ear”!!!!!! LAMENTABLE the consideration that Maaf has towards its victim companies!!!! ????    
Will they finally resolve our situation... TO BE CONTINUED</v>
      </c>
    </row>
    <row r="282" ht="15.75" customHeight="1">
      <c r="A282" s="2">
        <v>1.0</v>
      </c>
      <c r="B282" s="2" t="s">
        <v>905</v>
      </c>
      <c r="C282" s="2" t="s">
        <v>906</v>
      </c>
      <c r="D282" s="2" t="s">
        <v>13</v>
      </c>
      <c r="E282" s="2" t="s">
        <v>14</v>
      </c>
      <c r="F282" s="2" t="s">
        <v>15</v>
      </c>
      <c r="G282" s="2" t="s">
        <v>510</v>
      </c>
      <c r="H282" s="2" t="s">
        <v>25</v>
      </c>
      <c r="I282" s="2" t="str">
        <f>IFERROR(__xludf.DUMMYFUNCTION("GOOGLETRANSLATE(C282,""fr"",""en"")"),"Direct insurance very disappointing in terms of claims management. Effective enough to get you to sign a contract, but to forget in the event of a disaster. I've been waiting for a month for a response, no loaner car so it's a clause in the contract, expe"&amp;"rtise carried out by their designated expert but impossible to contact the expert (despite around ten calls) and his opinion is supposedly under study by the dedicated Direct insurance service which asks me to wait (after about ten calls too). So I've bee"&amp;"n waiting for 28 days without a car. The prices seem attractive but ultimately very expensive for a service that does not exist when needed. To clarify, I have been with them since 2014, never had an accident before this disaster. ")</f>
        <v>Direct insurance very disappointing in terms of claims management. Effective enough to get you to sign a contract, but to forget in the event of a disaster. I've been waiting for a month for a response, no loaner car so it's a clause in the contract, expertise carried out by their designated expert but impossible to contact the expert (despite around ten calls) and his opinion is supposedly under study by the dedicated Direct insurance service which asks me to wait (after about ten calls too). So I've been waiting for 28 days without a car. The prices seem attractive but ultimately very expensive for a service that does not exist when needed. To clarify, I have been with them since 2014, never had an accident before this disaster. </v>
      </c>
    </row>
    <row r="283" ht="15.75" customHeight="1">
      <c r="A283" s="2">
        <v>1.0</v>
      </c>
      <c r="B283" s="2" t="s">
        <v>907</v>
      </c>
      <c r="C283" s="2" t="s">
        <v>908</v>
      </c>
      <c r="D283" s="2" t="s">
        <v>909</v>
      </c>
      <c r="E283" s="2" t="s">
        <v>910</v>
      </c>
      <c r="F283" s="2" t="s">
        <v>15</v>
      </c>
      <c r="G283" s="2" t="s">
        <v>307</v>
      </c>
      <c r="H283" s="2" t="s">
        <v>71</v>
      </c>
      <c r="I283" s="2" t="str">
        <f>IFERROR(__xludf.DUMMYFUNCTION("GOOGLETRANSLATE(C283,""fr"",""en"")"),"I had a claim with a professional, a recognized and proven claim and MMA told me to summon this professional to court and of course refused to take charge of the claim with fanciful arguments. This insurance is of no use, since she tells me to send her in"&amp;"sured to court and she does not respect the contract. A tasty detail: the professional is ""insured"" but in reality it is the customer who pays for a service not provided: this insurance should be avoided, yet it is imposed on us. I recently had an appra"&amp;"isal done for the sale of a house and the appraiser is still insured with this fake insurance and I had no choice! I have a vehicle insured with them and I will have the pleasure of kicking them out. PS: I'm restating my opinion because I don't see it (I "&amp;"hadn't identified myself)")</f>
        <v>I had a claim with a professional, a recognized and proven claim and MMA told me to summon this professional to court and of course refused to take charge of the claim with fanciful arguments. This insurance is of no use, since she tells me to send her insured to court and she does not respect the contract. A tasty detail: the professional is "insured" but in reality it is the customer who pays for a service not provided: this insurance should be avoided, yet it is imposed on us. I recently had an appraisal done for the sale of a house and the appraiser is still insured with this fake insurance and I had no choice! I have a vehicle insured with them and I will have the pleasure of kicking them out. PS: I'm restating my opinion because I don't see it (I hadn't identified myself)</v>
      </c>
    </row>
    <row r="284" ht="15.75" customHeight="1">
      <c r="A284" s="2">
        <v>3.0</v>
      </c>
      <c r="B284" s="2" t="s">
        <v>911</v>
      </c>
      <c r="C284" s="2" t="s">
        <v>912</v>
      </c>
      <c r="D284" s="2" t="s">
        <v>530</v>
      </c>
      <c r="E284" s="2" t="s">
        <v>39</v>
      </c>
      <c r="F284" s="2" t="s">
        <v>15</v>
      </c>
      <c r="G284" s="2" t="s">
        <v>913</v>
      </c>
      <c r="H284" s="2" t="s">
        <v>248</v>
      </c>
      <c r="I284" s="2" t="str">
        <f>IFERROR(__xludf.DUMMYFUNCTION("GOOGLETRANSLATE(C284,""fr"",""en"")"),"A member for over 30 years, I am satisfied with the services of this mutual insurance company and the reimbursements. Recently, I was given the opportunity to contact the mutual by telephone, I was offered a call back because the waiting time was too long"&amp;", I was called back within 10 minutes by a very professional advisor who met my expectations. ")</f>
        <v>A member for over 30 years, I am satisfied with the services of this mutual insurance company and the reimbursements. Recently, I was given the opportunity to contact the mutual by telephone, I was offered a call back because the waiting time was too long, I was called back within 10 minutes by a very professional advisor who met my expectations. </v>
      </c>
    </row>
    <row r="285" ht="15.75" customHeight="1">
      <c r="A285" s="2">
        <v>2.0</v>
      </c>
      <c r="B285" s="2" t="s">
        <v>914</v>
      </c>
      <c r="C285" s="2" t="s">
        <v>915</v>
      </c>
      <c r="D285" s="2" t="s">
        <v>326</v>
      </c>
      <c r="E285" s="2" t="s">
        <v>129</v>
      </c>
      <c r="F285" s="2" t="s">
        <v>15</v>
      </c>
      <c r="G285" s="2" t="s">
        <v>569</v>
      </c>
      <c r="H285" s="2" t="s">
        <v>557</v>
      </c>
      <c r="I285" s="2" t="str">
        <f>IFERROR(__xludf.DUMMYFUNCTION("GOOGLETRANSLATE(C285,""fr"",""en"")"),"Expiry notice not sent, no reminder but a registered letter sent with formal notice plus a tax. After contact with an interlocutor, no arrangement possible, the latter being visibly accustomed to this type of complaint and asserting facts that he cannot p"&amp;"rove having no supporting documents in his possession.")</f>
        <v>Expiry notice not sent, no reminder but a registered letter sent with formal notice plus a tax. After contact with an interlocutor, no arrangement possible, the latter being visibly accustomed to this type of complaint and asserting facts that he cannot prove having no supporting documents in his possession.</v>
      </c>
    </row>
    <row r="286" ht="15.75" customHeight="1">
      <c r="A286" s="2">
        <v>5.0</v>
      </c>
      <c r="B286" s="2" t="s">
        <v>916</v>
      </c>
      <c r="C286" s="2" t="s">
        <v>917</v>
      </c>
      <c r="D286" s="2" t="s">
        <v>13</v>
      </c>
      <c r="E286" s="2" t="s">
        <v>14</v>
      </c>
      <c r="F286" s="2" t="s">
        <v>15</v>
      </c>
      <c r="G286" s="2" t="s">
        <v>918</v>
      </c>
      <c r="H286" s="2" t="s">
        <v>17</v>
      </c>
      <c r="I286" s="2" t="str">
        <f>IFERROR(__xludf.DUMMYFUNCTION("GOOGLETRANSLATE(C286,""fr"",""en"")"),"The prices suited me and I had positive feedback from those around me who recommended Direct Assurance to me.
In addition I found the showroom promos")</f>
        <v>The prices suited me and I had positive feedback from those around me who recommended Direct Assurance to me.
In addition I found the showroom promos</v>
      </c>
    </row>
    <row r="287" ht="15.75" customHeight="1">
      <c r="A287" s="2">
        <v>3.0</v>
      </c>
      <c r="B287" s="2" t="s">
        <v>919</v>
      </c>
      <c r="C287" s="2" t="s">
        <v>920</v>
      </c>
      <c r="D287" s="2" t="s">
        <v>530</v>
      </c>
      <c r="E287" s="2" t="s">
        <v>39</v>
      </c>
      <c r="F287" s="2" t="s">
        <v>15</v>
      </c>
      <c r="G287" s="2" t="s">
        <v>522</v>
      </c>
      <c r="H287" s="2" t="s">
        <v>108</v>
      </c>
      <c r="I287" s="2" t="str">
        <f>IFERROR(__xludf.DUMMYFUNCTION("GOOGLETRANSLATE(C287,""fr"",""en"")"),"Even if the mutual rate is still quite substantial if you want a satisfactory reimbursement, the quality of service of the people you contact is satisfactory and the services correct.")</f>
        <v>Even if the mutual rate is still quite substantial if you want a satisfactory reimbursement, the quality of service of the people you contact is satisfactory and the services correct.</v>
      </c>
    </row>
    <row r="288" ht="15.75" customHeight="1">
      <c r="A288" s="2">
        <v>2.0</v>
      </c>
      <c r="B288" s="2" t="s">
        <v>921</v>
      </c>
      <c r="C288" s="2" t="s">
        <v>922</v>
      </c>
      <c r="D288" s="2" t="s">
        <v>197</v>
      </c>
      <c r="E288" s="2" t="s">
        <v>81</v>
      </c>
      <c r="F288" s="2" t="s">
        <v>15</v>
      </c>
      <c r="G288" s="2" t="s">
        <v>395</v>
      </c>
      <c r="H288" s="2" t="s">
        <v>83</v>
      </c>
      <c r="I288" s="2" t="str">
        <f>IFERROR(__xludf.DUMMYFUNCTION("GOOGLETRANSLATE(C288,""fr"",""en"")"),"Amv insurance who is not aware of driving a 3 wheel scooter. 
Training delivery:
Have obtained the B license with A1 equivalence before March 80.
It's funny, that's my case and I came across a lady who apparently doesn't know about it.
It would be time to"&amp;" train the insurance agents of this company")</f>
        <v>Amv insurance who is not aware of driving a 3 wheel scooter. 
Training delivery:
Have obtained the B license with A1 equivalence before March 80.
It's funny, that's my case and I came across a lady who apparently doesn't know about it.
It would be time to train the insurance agents of this company</v>
      </c>
    </row>
    <row r="289" ht="15.75" customHeight="1">
      <c r="A289" s="2">
        <v>1.0</v>
      </c>
      <c r="B289" s="2" t="s">
        <v>923</v>
      </c>
      <c r="C289" s="2" t="s">
        <v>924</v>
      </c>
      <c r="D289" s="2" t="s">
        <v>38</v>
      </c>
      <c r="E289" s="2" t="s">
        <v>39</v>
      </c>
      <c r="F289" s="2" t="s">
        <v>15</v>
      </c>
      <c r="G289" s="2" t="s">
        <v>328</v>
      </c>
      <c r="H289" s="2" t="s">
        <v>328</v>
      </c>
      <c r="I289" s="2" t="str">
        <f>IFERROR(__xludf.DUMMYFUNCTION("GOOGLETRANSLATE(C289,""fr"",""en"")"),"Lost mail, lost file, document not received. Obliged to send letters and files with LRAR. Long and difficult payment processing.")</f>
        <v>Lost mail, lost file, document not received. Obliged to send letters and files with LRAR. Long and difficult payment processing.</v>
      </c>
    </row>
    <row r="290" ht="15.75" customHeight="1">
      <c r="A290" s="2">
        <v>3.0</v>
      </c>
      <c r="B290" s="2" t="s">
        <v>925</v>
      </c>
      <c r="C290" s="2" t="s">
        <v>926</v>
      </c>
      <c r="D290" s="2" t="s">
        <v>13</v>
      </c>
      <c r="E290" s="2" t="s">
        <v>129</v>
      </c>
      <c r="F290" s="2" t="s">
        <v>15</v>
      </c>
      <c r="G290" s="2" t="s">
        <v>927</v>
      </c>
      <c r="H290" s="2" t="s">
        <v>46</v>
      </c>
      <c r="I290" s="2" t="str">
        <f>IFERROR(__xludf.DUMMYFUNCTION("GOOGLETRANSLATE(C290,""fr"",""en"")"),"I have had all my insurance contracts with DA for several years. I've never had a complaint...until today. I just bought a house in Las Yvelines, and there an operator told me that they cannot insure this geographical area... The only thing she could tell"&amp;" me was that it was like this, see in someone else. She gave me the written list of natural and technological disasters... First person, notary included, to estimate that this area presents a risk!")</f>
        <v>I have had all my insurance contracts with DA for several years. I've never had a complaint...until today. I just bought a house in Las Yvelines, and there an operator told me that they cannot insure this geographical area... The only thing she could tell me was that it was like this, see in someone else. She gave me the written list of natural and technological disasters... First person, notary included, to estimate that this area presents a risk!</v>
      </c>
    </row>
    <row r="291" ht="15.75" customHeight="1">
      <c r="A291" s="2">
        <v>4.0</v>
      </c>
      <c r="B291" s="2" t="s">
        <v>928</v>
      </c>
      <c r="C291" s="2" t="s">
        <v>929</v>
      </c>
      <c r="D291" s="2" t="s">
        <v>33</v>
      </c>
      <c r="E291" s="2" t="s">
        <v>14</v>
      </c>
      <c r="F291" s="2" t="s">
        <v>15</v>
      </c>
      <c r="G291" s="2" t="s">
        <v>354</v>
      </c>
      <c r="H291" s="2" t="s">
        <v>354</v>
      </c>
      <c r="I291" s="2" t="str">
        <f>IFERROR(__xludf.DUMMYFUNCTION("GOOGLETRANSLATE(C291,""fr"",""en"")"),"For us, Thanks to Matmut:
We had a car accident with damaged bodywork and a partially destroyed wall pillar.
Matmut gave us a gift of the vehicle franchise: 405 Euros and only counted the pillar franchise of 150 Euros.
We had never had a car accident in 1"&amp;"5 years, but we were very happy!!! The Courbevoie agency supported us well.")</f>
        <v>For us, Thanks to Matmut:
We had a car accident with damaged bodywork and a partially destroyed wall pillar.
Matmut gave us a gift of the vehicle franchise: 405 Euros and only counted the pillar franchise of 150 Euros.
We had never had a car accident in 15 years, but we were very happy!!! The Courbevoie agency supported us well.</v>
      </c>
    </row>
    <row r="292" ht="15.75" customHeight="1">
      <c r="A292" s="2">
        <v>1.0</v>
      </c>
      <c r="B292" s="2" t="s">
        <v>930</v>
      </c>
      <c r="C292" s="2" t="s">
        <v>931</v>
      </c>
      <c r="D292" s="2" t="s">
        <v>13</v>
      </c>
      <c r="E292" s="2" t="s">
        <v>14</v>
      </c>
      <c r="F292" s="2" t="s">
        <v>15</v>
      </c>
      <c r="G292" s="2" t="s">
        <v>932</v>
      </c>
      <c r="H292" s="2" t="s">
        <v>576</v>
      </c>
      <c r="I292" s="2" t="str">
        <f>IFERROR(__xludf.DUMMYFUNCTION("GOOGLETRANSLATE(C292,""fr"",""en"")"),"Without warning, a significant increase in the contribution and no possibility of discussion. Disastrous customer service, and if you have any concerns, be sure it will not be taken into account. ")</f>
        <v>Without warning, a significant increase in the contribution and no possibility of discussion. Disastrous customer service, and if you have any concerns, be sure it will not be taken into account. </v>
      </c>
    </row>
    <row r="293" ht="15.75" customHeight="1">
      <c r="A293" s="2">
        <v>2.0</v>
      </c>
      <c r="B293" s="2" t="s">
        <v>933</v>
      </c>
      <c r="C293" s="2" t="s">
        <v>934</v>
      </c>
      <c r="D293" s="2" t="s">
        <v>254</v>
      </c>
      <c r="E293" s="2" t="s">
        <v>14</v>
      </c>
      <c r="F293" s="2" t="s">
        <v>15</v>
      </c>
      <c r="G293" s="2" t="s">
        <v>935</v>
      </c>
      <c r="H293" s="2" t="s">
        <v>354</v>
      </c>
      <c r="I293" s="2" t="str">
        <f>IFERROR(__xludf.DUMMYFUNCTION("GOOGLETRANSLATE(C293,""fr"",""en"")"),"I bought a vehicle for 4,780 euros a year ago with which I go to work every day. I had a non-fault accident on September 8, 2020 with a motorcycle which hit me at 90 kilometers / h from behind while I was stopping in traffic jams at a light on a highway e"&amp;"xit. Firstly the insurance expert estimated my vehicle at 3500 euros which is low considering how much I paid for it not so long ago but hey I had to accept hoping that it would go faster if I am not asking for a second opinion. Secondly, I had to wait mo"&amp;"re than a month for the accident report to be sent to my insurance. Between this time I had to make decisions such as selling my VEI vehicle to Macif for destruction for a miserable sum of just over 400 euros (residual value). Third, this vehicle was my m"&amp;"eans of transportation to work for a year and I continue to pay the credit that allowed me to purchase it. Fourthly, I must wait for the third-party insurance Allianz to respond to the request for coverage of my material damage made by Macif a month ago. "&amp;"Honestly, the so-called compensation made in 2 days after receipt of the documents is false. I am considering hiring a lawyer to request additional compensation due to my current situation. Good luck to all those who are victims of an accident and find th"&amp;"emselves waiting several months before being compensated. When it comes to paying, they charge us on specific dates, but when we have to take care of victims, things are clearly slow. ")</f>
        <v>I bought a vehicle for 4,780 euros a year ago with which I go to work every day. I had a non-fault accident on September 8, 2020 with a motorcycle which hit me at 90 kilometers / h from behind while I was stopping in traffic jams at a light on a highway exit. Firstly the insurance expert estimated my vehicle at 3500 euros which is low considering how much I paid for it not so long ago but hey I had to accept hoping that it would go faster if I am not asking for a second opinion. Secondly, I had to wait more than a month for the accident report to be sent to my insurance. Between this time I had to make decisions such as selling my VEI vehicle to Macif for destruction for a miserable sum of just over 400 euros (residual value). Third, this vehicle was my means of transportation to work for a year and I continue to pay the credit that allowed me to purchase it. Fourthly, I must wait for the third-party insurance Allianz to respond to the request for coverage of my material damage made by Macif a month ago. Honestly, the so-called compensation made in 2 days after receipt of the documents is false. I am considering hiring a lawyer to request additional compensation due to my current situation. Good luck to all those who are victims of an accident and find themselves waiting several months before being compensated. When it comes to paying, they charge us on specific dates, but when we have to take care of victims, things are clearly slow. </v>
      </c>
    </row>
    <row r="294" ht="15.75" customHeight="1">
      <c r="A294" s="2">
        <v>2.0</v>
      </c>
      <c r="B294" s="2" t="s">
        <v>936</v>
      </c>
      <c r="C294" s="2" t="s">
        <v>937</v>
      </c>
      <c r="D294" s="2" t="s">
        <v>326</v>
      </c>
      <c r="E294" s="2" t="s">
        <v>61</v>
      </c>
      <c r="F294" s="2" t="s">
        <v>15</v>
      </c>
      <c r="G294" s="2" t="s">
        <v>938</v>
      </c>
      <c r="H294" s="2" t="s">
        <v>139</v>
      </c>
      <c r="I294" s="2" t="str">
        <f>IFERROR(__xludf.DUMMYFUNCTION("GOOGLETRANSLATE(C294,""fr"",""en"")"),"Good morning,
I signed up for an Arpèges Allegro contract a year ago in the Villiers sur Marne agency. Dissatisfied with the rates of return and the savings profile which did not meet my profile in terms of risk, I demanded that all of my money be transfe"&amp;"rred to a fund in Euro (by mail with return receipt). This was never taken into account, despite my active reminders. I therefore demanded a total redemption of this life insurance by mail with AR. It's almost two months in a few days and my money still h"&amp;"asn't been paid to me. If the legal deadlines are not respected I will be forced to take legal action. I do not recommend this agency at all if you want to open life insurance. Too bad because we are well received for other products!")</f>
        <v>Good morning,
I signed up for an Arpèges Allegro contract a year ago in the Villiers sur Marne agency. Dissatisfied with the rates of return and the savings profile which did not meet my profile in terms of risk, I demanded that all of my money be transferred to a fund in Euro (by mail with return receipt). This was never taken into account, despite my active reminders. I therefore demanded a total redemption of this life insurance by mail with AR. It's almost two months in a few days and my money still hasn't been paid to me. If the legal deadlines are not respected I will be forced to take legal action. I do not recommend this agency at all if you want to open life insurance. Too bad because we are well received for other products!</v>
      </c>
    </row>
    <row r="295" ht="15.75" customHeight="1">
      <c r="A295" s="2">
        <v>5.0</v>
      </c>
      <c r="B295" s="2" t="s">
        <v>939</v>
      </c>
      <c r="C295" s="2" t="s">
        <v>940</v>
      </c>
      <c r="D295" s="2" t="s">
        <v>28</v>
      </c>
      <c r="E295" s="2" t="s">
        <v>14</v>
      </c>
      <c r="F295" s="2" t="s">
        <v>15</v>
      </c>
      <c r="G295" s="2" t="s">
        <v>480</v>
      </c>
      <c r="H295" s="2" t="s">
        <v>46</v>
      </c>
      <c r="I295" s="2" t="str">
        <f>IFERROR(__xludf.DUMMYFUNCTION("GOOGLETRANSLATE(C295,""fr"",""en"")"),"I am satisfied with the price thank you very much I remain at your disposal for any additional information regarding sending the registration document. Kind regards, Cilluffo Domenico. ")</f>
        <v>I am satisfied with the price thank you very much I remain at your disposal for any additional information regarding sending the registration document. Kind regards, Cilluffo Domenico. </v>
      </c>
    </row>
    <row r="296" ht="15.75" customHeight="1">
      <c r="A296" s="2">
        <v>1.0</v>
      </c>
      <c r="B296" s="2" t="s">
        <v>941</v>
      </c>
      <c r="C296" s="2" t="s">
        <v>942</v>
      </c>
      <c r="D296" s="2" t="s">
        <v>33</v>
      </c>
      <c r="E296" s="2" t="s">
        <v>14</v>
      </c>
      <c r="F296" s="2" t="s">
        <v>15</v>
      </c>
      <c r="G296" s="2" t="s">
        <v>943</v>
      </c>
      <c r="H296" s="2" t="s">
        <v>30</v>
      </c>
      <c r="I296" s="2" t="str">
        <f>IFERROR(__xludf.DUMMYFUNCTION("GOOGLETRANSLATE(C296,""fr"",""en"")"),"Following 1 accident where I was absolutely not at fault, the Matmut refused to compensate me for my vehicle because they considered it too old and with too many kms. I earn the minimum wage and have to get up at 4 a.m. in the morning and I have 3 childre"&amp;"n. Despite her age and her miles, she allowed me to go to work and take my children to school.
Do not go to the matmut they are only good to take after no follow-up and no defense of their insured")</f>
        <v>Following 1 accident where I was absolutely not at fault, the Matmut refused to compensate me for my vehicle because they considered it too old and with too many kms. I earn the minimum wage and have to get up at 4 a.m. in the morning and I have 3 children. Despite her age and her miles, she allowed me to go to work and take my children to school.
Do not go to the matmut they are only good to take after no follow-up and no defense of their insured</v>
      </c>
    </row>
    <row r="297" ht="15.75" customHeight="1">
      <c r="A297" s="2">
        <v>3.0</v>
      </c>
      <c r="B297" s="2" t="s">
        <v>944</v>
      </c>
      <c r="C297" s="2" t="s">
        <v>945</v>
      </c>
      <c r="D297" s="2" t="s">
        <v>38</v>
      </c>
      <c r="E297" s="2" t="s">
        <v>39</v>
      </c>
      <c r="F297" s="2" t="s">
        <v>15</v>
      </c>
      <c r="G297" s="2" t="s">
        <v>385</v>
      </c>
      <c r="H297" s="2" t="s">
        <v>385</v>
      </c>
      <c r="I297" s="2" t="str">
        <f>IFERROR(__xludf.DUMMYFUNCTION("GOOGLETRANSLATE(C297,""fr"",""en"")"),"contacted by an advisor, clear explanations")</f>
        <v>contacted by an advisor, clear explanations</v>
      </c>
    </row>
    <row r="298" ht="15.75" customHeight="1">
      <c r="A298" s="2">
        <v>1.0</v>
      </c>
      <c r="B298" s="2" t="s">
        <v>946</v>
      </c>
      <c r="C298" s="2" t="s">
        <v>947</v>
      </c>
      <c r="D298" s="2" t="s">
        <v>13</v>
      </c>
      <c r="E298" s="2" t="s">
        <v>14</v>
      </c>
      <c r="F298" s="2" t="s">
        <v>15</v>
      </c>
      <c r="G298" s="2" t="s">
        <v>948</v>
      </c>
      <c r="H298" s="2" t="s">
        <v>25</v>
      </c>
      <c r="I298" s="2" t="str">
        <f>IFERROR(__xludf.DUMMYFUNCTION("GOOGLETRANSLATE(C298,""fr"",""en"")"),"Anything in terms of price (190€/month). In addition, they give me a penalty of 1.12 without really understanding the situation.... Total rubbish... I change insurer very quickly")</f>
        <v>Anything in terms of price (190€/month). In addition, they give me a penalty of 1.12 without really understanding the situation.... Total rubbish... I change insurer very quickly</v>
      </c>
    </row>
    <row r="299" ht="15.75" customHeight="1">
      <c r="A299" s="2">
        <v>4.0</v>
      </c>
      <c r="B299" s="2" t="s">
        <v>949</v>
      </c>
      <c r="C299" s="2" t="s">
        <v>950</v>
      </c>
      <c r="D299" s="2" t="s">
        <v>326</v>
      </c>
      <c r="E299" s="2" t="s">
        <v>14</v>
      </c>
      <c r="F299" s="2" t="s">
        <v>15</v>
      </c>
      <c r="G299" s="2" t="s">
        <v>951</v>
      </c>
      <c r="H299" s="2" t="s">
        <v>207</v>
      </c>
      <c r="I299" s="2" t="str">
        <f>IFERROR(__xludf.DUMMYFUNCTION("GOOGLETRANSLATE(C299,""fr"",""en"")"),"For km 0 troubleshooting, I don't see what could be better. My car wouldn't start, I called Axa breakdown assistance and within 48 hours everything was sorted: tow truck pick-up, drop-off at the garage, taxi and loan of a vehicle.")</f>
        <v>For km 0 troubleshooting, I don't see what could be better. My car wouldn't start, I called Axa breakdown assistance and within 48 hours everything was sorted: tow truck pick-up, drop-off at the garage, taxi and loan of a vehicle.</v>
      </c>
    </row>
    <row r="300" ht="15.75" customHeight="1">
      <c r="A300" s="2">
        <v>1.0</v>
      </c>
      <c r="B300" s="2" t="s">
        <v>952</v>
      </c>
      <c r="C300" s="2" t="s">
        <v>953</v>
      </c>
      <c r="D300" s="2" t="s">
        <v>190</v>
      </c>
      <c r="E300" s="2" t="s">
        <v>14</v>
      </c>
      <c r="F300" s="2" t="s">
        <v>15</v>
      </c>
      <c r="G300" s="2" t="s">
        <v>954</v>
      </c>
      <c r="H300" s="2" t="s">
        <v>354</v>
      </c>
      <c r="I300" s="2" t="str">
        <f>IFERROR(__xludf.DUMMYFUNCTION("GOOGLETRANSLATE(C300,""fr"",""en"")"),"Good morning,
This insurance terminated all my contracts without warning me for a 15-day late payment, I had been insured with them since April 1, 2014. No claims for 10 years
as a result I was no longer insured without knowing it from 10/21 to 11/20, a "&amp;"month during which
A disaster could have happened to me, I am completely in shock and I do not recommend this company to anyone. M BURIEZ")</f>
        <v>Good morning,
This insurance terminated all my contracts without warning me for a 15-day late payment, I had been insured with them since April 1, 2014. No claims for 10 years
as a result I was no longer insured without knowing it from 10/21 to 11/20, a month during which
A disaster could have happened to me, I am completely in shock and I do not recommend this company to anyone. M BURIEZ</v>
      </c>
    </row>
    <row r="301" ht="15.75" customHeight="1">
      <c r="A301" s="2">
        <v>1.0</v>
      </c>
      <c r="B301" s="2" t="s">
        <v>955</v>
      </c>
      <c r="C301" s="2" t="s">
        <v>956</v>
      </c>
      <c r="D301" s="2" t="s">
        <v>55</v>
      </c>
      <c r="E301" s="2" t="s">
        <v>39</v>
      </c>
      <c r="F301" s="2" t="s">
        <v>15</v>
      </c>
      <c r="G301" s="2" t="s">
        <v>957</v>
      </c>
      <c r="H301" s="2" t="s">
        <v>108</v>
      </c>
      <c r="I301" s="2" t="str">
        <f>IFERROR(__xludf.DUMMYFUNCTION("GOOGLETRANSLATE(C301,""fr"",""en"")"),"This mutual fund presents major dysfunctions. Their employees ask you several times for the same supporting documents. It seems like they don't want to reimburse you. It took several months, while I was unemployed and entitled to portability, for it to fi"&amp;"nally be recognized. Then, I have refusals of reimbursements for one of my beneficiaries, benefits to which he is nevertheless entitled and who have been waiting for months. This is a discounted health supplement. This is an American group that doesn't kn"&amp;"ow what health coverage means. Before we had Génération which was much better but we were forced to change without anyone asking our opinion.")</f>
        <v>This mutual fund presents major dysfunctions. Their employees ask you several times for the same supporting documents. It seems like they don't want to reimburse you. It took several months, while I was unemployed and entitled to portability, for it to finally be recognized. Then, I have refusals of reimbursements for one of my beneficiaries, benefits to which he is nevertheless entitled and who have been waiting for months. This is a discounted health supplement. This is an American group that doesn't know what health coverage means. Before we had Génération which was much better but we were forced to change without anyone asking our opinion.</v>
      </c>
    </row>
    <row r="302" ht="15.75" customHeight="1">
      <c r="A302" s="2">
        <v>1.0</v>
      </c>
      <c r="B302" s="2" t="s">
        <v>958</v>
      </c>
      <c r="C302" s="2" t="s">
        <v>959</v>
      </c>
      <c r="D302" s="2" t="s">
        <v>28</v>
      </c>
      <c r="E302" s="2" t="s">
        <v>14</v>
      </c>
      <c r="F302" s="2" t="s">
        <v>15</v>
      </c>
      <c r="G302" s="2" t="s">
        <v>114</v>
      </c>
      <c r="H302" s="2" t="s">
        <v>46</v>
      </c>
      <c r="I302" s="2" t="str">
        <f>IFERROR(__xludf.DUMMYFUNCTION("GOOGLETRANSLATE(C302,""fr"",""en"")"),"Victim of a lack of information, I had no other choice than to re-sign with you taking 72€ processing fees + 10% increase in insurance costs ")</f>
        <v>Victim of a lack of information, I had no other choice than to re-sign with you taking 72€ processing fees + 10% increase in insurance costs </v>
      </c>
    </row>
    <row r="303" ht="15.75" customHeight="1">
      <c r="A303" s="2">
        <v>4.0</v>
      </c>
      <c r="B303" s="2" t="s">
        <v>960</v>
      </c>
      <c r="C303" s="2" t="s">
        <v>961</v>
      </c>
      <c r="D303" s="2" t="s">
        <v>13</v>
      </c>
      <c r="E303" s="2" t="s">
        <v>14</v>
      </c>
      <c r="F303" s="2" t="s">
        <v>15</v>
      </c>
      <c r="G303" s="2" t="s">
        <v>161</v>
      </c>
      <c r="H303" s="2" t="s">
        <v>83</v>
      </c>
      <c r="I303" s="2" t="str">
        <f>IFERROR(__xludf.DUMMYFUNCTION("GOOGLETRANSLATE(C303,""fr"",""en"")"),"very intuitive site, top notch
very fast system, the price is unbeatable (for the same guarantees I paid almost 900eur...)
just wait to be confirmed with you ")</f>
        <v>very intuitive site, top notch
very fast system, the price is unbeatable (for the same guarantees I paid almost 900eur...)
just wait to be confirmed with you </v>
      </c>
    </row>
    <row r="304" ht="15.75" customHeight="1">
      <c r="A304" s="2">
        <v>4.0</v>
      </c>
      <c r="B304" s="2" t="s">
        <v>962</v>
      </c>
      <c r="C304" s="2" t="s">
        <v>963</v>
      </c>
      <c r="D304" s="2" t="s">
        <v>254</v>
      </c>
      <c r="E304" s="2" t="s">
        <v>14</v>
      </c>
      <c r="F304" s="2" t="s">
        <v>15</v>
      </c>
      <c r="G304" s="2" t="s">
        <v>964</v>
      </c>
      <c r="H304" s="2" t="s">
        <v>448</v>
      </c>
      <c r="I304" s="2" t="str">
        <f>IFERROR(__xludf.DUMMYFUNCTION("GOOGLETRANSLATE(C304,""fr"",""en"")"),"welcome, availability, very ""professional"" explanations, price level no more expensive than elsewhere....!")</f>
        <v>welcome, availability, very "professional" explanations, price level no more expensive than elsewhere....!</v>
      </c>
    </row>
    <row r="305" ht="15.75" customHeight="1">
      <c r="A305" s="2">
        <v>2.0</v>
      </c>
      <c r="B305" s="2" t="s">
        <v>965</v>
      </c>
      <c r="C305" s="2" t="s">
        <v>966</v>
      </c>
      <c r="D305" s="2" t="s">
        <v>28</v>
      </c>
      <c r="E305" s="2" t="s">
        <v>14</v>
      </c>
      <c r="F305" s="2" t="s">
        <v>15</v>
      </c>
      <c r="G305" s="2" t="s">
        <v>967</v>
      </c>
      <c r="H305" s="2" t="s">
        <v>46</v>
      </c>
      <c r="I305" s="2" t="str">
        <f>IFERROR(__xludf.DUMMYFUNCTION("GOOGLETRANSLATE(C305,""fr"",""en"")"),"A bit like 168 euros per month for young driver insurance for 120 horses I find it really expensive for the most not (tier) not even insuring for the theft... ")</f>
        <v>A bit like 168 euros per month for young driver insurance for 120 horses I find it really expensive for the most not (tier) not even insuring for the theft... </v>
      </c>
    </row>
    <row r="306" ht="15.75" customHeight="1">
      <c r="A306" s="2">
        <v>5.0</v>
      </c>
      <c r="B306" s="2" t="s">
        <v>968</v>
      </c>
      <c r="C306" s="2" t="s">
        <v>969</v>
      </c>
      <c r="D306" s="2" t="s">
        <v>493</v>
      </c>
      <c r="E306" s="2" t="s">
        <v>101</v>
      </c>
      <c r="F306" s="2" t="s">
        <v>15</v>
      </c>
      <c r="G306" s="2" t="s">
        <v>970</v>
      </c>
      <c r="H306" s="2" t="s">
        <v>21</v>
      </c>
      <c r="I306" s="2" t="str">
        <f>IFERROR(__xludf.DUMMYFUNCTION("GOOGLETRANSLATE(C306,""fr"",""en"")"),"I AM SATISFIED WITH THE SPEED OF THE SERVICE 
VERY PROFESSIONAL AND EFFICIENT ADVISOR
I RECOMMEND 100%
TRULY COMPETITIVE RATES FOR EQUIVALENT COVERAGE")</f>
        <v>I AM SATISFIED WITH THE SPEED OF THE SERVICE 
VERY PROFESSIONAL AND EFFICIENT ADVISOR
I RECOMMEND 100%
TRULY COMPETITIVE RATES FOR EQUIVALENT COVERAGE</v>
      </c>
    </row>
    <row r="307" ht="15.75" customHeight="1">
      <c r="A307" s="2">
        <v>5.0</v>
      </c>
      <c r="B307" s="2" t="s">
        <v>971</v>
      </c>
      <c r="C307" s="2" t="s">
        <v>972</v>
      </c>
      <c r="D307" s="2" t="s">
        <v>13</v>
      </c>
      <c r="E307" s="2" t="s">
        <v>14</v>
      </c>
      <c r="F307" s="2" t="s">
        <v>15</v>
      </c>
      <c r="G307" s="2" t="s">
        <v>699</v>
      </c>
      <c r="H307" s="2" t="s">
        <v>83</v>
      </c>
      <c r="I307" s="2" t="str">
        <f>IFERROR(__xludf.DUMMYFUNCTION("GOOGLETRANSLATE(C307,""fr"",""en"")"),"Excellent, well thought out, efficient, I really appreciate it, it’s an insurance that I recommend to everyone, the prices are the best, the excellent guarantee, I will recommend it to my family ")</f>
        <v>Excellent, well thought out, efficient, I really appreciate it, it’s an insurance that I recommend to everyone, the prices are the best, the excellent guarantee, I will recommend it to my family </v>
      </c>
    </row>
    <row r="308" ht="15.75" customHeight="1">
      <c r="A308" s="2">
        <v>2.0</v>
      </c>
      <c r="B308" s="2" t="s">
        <v>973</v>
      </c>
      <c r="C308" s="2" t="s">
        <v>974</v>
      </c>
      <c r="D308" s="2" t="s">
        <v>197</v>
      </c>
      <c r="E308" s="2" t="s">
        <v>81</v>
      </c>
      <c r="F308" s="2" t="s">
        <v>15</v>
      </c>
      <c r="G308" s="2" t="s">
        <v>975</v>
      </c>
      <c r="H308" s="2" t="s">
        <v>343</v>
      </c>
      <c r="I308" s="2" t="str">
        <f>IFERROR(__xludf.DUMMYFUNCTION("GOOGLETRANSLATE(C308,""fr"",""en"")"),"When you have a bonus on two wheels the prices are less interesting and it is complicated to cancel.")</f>
        <v>When you have a bonus on two wheels the prices are less interesting and it is complicated to cancel.</v>
      </c>
    </row>
    <row r="309" ht="15.75" customHeight="1">
      <c r="A309" s="2">
        <v>4.0</v>
      </c>
      <c r="B309" s="2" t="s">
        <v>976</v>
      </c>
      <c r="C309" s="2" t="s">
        <v>977</v>
      </c>
      <c r="D309" s="2" t="s">
        <v>28</v>
      </c>
      <c r="E309" s="2" t="s">
        <v>14</v>
      </c>
      <c r="F309" s="2" t="s">
        <v>15</v>
      </c>
      <c r="G309" s="2" t="s">
        <v>978</v>
      </c>
      <c r="H309" s="2" t="s">
        <v>17</v>
      </c>
      <c r="I309" s="2" t="str">
        <f>IFERROR(__xludf.DUMMYFUNCTION("GOOGLETRANSLATE(C309,""fr"",""en"")"),"I am satisfied with the attentive and patient advisor, he advises us very well compared to the site which is a little more complicated. Very satisfactory price. I recommend this insurance. ")</f>
        <v>I am satisfied with the attentive and patient advisor, he advises us very well compared to the site which is a little more complicated. Very satisfactory price. I recommend this insurance. </v>
      </c>
    </row>
    <row r="310" ht="15.75" customHeight="1">
      <c r="A310" s="2">
        <v>4.0</v>
      </c>
      <c r="B310" s="2" t="s">
        <v>979</v>
      </c>
      <c r="C310" s="2" t="s">
        <v>980</v>
      </c>
      <c r="D310" s="2" t="s">
        <v>13</v>
      </c>
      <c r="E310" s="2" t="s">
        <v>14</v>
      </c>
      <c r="F310" s="2" t="s">
        <v>15</v>
      </c>
      <c r="G310" s="2" t="s">
        <v>879</v>
      </c>
      <c r="H310" s="2" t="s">
        <v>71</v>
      </c>
      <c r="I310" s="2" t="str">
        <f>IFERROR(__xludf.DUMMYFUNCTION("GOOGLETRANSLATE(C310,""fr"",""en"")"),"satisfied ?? for the speed on your part and while waiting for the latest documents to finalize this car insurance. 
See you soon")</f>
        <v>satisfied ?? for the speed on your part and while waiting for the latest documents to finalize this car insurance. 
See you soon</v>
      </c>
    </row>
    <row r="311" ht="15.75" customHeight="1">
      <c r="A311" s="2">
        <v>4.0</v>
      </c>
      <c r="B311" s="2" t="s">
        <v>981</v>
      </c>
      <c r="C311" s="2" t="s">
        <v>982</v>
      </c>
      <c r="D311" s="2" t="s">
        <v>28</v>
      </c>
      <c r="E311" s="2" t="s">
        <v>14</v>
      </c>
      <c r="F311" s="2" t="s">
        <v>15</v>
      </c>
      <c r="G311" s="2" t="s">
        <v>725</v>
      </c>
      <c r="H311" s="2" t="s">
        <v>21</v>
      </c>
      <c r="I311" s="2" t="str">
        <f>IFERROR(__xludf.DUMMYFUNCTION("GOOGLETRANSLATE(C311,""fr"",""en"")"),"No reviews at the moment. I have just insured my new vehicle.  Let's not see what happens next and especially the day there is a problem. But fair price compared to others. ")</f>
        <v>No reviews at the moment. I have just insured my new vehicle.  Let's not see what happens next and especially the day there is a problem. But fair price compared to others. </v>
      </c>
    </row>
    <row r="312" ht="15.75" customHeight="1">
      <c r="A312" s="2">
        <v>1.0</v>
      </c>
      <c r="B312" s="2" t="s">
        <v>983</v>
      </c>
      <c r="C312" s="2" t="s">
        <v>984</v>
      </c>
      <c r="D312" s="2" t="s">
        <v>623</v>
      </c>
      <c r="E312" s="2" t="s">
        <v>61</v>
      </c>
      <c r="F312" s="2" t="s">
        <v>15</v>
      </c>
      <c r="G312" s="2" t="s">
        <v>985</v>
      </c>
      <c r="H312" s="2" t="s">
        <v>21</v>
      </c>
      <c r="I312" s="2" t="str">
        <f>IFERROR(__xludf.DUMMYFUNCTION("GOOGLETRANSLATE(C312,""fr"",""en"")"),"Cardif opened life insurance for me through BNP 3 months after this investment has still not been credited with the subscription sum so for the moment the sum is blocked and brings me nothing.
I read the reviews 1.2 out of 5!!! 
On the phone it's nonsense"&amp;": ""yes yes we'll take care of your case"" case!!! It's scary 
And my BNP advisor is not better ")</f>
        <v>Cardif opened life insurance for me through BNP 3 months after this investment has still not been credited with the subscription sum so for the moment the sum is blocked and brings me nothing.
I read the reviews 1.2 out of 5!!! 
On the phone it's nonsense: "yes yes we'll take care of your case" case!!! It's scary 
And my BNP advisor is not better </v>
      </c>
    </row>
    <row r="313" ht="15.75" customHeight="1">
      <c r="A313" s="2">
        <v>1.0</v>
      </c>
      <c r="B313" s="2" t="s">
        <v>986</v>
      </c>
      <c r="C313" s="2" t="s">
        <v>987</v>
      </c>
      <c r="D313" s="2" t="s">
        <v>44</v>
      </c>
      <c r="E313" s="2" t="s">
        <v>39</v>
      </c>
      <c r="F313" s="2" t="s">
        <v>15</v>
      </c>
      <c r="G313" s="2" t="s">
        <v>988</v>
      </c>
      <c r="H313" s="2" t="s">
        <v>612</v>
      </c>
      <c r="I313" s="2" t="str">
        <f>IFERROR(__xludf.DUMMYFUNCTION("GOOGLETRANSLATE(C313,""fr"",""en"")"),"I am with April Entreprise Prevoyance and had myopia surgery on January 12, 2017. To date, despite several registered letters and emails, I have not received any reimbursement or responses. ")</f>
        <v>I am with April Entreprise Prevoyance and had myopia surgery on January 12, 2017. To date, despite several registered letters and emails, I have not received any reimbursement or responses. </v>
      </c>
    </row>
    <row r="314" ht="15.75" customHeight="1">
      <c r="A314" s="2">
        <v>4.0</v>
      </c>
      <c r="B314" s="2" t="s">
        <v>989</v>
      </c>
      <c r="C314" s="2" t="s">
        <v>990</v>
      </c>
      <c r="D314" s="2" t="s">
        <v>80</v>
      </c>
      <c r="E314" s="2" t="s">
        <v>81</v>
      </c>
      <c r="F314" s="2" t="s">
        <v>15</v>
      </c>
      <c r="G314" s="2" t="s">
        <v>826</v>
      </c>
      <c r="H314" s="2" t="s">
        <v>25</v>
      </c>
      <c r="I314" s="2" t="str">
        <f>IFERROR(__xludf.DUMMYFUNCTION("GOOGLETRANSLATE(C314,""fr"",""en"")"),"Attractive price and all cancellation procedures are done for you with the old insurer, see now in the event of a claim if it is also effective. ")</f>
        <v>Attractive price and all cancellation procedures are done for you with the old insurer, see now in the event of a claim if it is also effective. </v>
      </c>
    </row>
    <row r="315" ht="15.75" customHeight="1">
      <c r="A315" s="2">
        <v>1.0</v>
      </c>
      <c r="B315" s="2" t="s">
        <v>991</v>
      </c>
      <c r="C315" s="2" t="s">
        <v>992</v>
      </c>
      <c r="D315" s="2" t="s">
        <v>799</v>
      </c>
      <c r="E315" s="2" t="s">
        <v>129</v>
      </c>
      <c r="F315" s="2" t="s">
        <v>15</v>
      </c>
      <c r="G315" s="2" t="s">
        <v>993</v>
      </c>
      <c r="H315" s="2" t="s">
        <v>994</v>
      </c>
      <c r="I315" s="2" t="str">
        <f>IFERROR(__xludf.DUMMYFUNCTION("GOOGLETRANSLATE(C315,""fr"",""en"")"),"Following a dispute with a craftsman, an expert was appointed by my insurance and he made fun of me throughout the expertise. This expert really took me for an imbecile! I have been with them for 20 years but I am changing insurance!")</f>
        <v>Following a dispute with a craftsman, an expert was appointed by my insurance and he made fun of me throughout the expertise. This expert really took me for an imbecile! I have been with them for 20 years but I am changing insurance!</v>
      </c>
    </row>
    <row r="316" ht="15.75" customHeight="1">
      <c r="A316" s="2">
        <v>3.0</v>
      </c>
      <c r="B316" s="2" t="s">
        <v>995</v>
      </c>
      <c r="C316" s="2" t="s">
        <v>996</v>
      </c>
      <c r="D316" s="2" t="s">
        <v>38</v>
      </c>
      <c r="E316" s="2" t="s">
        <v>39</v>
      </c>
      <c r="F316" s="2" t="s">
        <v>15</v>
      </c>
      <c r="G316" s="2" t="s">
        <v>997</v>
      </c>
      <c r="H316" s="2" t="s">
        <v>389</v>
      </c>
      <c r="I316" s="2" t="str">
        <f>IFERROR(__xludf.DUMMYFUNCTION("GOOGLETRANSLATE(C316,""fr"",""en"")"),"Following a quote, I did not opt ​​for your mutual insurance company and I do not regret it because I do not appreciate it when your employees hang up on people, simply because we do not agree with them. I find this principle intolerable and disrespectful"&amp;" to the customer.")</f>
        <v>Following a quote, I did not opt ​​for your mutual insurance company and I do not regret it because I do not appreciate it when your employees hang up on people, simply because we do not agree with them. I find this principle intolerable and disrespectful to the customer.</v>
      </c>
    </row>
    <row r="317" ht="15.75" customHeight="1">
      <c r="A317" s="2">
        <v>4.0</v>
      </c>
      <c r="B317" s="2" t="s">
        <v>998</v>
      </c>
      <c r="C317" s="2" t="s">
        <v>999</v>
      </c>
      <c r="D317" s="2" t="s">
        <v>13</v>
      </c>
      <c r="E317" s="2" t="s">
        <v>14</v>
      </c>
      <c r="F317" s="2" t="s">
        <v>15</v>
      </c>
      <c r="G317" s="2" t="s">
        <v>494</v>
      </c>
      <c r="H317" s="2" t="s">
        <v>83</v>
      </c>
      <c r="I317" s="2" t="str">
        <f>IFERROR(__xludf.DUMMYFUNCTION("GOOGLETRANSLATE(C317,""fr"",""en"")"),"I am satisfied with the speed of support. regarding prices there is less difference than before.  you do not systematically come out first in the comparators ")</f>
        <v>I am satisfied with the speed of support. regarding prices there is less difference than before.  you do not systematically come out first in the comparators </v>
      </c>
    </row>
    <row r="318" ht="15.75" customHeight="1">
      <c r="A318" s="2">
        <v>1.0</v>
      </c>
      <c r="B318" s="2" t="s">
        <v>1000</v>
      </c>
      <c r="C318" s="2" t="s">
        <v>1001</v>
      </c>
      <c r="D318" s="2" t="s">
        <v>623</v>
      </c>
      <c r="E318" s="2" t="s">
        <v>101</v>
      </c>
      <c r="F318" s="2" t="s">
        <v>15</v>
      </c>
      <c r="G318" s="2" t="s">
        <v>1002</v>
      </c>
      <c r="H318" s="2" t="s">
        <v>381</v>
      </c>
      <c r="I318" s="2" t="str">
        <f>IFERROR(__xludf.DUMMYFUNCTION("GOOGLETRANSLATE(C318,""fr"",""en"")"),"Take your money but above all don't have any problem, you are throwing your money out the window with this insurance better your not insuring yourself the result will be the same and you will earn money")</f>
        <v>Take your money but above all don't have any problem, you are throwing your money out the window with this insurance better your not insuring yourself the result will be the same and you will earn money</v>
      </c>
    </row>
    <row r="319" ht="15.75" customHeight="1">
      <c r="A319" s="2">
        <v>1.0</v>
      </c>
      <c r="B319" s="2" t="s">
        <v>1003</v>
      </c>
      <c r="C319" s="2" t="s">
        <v>1004</v>
      </c>
      <c r="D319" s="2" t="s">
        <v>13</v>
      </c>
      <c r="E319" s="2" t="s">
        <v>14</v>
      </c>
      <c r="F319" s="2" t="s">
        <v>15</v>
      </c>
      <c r="G319" s="2" t="s">
        <v>1005</v>
      </c>
      <c r="H319" s="2" t="s">
        <v>21</v>
      </c>
      <c r="I319" s="2" t="str">
        <f>IFERROR(__xludf.DUMMYFUNCTION("GOOGLETRANSLATE(C319,""fr"",""en"")"),"very efficient telephone customer support
non-existent commercial gesture with rising contributions despite the good behavior of loyal drivers")</f>
        <v>very efficient telephone customer support
non-existent commercial gesture with rising contributions despite the good behavior of loyal drivers</v>
      </c>
    </row>
    <row r="320" ht="15.75" customHeight="1">
      <c r="A320" s="2">
        <v>1.0</v>
      </c>
      <c r="B320" s="2" t="s">
        <v>1006</v>
      </c>
      <c r="C320" s="2" t="s">
        <v>1007</v>
      </c>
      <c r="D320" s="2" t="s">
        <v>1008</v>
      </c>
      <c r="E320" s="2" t="s">
        <v>101</v>
      </c>
      <c r="F320" s="2" t="s">
        <v>15</v>
      </c>
      <c r="G320" s="2" t="s">
        <v>111</v>
      </c>
      <c r="H320" s="2" t="s">
        <v>111</v>
      </c>
      <c r="I320" s="2" t="str">
        <f>IFERROR(__xludf.DUMMYFUNCTION("GOOGLETRANSLATE(C320,""fr"",""en"")"),"Since April 21, I have been trying in vain to change my direct debit bank account, and to obtain a copy of my contract.
- I had 8 telephone conversations with operators. Their promises are NEVER followed through on.
- I sent 6 letters, including two regi"&amp;"stered letters. I got a response, absolutely not answering the questions asked.
METLIFE does not listen to its customers!")</f>
        <v>Since April 21, I have been trying in vain to change my direct debit bank account, and to obtain a copy of my contract.
- I had 8 telephone conversations with operators. Their promises are NEVER followed through on.
- I sent 6 letters, including two registered letters. I got a response, absolutely not answering the questions asked.
METLIFE does not listen to its customers!</v>
      </c>
    </row>
    <row r="321" ht="15.75" customHeight="1">
      <c r="A321" s="2">
        <v>5.0</v>
      </c>
      <c r="B321" s="2" t="s">
        <v>1009</v>
      </c>
      <c r="C321" s="2" t="s">
        <v>1010</v>
      </c>
      <c r="D321" s="2" t="s">
        <v>28</v>
      </c>
      <c r="E321" s="2" t="s">
        <v>14</v>
      </c>
      <c r="F321" s="2" t="s">
        <v>15</v>
      </c>
      <c r="G321" s="2" t="s">
        <v>1011</v>
      </c>
      <c r="H321" s="2" t="s">
        <v>111</v>
      </c>
      <c r="I321" s="2" t="str">
        <f>IFERROR(__xludf.DUMMYFUNCTION("GOOGLETRANSLATE(C321,""fr"",""en"")"),"Hello, this is to inform you that I am satisfied with your services and also satisfied with your prices which suit me, I sincerely thank you.")</f>
        <v>Hello, this is to inform you that I am satisfied with your services and also satisfied with your prices which suit me, I sincerely thank you.</v>
      </c>
    </row>
    <row r="322" ht="15.75" customHeight="1">
      <c r="A322" s="2">
        <v>2.0</v>
      </c>
      <c r="B322" s="2" t="s">
        <v>1012</v>
      </c>
      <c r="C322" s="2" t="s">
        <v>1013</v>
      </c>
      <c r="D322" s="2" t="s">
        <v>28</v>
      </c>
      <c r="E322" s="2" t="s">
        <v>14</v>
      </c>
      <c r="F322" s="2" t="s">
        <v>15</v>
      </c>
      <c r="G322" s="2" t="s">
        <v>722</v>
      </c>
      <c r="H322" s="2" t="s">
        <v>21</v>
      </c>
      <c r="I322" s="2" t="str">
        <f>IFERROR(__xludf.DUMMYFUNCTION("GOOGLETRANSLATE(C322,""fr"",""en"")"),"disappointed by my experience at Olivier Assurance, at the beginning very attractive prices, on the other hand in the following years... significant increase (without any claims declared), in addition I made two quote requests for the same car with inform"&amp;"ation identical and the prices are different from one day to the next and with significant differences, you would believe it is on the stock market and you have the impression of being cheated, each time you make a small transformation it is 15 euros in c"&amp;"osts writing, really not serious. It's good for the first year but after that you have to change otherwise you're stuck at the same price as the competition... not interesting. ")</f>
        <v>disappointed by my experience at Olivier Assurance, at the beginning very attractive prices, on the other hand in the following years... significant increase (without any claims declared), in addition I made two quote requests for the same car with information identical and the prices are different from one day to the next and with significant differences, you would believe it is on the stock market and you have the impression of being cheated, each time you make a small transformation it is 15 euros in costs writing, really not serious. It's good for the first year but after that you have to change otherwise you're stuck at the same price as the competition... not interesting. </v>
      </c>
    </row>
    <row r="323" ht="15.75" customHeight="1">
      <c r="A323" s="2">
        <v>4.0</v>
      </c>
      <c r="B323" s="2" t="s">
        <v>1014</v>
      </c>
      <c r="C323" s="2" t="s">
        <v>1015</v>
      </c>
      <c r="D323" s="2" t="s">
        <v>80</v>
      </c>
      <c r="E323" s="2" t="s">
        <v>81</v>
      </c>
      <c r="F323" s="2" t="s">
        <v>15</v>
      </c>
      <c r="G323" s="2" t="s">
        <v>1016</v>
      </c>
      <c r="H323" s="2" t="s">
        <v>30</v>
      </c>
      <c r="I323" s="2" t="str">
        <f>IFERROR(__xludf.DUMMYFUNCTION("GOOGLETRANSLATE(C323,""fr"",""en"")"),"Simple and practical to see at the level of the suspension during the next winter or during the termination if it is as simple as to ensure, I would see")</f>
        <v>Simple and practical to see at the level of the suspension during the next winter or during the termination if it is as simple as to ensure, I would see</v>
      </c>
    </row>
    <row r="324" ht="15.75" customHeight="1">
      <c r="A324" s="2">
        <v>4.0</v>
      </c>
      <c r="B324" s="2" t="s">
        <v>1017</v>
      </c>
      <c r="C324" s="2" t="s">
        <v>1018</v>
      </c>
      <c r="D324" s="2" t="s">
        <v>80</v>
      </c>
      <c r="E324" s="2" t="s">
        <v>81</v>
      </c>
      <c r="F324" s="2" t="s">
        <v>15</v>
      </c>
      <c r="G324" s="2" t="s">
        <v>453</v>
      </c>
      <c r="H324" s="2" t="s">
        <v>46</v>
      </c>
      <c r="I324" s="2" t="str">
        <f>IFERROR(__xludf.DUMMYFUNCTION("GOOGLETRANSLATE(C324,""fr"",""en"")"),"I am satisfied with the service, the options offered are adapted to what I wanted, the procedures are easy, I will recommend this insurance")</f>
        <v>I am satisfied with the service, the options offered are adapted to what I wanted, the procedures are easy, I will recommend this insurance</v>
      </c>
    </row>
    <row r="325" ht="15.75" customHeight="1">
      <c r="A325" s="2">
        <v>1.0</v>
      </c>
      <c r="B325" s="2" t="s">
        <v>1019</v>
      </c>
      <c r="C325" s="2" t="s">
        <v>1020</v>
      </c>
      <c r="D325" s="2" t="s">
        <v>326</v>
      </c>
      <c r="E325" s="2" t="s">
        <v>81</v>
      </c>
      <c r="F325" s="2" t="s">
        <v>15</v>
      </c>
      <c r="G325" s="2" t="s">
        <v>1021</v>
      </c>
      <c r="H325" s="2" t="s">
        <v>1022</v>
      </c>
      <c r="I325" s="2" t="str">
        <f>IFERROR(__xludf.DUMMYFUNCTION("GOOGLETRANSLATE(C325,""fr"",""en"")"),"AXA METHOD AXA HAS TRANSMITTED MY PERSONAL EMAIL TO A COLLECTION COMPANY SINCE IT IS CONTINUOUS AND REPETITIVE HARASSMENT ON THE PART OF EFFICO MANDATE BY AXA TO RECOVER MONTHLY PAYMENTS ON A CONTRACT TERMINATED BY A.R. I SAY BRAVO!!")</f>
        <v>AXA METHOD AXA HAS TRANSMITTED MY PERSONAL EMAIL TO A COLLECTION COMPANY SINCE IT IS CONTINUOUS AND REPETITIVE HARASSMENT ON THE PART OF EFFICO MANDATE BY AXA TO RECOVER MONTHLY PAYMENTS ON A CONTRACT TERMINATED BY A.R. I SAY BRAVO!!</v>
      </c>
    </row>
    <row r="326" ht="15.75" customHeight="1">
      <c r="A326" s="2">
        <v>1.0</v>
      </c>
      <c r="B326" s="2" t="s">
        <v>1023</v>
      </c>
      <c r="C326" s="2" t="s">
        <v>1024</v>
      </c>
      <c r="D326" s="2" t="s">
        <v>13</v>
      </c>
      <c r="E326" s="2" t="s">
        <v>14</v>
      </c>
      <c r="F326" s="2" t="s">
        <v>15</v>
      </c>
      <c r="G326" s="2" t="s">
        <v>1025</v>
      </c>
      <c r="H326" s="2" t="s">
        <v>17</v>
      </c>
      <c r="I326" s="2" t="str">
        <f>IFERROR(__xludf.DUMMYFUNCTION("GOOGLETRANSLATE(C326,""fr"",""en"")"),"Simple and practical, a little expensive for a first driver 
See the full services later 
Moderately satisfied, the process is still quick ")</f>
        <v>Simple and practical, a little expensive for a first driver 
See the full services later 
Moderately satisfied, the process is still quick </v>
      </c>
    </row>
    <row r="327" ht="15.75" customHeight="1">
      <c r="A327" s="2">
        <v>1.0</v>
      </c>
      <c r="B327" s="2" t="s">
        <v>1026</v>
      </c>
      <c r="C327" s="2" t="s">
        <v>1027</v>
      </c>
      <c r="D327" s="2" t="s">
        <v>13</v>
      </c>
      <c r="E327" s="2" t="s">
        <v>129</v>
      </c>
      <c r="F327" s="2" t="s">
        <v>15</v>
      </c>
      <c r="G327" s="2" t="s">
        <v>1028</v>
      </c>
      <c r="H327" s="2" t="s">
        <v>275</v>
      </c>
      <c r="I327" s="2" t="str">
        <f>IFERROR(__xludf.DUMMYFUNCTION("GOOGLETRANSLATE(C327,""fr"",""en"")"),"it is better to pay a little more and to have competent people online and above all to avoid unpleasant surprises whether for car or home insurance (1/2 hour on the phone with no results, 3 different invoices for 1 same file, no one calls you back;;;in sh"&amp;"ort, incompetent and disrespectful!)")</f>
        <v>it is better to pay a little more and to have competent people online and above all to avoid unpleasant surprises whether for car or home insurance (1/2 hour on the phone with no results, 3 different invoices for 1 same file, no one calls you back;;;in short, incompetent and disrespectful!)</v>
      </c>
    </row>
    <row r="328" ht="15.75" customHeight="1">
      <c r="A328" s="2">
        <v>3.0</v>
      </c>
      <c r="B328" s="2" t="s">
        <v>1029</v>
      </c>
      <c r="C328" s="2" t="s">
        <v>1030</v>
      </c>
      <c r="D328" s="2" t="s">
        <v>28</v>
      </c>
      <c r="E328" s="2" t="s">
        <v>14</v>
      </c>
      <c r="F328" s="2" t="s">
        <v>15</v>
      </c>
      <c r="G328" s="2" t="s">
        <v>121</v>
      </c>
      <c r="H328" s="2" t="s">
        <v>21</v>
      </c>
      <c r="I328" s="2" t="str">
        <f>IFERROR(__xludf.DUMMYFUNCTION("GOOGLETRANSLATE(C328,""fr"",""en"")"),"I am satisfied but very high prices for third-party comfort insurance but it really is simple and effective thank you for the very good welcome too")</f>
        <v>I am satisfied but very high prices for third-party comfort insurance but it really is simple and effective thank you for the very good welcome too</v>
      </c>
    </row>
    <row r="329" ht="15.75" customHeight="1">
      <c r="A329" s="2">
        <v>1.0</v>
      </c>
      <c r="B329" s="2" t="s">
        <v>1031</v>
      </c>
      <c r="C329" s="2" t="s">
        <v>1032</v>
      </c>
      <c r="D329" s="2" t="s">
        <v>412</v>
      </c>
      <c r="E329" s="2" t="s">
        <v>39</v>
      </c>
      <c r="F329" s="2" t="s">
        <v>15</v>
      </c>
      <c r="G329" s="2" t="s">
        <v>1033</v>
      </c>
      <c r="H329" s="2" t="s">
        <v>1034</v>
      </c>
      <c r="I329" s="2" t="str">
        <f>IFERROR(__xludf.DUMMYFUNCTION("GOOGLETRANSLATE(C329,""fr"",""en"")"),"I am covered by health insurance through the comfort level. A few days ago I submitted a quote for a dental prosthesis. Thinking I was well covered on a 250% basis, I thought I would receive a decent refund. But.... after two phone calls I realize that th"&amp;"e advisors are unable to explain a reimbursement calculation to you. The third person has difficulty deciphering the calculation system. He therefore points out to me that, written in very small letters at the top of the ""summary of guarantees"" that the"&amp;" ceilings indicated include the reimbursement of SS. Which changes everything. A prosthesis is reimbursed 70% of the SS base. Which means that the rate used is not 250% but 250% minus 70%, i.e. 170%. So the pretty table makes you believe in a correct reim"&amp;"bursement when it is significantly lower. I think I will report this fact to the DGCCRF to report this abuse and why not initiate group action if other users are willing to join me.")</f>
        <v>I am covered by health insurance through the comfort level. A few days ago I submitted a quote for a dental prosthesis. Thinking I was well covered on a 250% basis, I thought I would receive a decent refund. But.... after two phone calls I realize that the advisors are unable to explain a reimbursement calculation to you. The third person has difficulty deciphering the calculation system. He therefore points out to me that, written in very small letters at the top of the "summary of guarantees" that the ceilings indicated include the reimbursement of SS. Which changes everything. A prosthesis is reimbursed 70% of the SS base. Which means that the rate used is not 250% but 250% minus 70%, i.e. 170%. So the pretty table makes you believe in a correct reimbursement when it is significantly lower. I think I will report this fact to the DGCCRF to report this abuse and why not initiate group action if other users are willing to join me.</v>
      </c>
    </row>
    <row r="330" ht="15.75" customHeight="1">
      <c r="A330" s="2">
        <v>1.0</v>
      </c>
      <c r="B330" s="2" t="s">
        <v>1035</v>
      </c>
      <c r="C330" s="2" t="s">
        <v>1036</v>
      </c>
      <c r="D330" s="2" t="s">
        <v>13</v>
      </c>
      <c r="E330" s="2" t="s">
        <v>14</v>
      </c>
      <c r="F330" s="2" t="s">
        <v>15</v>
      </c>
      <c r="G330" s="2" t="s">
        <v>1037</v>
      </c>
      <c r="H330" s="2" t="s">
        <v>347</v>
      </c>
      <c r="I330" s="2" t="str">
        <f>IFERROR(__xludf.DUMMYFUNCTION("GOOGLETRANSLATE(C330,""fr"",""en"")"),"Above all, do not insure yourself with direct insurance!!!! They insure all risks plus, they do not want to reimburse me following a theft, while their advisor stipulated that I was going to be reimbursed, he had the copy of the complaint attached, They o"&amp;"nly needed the non-pledge certificate and according to them in the following week I received the reimbursement check. Upon receipt of this document I sent them etv1? week later by simple letter I received a refusal. Really unprofessional advisor and carel"&amp;"ess care I advise against this insurer, flee...")</f>
        <v>Above all, do not insure yourself with direct insurance!!!! They insure all risks plus, they do not want to reimburse me following a theft, while their advisor stipulated that I was going to be reimbursed, he had the copy of the complaint attached, They only needed the non-pledge certificate and according to them in the following week I received the reimbursement check. Upon receipt of this document I sent them etv1? week later by simple letter I received a refusal. Really unprofessional advisor and careless care I advise against this insurer, flee...</v>
      </c>
    </row>
    <row r="331" ht="15.75" customHeight="1">
      <c r="A331" s="2">
        <v>5.0</v>
      </c>
      <c r="B331" s="2" t="s">
        <v>1038</v>
      </c>
      <c r="C331" s="2" t="s">
        <v>1039</v>
      </c>
      <c r="D331" s="2" t="s">
        <v>13</v>
      </c>
      <c r="E331" s="2" t="s">
        <v>14</v>
      </c>
      <c r="F331" s="2" t="s">
        <v>15</v>
      </c>
      <c r="G331" s="2" t="s">
        <v>17</v>
      </c>
      <c r="H331" s="2" t="s">
        <v>17</v>
      </c>
      <c r="I331" s="2" t="str">
        <f>IFERROR(__xludf.DUMMYFUNCTION("GOOGLETRANSLATE(C331,""fr"",""en"")"),"Simple and practical
Quick, efficient registration, fun and professional website.
Attractive price, documents are transmitted quickly
Perfect")</f>
        <v>Simple and practical
Quick, efficient registration, fun and professional website.
Attractive price, documents are transmitted quickly
Perfect</v>
      </c>
    </row>
    <row r="332" ht="15.75" customHeight="1">
      <c r="A332" s="2">
        <v>1.0</v>
      </c>
      <c r="B332" s="2" t="s">
        <v>1040</v>
      </c>
      <c r="C332" s="2" t="s">
        <v>1041</v>
      </c>
      <c r="D332" s="2" t="s">
        <v>145</v>
      </c>
      <c r="E332" s="2" t="s">
        <v>129</v>
      </c>
      <c r="F332" s="2" t="s">
        <v>15</v>
      </c>
      <c r="G332" s="2" t="s">
        <v>1042</v>
      </c>
      <c r="H332" s="2" t="s">
        <v>354</v>
      </c>
      <c r="I332" s="2" t="str">
        <f>IFERROR(__xludf.DUMMYFUNCTION("GOOGLETRANSLATE(C332,""fr"",""en"")"),"In bad faith when asking to understand such an increase. And when you call about a possible termination, they don't try to listen to you and HANG UP ON YOU. Pricing = ZERO. Customer service = ZERO. Unlike the customer in your TV spot, we won't have me. Ci"&amp;"ao robadores.")</f>
        <v>In bad faith when asking to understand such an increase. And when you call about a possible termination, they don't try to listen to you and HANG UP ON YOU. Pricing = ZERO. Customer service = ZERO. Unlike the customer in your TV spot, we won't have me. Ciao robadores.</v>
      </c>
    </row>
    <row r="333" ht="15.75" customHeight="1">
      <c r="A333" s="2">
        <v>1.0</v>
      </c>
      <c r="B333" s="2" t="s">
        <v>1043</v>
      </c>
      <c r="C333" s="2" t="s">
        <v>1044</v>
      </c>
      <c r="D333" s="2" t="s">
        <v>128</v>
      </c>
      <c r="E333" s="2" t="s">
        <v>14</v>
      </c>
      <c r="F333" s="2" t="s">
        <v>15</v>
      </c>
      <c r="G333" s="2" t="s">
        <v>1045</v>
      </c>
      <c r="H333" s="2" t="s">
        <v>248</v>
      </c>
      <c r="I333" s="2" t="str">
        <f>IFERROR(__xludf.DUMMYFUNCTION("GOOGLETRANSLATE(C333,""fr"",""en"")"),"This insurer deregistered me because they never received my endorsements, as a result I cannot get insurance anywhere except with them because they are unable to add the reason for my termination. How are you taken hostage!!! Lamentable! ")</f>
        <v>This insurer deregistered me because they never received my endorsements, as a result I cannot get insurance anywhere except with them because they are unable to add the reason for my termination. How are you taken hostage!!! Lamentable! </v>
      </c>
    </row>
    <row r="334" ht="15.75" customHeight="1">
      <c r="A334" s="2">
        <v>1.0</v>
      </c>
      <c r="B334" s="2" t="s">
        <v>1046</v>
      </c>
      <c r="C334" s="2" t="s">
        <v>1047</v>
      </c>
      <c r="D334" s="2" t="s">
        <v>28</v>
      </c>
      <c r="E334" s="2" t="s">
        <v>14</v>
      </c>
      <c r="F334" s="2" t="s">
        <v>15</v>
      </c>
      <c r="G334" s="2" t="s">
        <v>696</v>
      </c>
      <c r="H334" s="2" t="s">
        <v>111</v>
      </c>
      <c r="I334" s="2" t="str">
        <f>IFERROR(__xludf.DUMMYFUNCTION("GOOGLETRANSLATE(C334,""fr"",""en"")"),"Not friendly with the customer. Price increasing without valid reason in view of my contract... Deceptive practices. An employee of this company lied to me on the phone. Despite the recordings of the calls (therefore supporting evidence), I abandoned the "&amp;"proceedings to win my case with them, because nothing was moving...very unhappy!")</f>
        <v>Not friendly with the customer. Price increasing without valid reason in view of my contract... Deceptive practices. An employee of this company lied to me on the phone. Despite the recordings of the calls (therefore supporting evidence), I abandoned the proceedings to win my case with them, because nothing was moving...very unhappy!</v>
      </c>
    </row>
    <row r="335" ht="15.75" customHeight="1">
      <c r="A335" s="2">
        <v>5.0</v>
      </c>
      <c r="B335" s="2" t="s">
        <v>1048</v>
      </c>
      <c r="C335" s="2" t="s">
        <v>1049</v>
      </c>
      <c r="D335" s="2" t="s">
        <v>13</v>
      </c>
      <c r="E335" s="2" t="s">
        <v>14</v>
      </c>
      <c r="F335" s="2" t="s">
        <v>15</v>
      </c>
      <c r="G335" s="2" t="s">
        <v>167</v>
      </c>
      <c r="H335" s="2" t="s">
        <v>17</v>
      </c>
      <c r="I335" s="2" t="str">
        <f>IFERROR(__xludf.DUMMYFUNCTION("GOOGLETRANSLATE(C335,""fr"",""en"")"),"I am satisfied with the price, the speed, the contract. It was recommended to me and I do not regret it. I recommend this insurance.
Lots of cheap packs ")</f>
        <v>I am satisfied with the price, the speed, the contract. It was recommended to me and I do not regret it. I recommend this insurance.
Lots of cheap packs </v>
      </c>
    </row>
    <row r="336" ht="15.75" customHeight="1">
      <c r="A336" s="2">
        <v>2.0</v>
      </c>
      <c r="B336" s="2" t="s">
        <v>1050</v>
      </c>
      <c r="C336" s="2" t="s">
        <v>1051</v>
      </c>
      <c r="D336" s="2" t="s">
        <v>281</v>
      </c>
      <c r="E336" s="2" t="s">
        <v>39</v>
      </c>
      <c r="F336" s="2" t="s">
        <v>15</v>
      </c>
      <c r="G336" s="2" t="s">
        <v>1052</v>
      </c>
      <c r="H336" s="2" t="s">
        <v>361</v>
      </c>
      <c r="I336" s="2" t="str">
        <f>IFERROR(__xludf.DUMMYFUNCTION("GOOGLETRANSLATE(C336,""fr"",""en"")"),"I am a dental surgeon. I urgently placed a tooth on the dentures of an 81-year-old patient. I specify 81 years old. The price is 80€. Thanks to the third party payment I was paid 15€ directly by the social security. The patient sent Harmonie Mutuelle the "&amp;"invoice 3 times certifying that I had been paid by social security for €15 with my signature and stamp. Harmonie requires the social security payment slip. I called Harmonie who told me that the procedure is the procedure. So if you are looking for a mutu"&amp;"al that listens to members, you understand.")</f>
        <v>I am a dental surgeon. I urgently placed a tooth on the dentures of an 81-year-old patient. I specify 81 years old. The price is 80€. Thanks to the third party payment I was paid 15€ directly by the social security. The patient sent Harmonie Mutuelle the invoice 3 times certifying that I had been paid by social security for €15 with my signature and stamp. Harmonie requires the social security payment slip. I called Harmonie who told me that the procedure is the procedure. So if you are looking for a mutual that listens to members, you understand.</v>
      </c>
    </row>
    <row r="337" ht="15.75" customHeight="1">
      <c r="A337" s="2">
        <v>4.0</v>
      </c>
      <c r="B337" s="2" t="s">
        <v>1053</v>
      </c>
      <c r="C337" s="2" t="s">
        <v>1054</v>
      </c>
      <c r="D337" s="2" t="s">
        <v>80</v>
      </c>
      <c r="E337" s="2" t="s">
        <v>81</v>
      </c>
      <c r="F337" s="2" t="s">
        <v>15</v>
      </c>
      <c r="G337" s="2" t="s">
        <v>850</v>
      </c>
      <c r="H337" s="2" t="s">
        <v>111</v>
      </c>
      <c r="I337" s="2" t="str">
        <f>IFERROR(__xludf.DUMMYFUNCTION("GOOGLETRANSLATE(C337,""fr"",""en"")"),"The prices are correct, the choice of options is clear and we see the price of the increased contribution in real time. In a few minutes we have a temporary green card for one month, it's great")</f>
        <v>The prices are correct, the choice of options is clear and we see the price of the increased contribution in real time. In a few minutes we have a temporary green card for one month, it's great</v>
      </c>
    </row>
    <row r="338" ht="15.75" customHeight="1">
      <c r="A338" s="2">
        <v>1.0</v>
      </c>
      <c r="B338" s="2" t="s">
        <v>1055</v>
      </c>
      <c r="C338" s="2" t="s">
        <v>1056</v>
      </c>
      <c r="D338" s="2" t="s">
        <v>80</v>
      </c>
      <c r="E338" s="2" t="s">
        <v>81</v>
      </c>
      <c r="F338" s="2" t="s">
        <v>15</v>
      </c>
      <c r="G338" s="2" t="s">
        <v>1057</v>
      </c>
      <c r="H338" s="2" t="s">
        <v>1058</v>
      </c>
      <c r="I338" s="2" t="str">
        <f>IFERROR(__xludf.DUMMYFUNCTION("GOOGLETRANSLATE(C338,""fr"",""en"")"),"Reimbursement request by email and Tph because they charged me for the whole year. Deadline given from 24 to 72 hours currently it's been 10 days still not refunded! I called back and they are unable to tell me when I will be refunded! More to do with les"&amp;"s 430 e on salary this month! Start this insurance well. ")</f>
        <v>Reimbursement request by email and Tph because they charged me for the whole year. Deadline given from 24 to 72 hours currently it's been 10 days still not refunded! I called back and they are unable to tell me when I will be refunded! More to do with less 430 e on salary this month! Start this insurance well. </v>
      </c>
    </row>
    <row r="339" ht="15.75" customHeight="1">
      <c r="A339" s="2">
        <v>3.0</v>
      </c>
      <c r="B339" s="2" t="s">
        <v>1059</v>
      </c>
      <c r="C339" s="2" t="s">
        <v>1060</v>
      </c>
      <c r="D339" s="2" t="s">
        <v>28</v>
      </c>
      <c r="E339" s="2" t="s">
        <v>14</v>
      </c>
      <c r="F339" s="2" t="s">
        <v>15</v>
      </c>
      <c r="G339" s="2" t="s">
        <v>754</v>
      </c>
      <c r="H339" s="2" t="s">
        <v>30</v>
      </c>
      <c r="I339" s="2" t="str">
        <f>IFERROR(__xludf.DUMMYFUNCTION("GOOGLETRANSLATE(C339,""fr"",""en"")"),"I just subscribed...the prices are correct...I can't say anything else at the moment. I didn't have a problem, I don't know how Olivier handles problems.
Sincerely")</f>
        <v>I just subscribed...the prices are correct...I can't say anything else at the moment. I didn't have a problem, I don't know how Olivier handles problems.
Sincerely</v>
      </c>
    </row>
    <row r="340" ht="15.75" customHeight="1">
      <c r="A340" s="2">
        <v>1.0</v>
      </c>
      <c r="B340" s="2" t="s">
        <v>1061</v>
      </c>
      <c r="C340" s="2" t="s">
        <v>1062</v>
      </c>
      <c r="D340" s="2" t="s">
        <v>128</v>
      </c>
      <c r="E340" s="2" t="s">
        <v>14</v>
      </c>
      <c r="F340" s="2" t="s">
        <v>15</v>
      </c>
      <c r="G340" s="2" t="s">
        <v>1063</v>
      </c>
      <c r="H340" s="2" t="s">
        <v>381</v>
      </c>
      <c r="I340" s="2" t="str">
        <f>IFERROR(__xludf.DUMMYFUNCTION("GOOGLETRANSLATE(C340,""fr"",""en"")"),"My car contract was terminated due to a delay in sending documents. Even after confirmation from an advisor for the documents, I was terminated. Not cool and not nice knowing that it's really difficult to find a new insurer after termination by the compan"&amp;"y or an insurer who offers an offer with a very expensive price for terminated customers!!")</f>
        <v>My car contract was terminated due to a delay in sending documents. Even after confirmation from an advisor for the documents, I was terminated. Not cool and not nice knowing that it's really difficult to find a new insurer after termination by the company or an insurer who offers an offer with a very expensive price for terminated customers!!</v>
      </c>
    </row>
    <row r="341" ht="15.75" customHeight="1">
      <c r="A341" s="2">
        <v>1.0</v>
      </c>
      <c r="B341" s="2" t="s">
        <v>1064</v>
      </c>
      <c r="C341" s="2" t="s">
        <v>1065</v>
      </c>
      <c r="D341" s="2" t="s">
        <v>136</v>
      </c>
      <c r="E341" s="2" t="s">
        <v>61</v>
      </c>
      <c r="F341" s="2" t="s">
        <v>15</v>
      </c>
      <c r="G341" s="2" t="s">
        <v>1066</v>
      </c>
      <c r="H341" s="2" t="s">
        <v>17</v>
      </c>
      <c r="I341" s="2" t="str">
        <f>IFERROR(__xludf.DUMMYFUNCTION("GOOGLETRANSLATE(C341,""fr"",""en"")"),"beneficiaries of a death benefit policy that has been dormant since 1997, we were contacted in June 2020 by swisslife. In 2021, after all the beneficiaries' documents had been provided, we each received €37.64... Since then, it has been impossible to obta"&amp;"in the documents justifying this sum, amount of capital, interest on escheat, the number of beneficiaries (not their identities...).
Our numerous requests went unanswered. Following a report to fraud prevention (08/23/21) we received the next day a commit"&amp;"ment from swisslife to obtain a response within the following days... nothing... then a commitment to respond to us within the 2 months.... as of October 23 still nothing.... Following our insistence, we received an email from: 
swisslife 
Life and Networ"&amp;"ks Customer Manager
Life Customer Service - Life Complaints and Compliance
committing (again) to send us the requested documents before 10/27/2021.... Still no news....
In short, we find it more than strange that swisslife cannot provide documents from a "&amp;"file which is normally closed..??? 
It seems totally abnormal to us not to justify the amounts paid.
Swisslife does not respond and never keeps its commitments... lamentable.
Filing a complaint seems to us to be the only solution.....")</f>
        <v>beneficiaries of a death benefit policy that has been dormant since 1997, we were contacted in June 2020 by swisslife. In 2021, after all the beneficiaries' documents had been provided, we each received €37.64... Since then, it has been impossible to obtain the documents justifying this sum, amount of capital, interest on escheat, the number of beneficiaries (not their identities...).
Our numerous requests went unanswered. Following a report to fraud prevention (08/23/21) we received the next day a commitment from swisslife to obtain a response within the following days... nothing... then a commitment to respond to us within the 2 months.... as of October 23 still nothing.... Following our insistence, we received an email from: 
swisslife 
Life and Networks Customer Manager
Life Customer Service - Life Complaints and Compliance
committing (again) to send us the requested documents before 10/27/2021.... Still no news....
In short, we find it more than strange that swisslife cannot provide documents from a file which is normally closed..??? 
It seems totally abnormal to us not to justify the amounts paid.
Swisslife does not respond and never keeps its commitments... lamentable.
Filing a complaint seems to us to be the only solution.....</v>
      </c>
    </row>
    <row r="342" ht="15.75" customHeight="1">
      <c r="A342" s="2">
        <v>3.0</v>
      </c>
      <c r="B342" s="2" t="s">
        <v>1067</v>
      </c>
      <c r="C342" s="2" t="s">
        <v>1068</v>
      </c>
      <c r="D342" s="2" t="s">
        <v>326</v>
      </c>
      <c r="E342" s="2" t="s">
        <v>14</v>
      </c>
      <c r="F342" s="2" t="s">
        <v>15</v>
      </c>
      <c r="G342" s="2" t="s">
        <v>1069</v>
      </c>
      <c r="H342" s="2" t="s">
        <v>557</v>
      </c>
      <c r="I342" s="2" t="str">
        <f>IFERROR(__xludf.DUMMYFUNCTION("GOOGLETRANSLATE(C342,""fr"",""en"")"),"Lack of responses to requests during support. 
Unnecessary and misplaced expenses which could be more effective for the policyholder and less costly for AXA.
Operators not being in France have problems understanding which leads to considerable loss of tim"&amp;"e and canceled appointments for the insured. ")</f>
        <v>Lack of responses to requests during support. 
Unnecessary and misplaced expenses which could be more effective for the policyholder and less costly for AXA.
Operators not being in France have problems understanding which leads to considerable loss of time and canceled appointments for the insured. </v>
      </c>
    </row>
    <row r="343" ht="15.75" customHeight="1">
      <c r="A343" s="2">
        <v>5.0</v>
      </c>
      <c r="B343" s="2" t="s">
        <v>1070</v>
      </c>
      <c r="C343" s="2" t="s">
        <v>1071</v>
      </c>
      <c r="D343" s="2" t="s">
        <v>13</v>
      </c>
      <c r="E343" s="2" t="s">
        <v>14</v>
      </c>
      <c r="F343" s="2" t="s">
        <v>15</v>
      </c>
      <c r="G343" s="2" t="s">
        <v>1072</v>
      </c>
      <c r="H343" s="2" t="s">
        <v>17</v>
      </c>
      <c r="I343" s="2" t="str">
        <f>IFERROR(__xludf.DUMMYFUNCTION("GOOGLETRANSLATE(C343,""fr"",""en"")"),"The price is attractive
The site is intuitive, very easy to provide, quote in 5 minutes on the internet.
It remains to be seen how effective customer service is in the event of a problem... ")</f>
        <v>The price is attractive
The site is intuitive, very easy to provide, quote in 5 minutes on the internet.
It remains to be seen how effective customer service is in the event of a problem... </v>
      </c>
    </row>
    <row r="344" ht="15.75" customHeight="1">
      <c r="A344" s="2">
        <v>5.0</v>
      </c>
      <c r="B344" s="2" t="s">
        <v>1073</v>
      </c>
      <c r="C344" s="2" t="s">
        <v>1074</v>
      </c>
      <c r="D344" s="2" t="s">
        <v>493</v>
      </c>
      <c r="E344" s="2" t="s">
        <v>101</v>
      </c>
      <c r="F344" s="2" t="s">
        <v>15</v>
      </c>
      <c r="G344" s="2" t="s">
        <v>1075</v>
      </c>
      <c r="H344" s="2" t="s">
        <v>71</v>
      </c>
      <c r="I344" s="2" t="str">
        <f>IFERROR(__xludf.DUMMYFUNCTION("GOOGLETRANSLATE(C344,""fr"",""en"")"),"Good discussion with the advisor available on direct line. Speed ​​of handling the file even with a few technical points to resolve on the health questionnaire.")</f>
        <v>Good discussion with the advisor available on direct line. Speed ​​of handling the file even with a few technical points to resolve on the health questionnaire.</v>
      </c>
    </row>
    <row r="345" ht="15.75" customHeight="1">
      <c r="A345" s="2">
        <v>1.0</v>
      </c>
      <c r="B345" s="2" t="s">
        <v>1076</v>
      </c>
      <c r="C345" s="2" t="s">
        <v>1077</v>
      </c>
      <c r="D345" s="2" t="s">
        <v>281</v>
      </c>
      <c r="E345" s="2" t="s">
        <v>39</v>
      </c>
      <c r="F345" s="2" t="s">
        <v>15</v>
      </c>
      <c r="G345" s="2" t="s">
        <v>1078</v>
      </c>
      <c r="H345" s="2" t="s">
        <v>125</v>
      </c>
      <c r="I345" s="2" t="str">
        <f>IFERROR(__xludf.DUMMYFUNCTION("GOOGLETRANSLATE(C345,""fr"",""en"")"),"I joined it for more than 5 years until the end of 2020, and I clearly saw the service deteriorating little by little... 
It has become a disaster... Unclear letters, response to emails 1 time out of 5, no callbacks from advisors, responses off the mark.."&amp;". 
Obscure reimbursements, in short, I FLEE! ")</f>
        <v>I joined it for more than 5 years until the end of 2020, and I clearly saw the service deteriorating little by little... 
It has become a disaster... Unclear letters, response to emails 1 time out of 5, no callbacks from advisors, responses off the mark... 
Obscure reimbursements, in short, I FLEE! </v>
      </c>
    </row>
    <row r="346" ht="15.75" customHeight="1">
      <c r="A346" s="2">
        <v>2.0</v>
      </c>
      <c r="B346" s="2" t="s">
        <v>1079</v>
      </c>
      <c r="C346" s="2" t="s">
        <v>1080</v>
      </c>
      <c r="D346" s="2" t="s">
        <v>33</v>
      </c>
      <c r="E346" s="2" t="s">
        <v>14</v>
      </c>
      <c r="F346" s="2" t="s">
        <v>15</v>
      </c>
      <c r="G346" s="2" t="s">
        <v>1081</v>
      </c>
      <c r="H346" s="2" t="s">
        <v>256</v>
      </c>
      <c r="I346" s="2" t="str">
        <f>IFERROR(__xludf.DUMMYFUNCTION("GOOGLETRANSLATE(C346,""fr"",""en"")"),"51 years at Matmut and for what? ")</f>
        <v>51 years at Matmut and for what? </v>
      </c>
    </row>
    <row r="347" ht="15.75" customHeight="1">
      <c r="A347" s="2">
        <v>5.0</v>
      </c>
      <c r="B347" s="2" t="s">
        <v>1082</v>
      </c>
      <c r="C347" s="2" t="s">
        <v>1083</v>
      </c>
      <c r="D347" s="2" t="s">
        <v>28</v>
      </c>
      <c r="E347" s="2" t="s">
        <v>14</v>
      </c>
      <c r="F347" s="2" t="s">
        <v>15</v>
      </c>
      <c r="G347" s="2" t="s">
        <v>244</v>
      </c>
      <c r="H347" s="2" t="s">
        <v>111</v>
      </c>
      <c r="I347" s="2" t="str">
        <f>IFERROR(__xludf.DUMMYFUNCTION("GOOGLETRANSLATE(C347,""fr"",""en"")"),"I am satisfied with the services, the prices suit me, it is simple and quick compared to the competition which offers more expensive prices like Matmut.")</f>
        <v>I am satisfied with the services, the prices suit me, it is simple and quick compared to the competition which offers more expensive prices like Matmut.</v>
      </c>
    </row>
    <row r="348" ht="15.75" customHeight="1">
      <c r="A348" s="2">
        <v>4.0</v>
      </c>
      <c r="B348" s="2" t="s">
        <v>1084</v>
      </c>
      <c r="C348" s="2" t="s">
        <v>1085</v>
      </c>
      <c r="D348" s="2" t="s">
        <v>197</v>
      </c>
      <c r="E348" s="2" t="s">
        <v>81</v>
      </c>
      <c r="F348" s="2" t="s">
        <v>15</v>
      </c>
      <c r="G348" s="2" t="s">
        <v>56</v>
      </c>
      <c r="H348" s="2" t="s">
        <v>57</v>
      </c>
      <c r="I348" s="2" t="str">
        <f>IFERROR(__xludf.DUMMYFUNCTION("GOOGLETRANSLATE(C348,""fr"",""en"")"),"Ensuring dynamic, efficient with a good quality/price ratio, I recommend, to ensure a two-wheeler, fairly available and attentive customer service, easy and quick procedures")</f>
        <v>Ensuring dynamic, efficient with a good quality/price ratio, I recommend, to ensure a two-wheeler, fairly available and attentive customer service, easy and quick procedures</v>
      </c>
    </row>
    <row r="349" ht="15.75" customHeight="1">
      <c r="A349" s="2">
        <v>2.0</v>
      </c>
      <c r="B349" s="2" t="s">
        <v>1086</v>
      </c>
      <c r="C349" s="2" t="s">
        <v>1087</v>
      </c>
      <c r="D349" s="2" t="s">
        <v>412</v>
      </c>
      <c r="E349" s="2" t="s">
        <v>137</v>
      </c>
      <c r="F349" s="2" t="s">
        <v>15</v>
      </c>
      <c r="G349" s="2" t="s">
        <v>1088</v>
      </c>
      <c r="H349" s="2" t="s">
        <v>347</v>
      </c>
      <c r="I349" s="2" t="str">
        <f>IFERROR(__xludf.DUMMYFUNCTION("GOOGLETRANSLATE(C349,""fr"",""en"")"),"Hello from 10/25/2015 to 06/30/2016 I am on sick leave for a category 4 AOMI then I returned to work because I did not have any additional salary paid by the ag2r to my employer yet having difficulties to walk I returned to work and in September I receive"&amp;"d my salary supplement due to my state of health. Despite the Stens my femoral artery is still blocked and the 10/18/2016 I relapsed and can no longer work and went to category 2 disability on 04/01/2017 the documents were sent to my company which transmi"&amp;"tted them to the GAN because on 01/01/2016 my company to change insurance these my answer was that it was the old insurance to take charge (AG2R) Because this is a relapse L AG2R does not do not want to take charge because the work stoppage is on 10/18/20"&amp;"16 and I am no longer insured with them since 01/01/2016 with them after informing article 7 of the Evin law of 1989 if we can prove that this is indeed a relapse it is up to the AG2R to take charge I was able to prove thanks to the medical certificate ma"&amp;"de by my doctor and also a health questionnaire completed for the gan which said that it was a relapse despite this AG2R my sending or even an expert doctor why because the social security my mi in category 2 disability. being in precarious state I would "&amp;"like to know if I am entitled to receive my salary supplement and when ")</f>
        <v>Hello from 10/25/2015 to 06/30/2016 I am on sick leave for a category 4 AOMI then I returned to work because I did not have any additional salary paid by the ag2r to my employer yet having difficulties to walk I returned to work and in September I received my salary supplement due to my state of health. Despite the Stens my femoral artery is still blocked and the 10/18/2016 I relapsed and can no longer work and went to category 2 disability on 04/01/2017 the documents were sent to my company which transmitted them to the GAN because on 01/01/2016 my company to change insurance these my answer was that it was the old insurance to take charge (AG2R) Because this is a relapse L AG2R does not do not want to take charge because the work stoppage is on 10/18/2016 and I am no longer insured with them since 01/01/2016 with them after informing article 7 of the Evin law of 1989 if we can prove that this is indeed a relapse it is up to the AG2R to take charge I was able to prove thanks to the medical certificate made by my doctor and also a health questionnaire completed for the gan which said that it was a relapse despite this AG2R my sending or even an expert doctor why because the social security my mi in category 2 disability. being in precarious state I would like to know if I am entitled to receive my salary supplement and when </v>
      </c>
    </row>
    <row r="350" ht="15.75" customHeight="1">
      <c r="A350" s="2">
        <v>1.0</v>
      </c>
      <c r="B350" s="2" t="s">
        <v>1089</v>
      </c>
      <c r="C350" s="2" t="s">
        <v>1090</v>
      </c>
      <c r="D350" s="2" t="s">
        <v>28</v>
      </c>
      <c r="E350" s="2" t="s">
        <v>14</v>
      </c>
      <c r="F350" s="2" t="s">
        <v>15</v>
      </c>
      <c r="G350" s="2" t="s">
        <v>1091</v>
      </c>
      <c r="H350" s="2" t="s">
        <v>414</v>
      </c>
      <c r="I350" s="2" t="str">
        <f>IFERROR(__xludf.DUMMYFUNCTION("GOOGLETRANSLATE(C350,""fr"",""en"")"),"I had an accident with a responsible third party who fled, all the repairs to my vehicle are my responsibility even though I am at all risk in the end I might as well not be insured ")</f>
        <v>I had an accident with a responsible third party who fled, all the repairs to my vehicle are my responsibility even though I am at all risk in the end I might as well not be insured </v>
      </c>
    </row>
    <row r="351" ht="15.75" customHeight="1">
      <c r="A351" s="2">
        <v>1.0</v>
      </c>
      <c r="B351" s="2" t="s">
        <v>1092</v>
      </c>
      <c r="C351" s="2" t="s">
        <v>1093</v>
      </c>
      <c r="D351" s="2" t="s">
        <v>65</v>
      </c>
      <c r="E351" s="2" t="s">
        <v>14</v>
      </c>
      <c r="F351" s="2" t="s">
        <v>15</v>
      </c>
      <c r="G351" s="2" t="s">
        <v>1094</v>
      </c>
      <c r="H351" s="2" t="s">
        <v>467</v>
      </c>
      <c r="I351" s="2" t="str">
        <f>IFERROR(__xludf.DUMMYFUNCTION("GOOGLETRANSLATE(C351,""fr"",""en"")"),"looking at the other reviews I should have been wary, but this insurer is dragging the profession down with its contemptuous, insulting and lying staff.... never seen that in my life.  I bitterly regret having subscribed, move on.")</f>
        <v>looking at the other reviews I should have been wary, but this insurer is dragging the profession down with its contemptuous, insulting and lying staff.... never seen that in my life.  I bitterly regret having subscribed, move on.</v>
      </c>
    </row>
    <row r="352" ht="15.75" customHeight="1">
      <c r="A352" s="2">
        <v>5.0</v>
      </c>
      <c r="B352" s="2" t="s">
        <v>1095</v>
      </c>
      <c r="C352" s="2" t="s">
        <v>1096</v>
      </c>
      <c r="D352" s="2" t="s">
        <v>13</v>
      </c>
      <c r="E352" s="2" t="s">
        <v>14</v>
      </c>
      <c r="F352" s="2" t="s">
        <v>15</v>
      </c>
      <c r="G352" s="2" t="s">
        <v>142</v>
      </c>
      <c r="H352" s="2" t="s">
        <v>111</v>
      </c>
      <c r="I352" s="2" t="str">
        <f>IFERROR(__xludf.DUMMYFUNCTION("GOOGLETRANSLATE(C352,""fr"",""en"")"),"I am satisfied with the prices and the services. I am leaving my old insurance because of the high prices and poor services.")</f>
        <v>I am satisfied with the prices and the services. I am leaving my old insurance because of the high prices and poor services.</v>
      </c>
    </row>
    <row r="353" ht="15.75" customHeight="1">
      <c r="A353" s="2">
        <v>4.0</v>
      </c>
      <c r="B353" s="2" t="s">
        <v>1097</v>
      </c>
      <c r="C353" s="2" t="s">
        <v>1098</v>
      </c>
      <c r="D353" s="2" t="s">
        <v>310</v>
      </c>
      <c r="E353" s="2" t="s">
        <v>14</v>
      </c>
      <c r="F353" s="2" t="s">
        <v>15</v>
      </c>
      <c r="G353" s="2" t="s">
        <v>1099</v>
      </c>
      <c r="H353" s="2" t="s">
        <v>52</v>
      </c>
      <c r="I353" s="2" t="str">
        <f>IFERROR(__xludf.DUMMYFUNCTION("GOOGLETRANSLATE(C353,""fr"",""en"")"),"Too bad they can't insure me for a 9hp tax vehicle with 2 years of insurance or 10% bonus Otherwise yes good overall I highly recommend.
Cdt")</f>
        <v>Too bad they can't insure me for a 9hp tax vehicle with 2 years of insurance or 10% bonus Otherwise yes good overall I highly recommend.
Cdt</v>
      </c>
    </row>
    <row r="354" ht="15.75" customHeight="1">
      <c r="A354" s="2">
        <v>1.0</v>
      </c>
      <c r="B354" s="2" t="s">
        <v>1100</v>
      </c>
      <c r="C354" s="2" t="s">
        <v>1101</v>
      </c>
      <c r="D354" s="2" t="s">
        <v>303</v>
      </c>
      <c r="E354" s="2" t="s">
        <v>129</v>
      </c>
      <c r="F354" s="2" t="s">
        <v>15</v>
      </c>
      <c r="G354" s="2" t="s">
        <v>1102</v>
      </c>
      <c r="H354" s="2" t="s">
        <v>448</v>
      </c>
      <c r="I354" s="2" t="str">
        <f>IFERROR(__xludf.DUMMYFUNCTION("GOOGLETRANSLATE(C354,""fr"",""en"")"),"I am very disappointed with Macif. If you read my review then don't get insurance with them. Loss since October 2018 and expert passed in March 2019, forget half of the expertise! I have to beg the advisors every day for a complete report. In May he deign"&amp;"s to travel and the worst thing is that he leaves the expertise without completing it because I upset this poor young man who thought that I did not know the conditions of my contract. Today, August 18, we still waiting for the transmission of its second "&amp;"report. After contacting the mediator without success, Macif told them that I had to do a second opinion! I am currently preparing my case for the courts because I intend to be compensated for my damages. Flee the macif and flee their experts from elex.")</f>
        <v>I am very disappointed with Macif. If you read my review then don't get insurance with them. Loss since October 2018 and expert passed in March 2019, forget half of the expertise! I have to beg the advisors every day for a complete report. In May he deigns to travel and the worst thing is that he leaves the expertise without completing it because I upset this poor young man who thought that I did not know the conditions of my contract. Today, August 18, we still waiting for the transmission of its second report. After contacting the mediator without success, Macif told them that I had to do a second opinion! I am currently preparing my case for the courts because I intend to be compensated for my damages. Flee the macif and flee their experts from elex.</v>
      </c>
    </row>
    <row r="355" ht="15.75" customHeight="1">
      <c r="A355" s="2">
        <v>5.0</v>
      </c>
      <c r="B355" s="2" t="s">
        <v>1103</v>
      </c>
      <c r="C355" s="2" t="s">
        <v>1104</v>
      </c>
      <c r="D355" s="2" t="s">
        <v>197</v>
      </c>
      <c r="E355" s="2" t="s">
        <v>81</v>
      </c>
      <c r="F355" s="2" t="s">
        <v>15</v>
      </c>
      <c r="G355" s="2" t="s">
        <v>730</v>
      </c>
      <c r="H355" s="2" t="s">
        <v>111</v>
      </c>
      <c r="I355" s="2" t="str">
        <f>IFERROR(__xludf.DUMMYFUNCTION("GOOGLETRANSLATE(C355,""fr"",""en"")"),"I am delighted with the price and the speed I had to make sure during the day on a Saturday to pick up my motorbike and it took me 10 minutes thank you perfect friend I recommend ")</f>
        <v>I am delighted with the price and the speed I had to make sure during the day on a Saturday to pick up my motorbike and it took me 10 minutes thank you perfect friend I recommend </v>
      </c>
    </row>
    <row r="356" ht="15.75" customHeight="1">
      <c r="A356" s="2">
        <v>4.0</v>
      </c>
      <c r="B356" s="2" t="s">
        <v>1105</v>
      </c>
      <c r="C356" s="2" t="s">
        <v>1106</v>
      </c>
      <c r="D356" s="2" t="s">
        <v>13</v>
      </c>
      <c r="E356" s="2" t="s">
        <v>14</v>
      </c>
      <c r="F356" s="2" t="s">
        <v>15</v>
      </c>
      <c r="G356" s="2" t="s">
        <v>608</v>
      </c>
      <c r="H356" s="2" t="s">
        <v>71</v>
      </c>
      <c r="I356" s="2" t="str">
        <f>IFERROR(__xludf.DUMMYFUNCTION("GOOGLETRANSLATE(C356,""fr"",""en"")"),"satisfaction with the services offered, prices, responsiveness and processing of files
good telephone reception, not too long, waiting I recommend ")</f>
        <v>satisfaction with the services offered, prices, responsiveness and processing of files
good telephone reception, not too long, waiting I recommend </v>
      </c>
    </row>
    <row r="357" ht="15.75" customHeight="1">
      <c r="A357" s="2">
        <v>5.0</v>
      </c>
      <c r="B357" s="2" t="s">
        <v>1107</v>
      </c>
      <c r="C357" s="2" t="s">
        <v>1108</v>
      </c>
      <c r="D357" s="2" t="s">
        <v>38</v>
      </c>
      <c r="E357" s="2" t="s">
        <v>39</v>
      </c>
      <c r="F357" s="2" t="s">
        <v>15</v>
      </c>
      <c r="G357" s="2" t="s">
        <v>1109</v>
      </c>
      <c r="H357" s="2" t="s">
        <v>30</v>
      </c>
      <c r="I357" s="2" t="str">
        <f>IFERROR(__xludf.DUMMYFUNCTION("GOOGLETRANSLATE(C357,""fr"",""en"")"),"Following my phone call, the insurer Éméline answered my questions well, in addition to a pleasant and friendly welcome during my call, thank you ")</f>
        <v>Following my phone call, the insurer Éméline answered my questions well, in addition to a pleasant and friendly welcome during my call, thank you </v>
      </c>
    </row>
    <row r="358" ht="15.75" customHeight="1">
      <c r="A358" s="2">
        <v>3.0</v>
      </c>
      <c r="B358" s="2" t="s">
        <v>1110</v>
      </c>
      <c r="C358" s="2" t="s">
        <v>1111</v>
      </c>
      <c r="D358" s="2" t="s">
        <v>145</v>
      </c>
      <c r="E358" s="2" t="s">
        <v>14</v>
      </c>
      <c r="F358" s="2" t="s">
        <v>15</v>
      </c>
      <c r="G358" s="2" t="s">
        <v>384</v>
      </c>
      <c r="H358" s="2" t="s">
        <v>385</v>
      </c>
      <c r="I358" s="2" t="str">
        <f>IFERROR(__xludf.DUMMYFUNCTION("GOOGLETRANSLATE(C358,""fr"",""en"")"),"Sorry that the MAAF does not support accompanied driving for small children! Well done accident prevention through better driving education.")</f>
        <v>Sorry that the MAAF does not support accompanied driving for small children! Well done accident prevention through better driving education.</v>
      </c>
    </row>
    <row r="359" ht="15.75" customHeight="1">
      <c r="A359" s="2">
        <v>4.0</v>
      </c>
      <c r="B359" s="2" t="s">
        <v>1112</v>
      </c>
      <c r="C359" s="2" t="s">
        <v>1113</v>
      </c>
      <c r="D359" s="2" t="s">
        <v>13</v>
      </c>
      <c r="E359" s="2" t="s">
        <v>14</v>
      </c>
      <c r="F359" s="2" t="s">
        <v>15</v>
      </c>
      <c r="G359" s="2" t="s">
        <v>1114</v>
      </c>
      <c r="H359" s="2" t="s">
        <v>17</v>
      </c>
      <c r="I359" s="2" t="str">
        <f>IFERROR(__xludf.DUMMYFUNCTION("GOOGLETRANSLATE(C359,""fr"",""en"")"),"I am satisfied with the service and also the telephone service agent who listens and reassures price level it is really not expensive I find it interesting for young drivers")</f>
        <v>I am satisfied with the service and also the telephone service agent who listens and reassures price level it is really not expensive I find it interesting for young drivers</v>
      </c>
    </row>
    <row r="360" ht="15.75" customHeight="1">
      <c r="A360" s="2">
        <v>4.0</v>
      </c>
      <c r="B360" s="2" t="s">
        <v>1115</v>
      </c>
      <c r="C360" s="2" t="s">
        <v>1116</v>
      </c>
      <c r="D360" s="2" t="s">
        <v>13</v>
      </c>
      <c r="E360" s="2" t="s">
        <v>14</v>
      </c>
      <c r="F360" s="2" t="s">
        <v>15</v>
      </c>
      <c r="G360" s="2" t="s">
        <v>1117</v>
      </c>
      <c r="H360" s="2" t="s">
        <v>30</v>
      </c>
      <c r="I360" s="2" t="str">
        <f>IFERROR(__xludf.DUMMYFUNCTION("GOOGLETRANSLATE(C360,""fr"",""en"")"),"I am satisfied with the service overall, I would have just appreciated the option of zero km assistance alone because the pack itself did not interest me. after good value for money and very legible type of contract with easy reading")</f>
        <v>I am satisfied with the service overall, I would have just appreciated the option of zero km assistance alone because the pack itself did not interest me. after good value for money and very legible type of contract with easy reading</v>
      </c>
    </row>
    <row r="361" ht="15.75" customHeight="1">
      <c r="A361" s="2">
        <v>1.0</v>
      </c>
      <c r="B361" s="2" t="s">
        <v>1118</v>
      </c>
      <c r="C361" s="2" t="s">
        <v>1119</v>
      </c>
      <c r="D361" s="2" t="s">
        <v>38</v>
      </c>
      <c r="E361" s="2" t="s">
        <v>39</v>
      </c>
      <c r="F361" s="2" t="s">
        <v>15</v>
      </c>
      <c r="G361" s="2" t="s">
        <v>1120</v>
      </c>
      <c r="H361" s="2" t="s">
        <v>236</v>
      </c>
      <c r="I361" s="2" t="str">
        <f>IFERROR(__xludf.DUMMYFUNCTION("GOOGLETRANSLATE(C361,""fr"",""en"")"),"above all, do not take out insurance with them! they pretend to be various organizations caf, cpam, various subcontractors to obtain the necessary information to make us sign contracts that we do not want, I was fooled but fortunately I am in the 14 days "&amp;"to cancel. I do not recommend NEOLIANE health and insurance.")</f>
        <v>above all, do not take out insurance with them! they pretend to be various organizations caf, cpam, various subcontractors to obtain the necessary information to make us sign contracts that we do not want, I was fooled but fortunately I am in the 14 days to cancel. I do not recommend NEOLIANE health and insurance.</v>
      </c>
    </row>
    <row r="362" ht="15.75" customHeight="1">
      <c r="A362" s="2">
        <v>3.0</v>
      </c>
      <c r="B362" s="2" t="s">
        <v>1121</v>
      </c>
      <c r="C362" s="2" t="s">
        <v>1122</v>
      </c>
      <c r="D362" s="2" t="s">
        <v>310</v>
      </c>
      <c r="E362" s="2" t="s">
        <v>14</v>
      </c>
      <c r="F362" s="2" t="s">
        <v>15</v>
      </c>
      <c r="G362" s="2" t="s">
        <v>1123</v>
      </c>
      <c r="H362" s="2" t="s">
        <v>661</v>
      </c>
      <c r="I362" s="2" t="str">
        <f>IFERROR(__xludf.DUMMYFUNCTION("GOOGLETRANSLATE(C362,""fr"",""en"")"),"The management of my claims has always been handled perfectly by Eurofil. I'm very satisfied with it for the moment but, following the many comments read below, I hope not to be expelled soon!")</f>
        <v>The management of my claims has always been handled perfectly by Eurofil. I'm very satisfied with it for the moment but, following the many comments read below, I hope not to be expelled soon!</v>
      </c>
    </row>
    <row r="363" ht="15.75" customHeight="1">
      <c r="A363" s="2">
        <v>4.0</v>
      </c>
      <c r="B363" s="2" t="s">
        <v>1124</v>
      </c>
      <c r="C363" s="2" t="s">
        <v>1125</v>
      </c>
      <c r="D363" s="2" t="s">
        <v>13</v>
      </c>
      <c r="E363" s="2" t="s">
        <v>14</v>
      </c>
      <c r="F363" s="2" t="s">
        <v>15</v>
      </c>
      <c r="G363" s="2" t="s">
        <v>297</v>
      </c>
      <c r="H363" s="2" t="s">
        <v>17</v>
      </c>
      <c r="I363" s="2" t="str">
        <f>IFERROR(__xludf.DUMMYFUNCTION("GOOGLETRANSLATE(C363,""fr"",""en"")"),"I am satisfied with the direct insurance service. I was well informed over the phone.
Direct insurance takes care of the termination 
Sincerely 
A new insurer ")</f>
        <v>I am satisfied with the direct insurance service. I was well informed over the phone.
Direct insurance takes care of the termination 
Sincerely 
A new insurer </v>
      </c>
    </row>
    <row r="364" ht="15.75" customHeight="1">
      <c r="A364" s="2">
        <v>3.0</v>
      </c>
      <c r="B364" s="2" t="s">
        <v>1126</v>
      </c>
      <c r="C364" s="2" t="s">
        <v>1127</v>
      </c>
      <c r="D364" s="2" t="s">
        <v>13</v>
      </c>
      <c r="E364" s="2" t="s">
        <v>14</v>
      </c>
      <c r="F364" s="2" t="s">
        <v>15</v>
      </c>
      <c r="G364" s="2" t="s">
        <v>1128</v>
      </c>
      <c r="H364" s="2" t="s">
        <v>557</v>
      </c>
      <c r="I364" s="2" t="str">
        <f>IFERROR(__xludf.DUMMYFUNCTION("GOOGLETRANSLATE(C364,""fr"",""en"")"),"Insurance to be seen over time and years. 
I had a broken glass, it passed without problems
Customer service is not up to par. You are told to contact a number, you are given incorrect information. Today we exchange a lot by email and the follow-up should"&amp;" be much straighter.
Other than that it's good insurance. Nothing to complain about.")</f>
        <v>Insurance to be seen over time and years. 
I had a broken glass, it passed without problems
Customer service is not up to par. You are told to contact a number, you are given incorrect information. Today we exchange a lot by email and the follow-up should be much straighter.
Other than that it's good insurance. Nothing to complain about.</v>
      </c>
    </row>
    <row r="365" ht="15.75" customHeight="1">
      <c r="A365" s="2">
        <v>1.0</v>
      </c>
      <c r="B365" s="2" t="s">
        <v>1129</v>
      </c>
      <c r="C365" s="2" t="s">
        <v>1130</v>
      </c>
      <c r="D365" s="2" t="s">
        <v>89</v>
      </c>
      <c r="E365" s="2" t="s">
        <v>39</v>
      </c>
      <c r="F365" s="2" t="s">
        <v>15</v>
      </c>
      <c r="G365" s="2" t="s">
        <v>1131</v>
      </c>
      <c r="H365" s="2" t="s">
        <v>576</v>
      </c>
      <c r="I365" s="2" t="str">
        <f>IFERROR(__xludf.DUMMYFUNCTION("GOOGLETRANSLATE(C365,""fr"",""en"")"),"he is AIMING at the old people on the phone my parents are WITHOUT RESOURCES because of them 2 mutual insurance companies to pay he refuses to cancel with a letter AR")</f>
        <v>he is AIMING at the old people on the phone my parents are WITHOUT RESOURCES because of them 2 mutual insurance companies to pay he refuses to cancel with a letter AR</v>
      </c>
    </row>
    <row r="366" ht="15.75" customHeight="1">
      <c r="A366" s="2">
        <v>2.0</v>
      </c>
      <c r="B366" s="2" t="s">
        <v>1132</v>
      </c>
      <c r="C366" s="2" t="s">
        <v>1133</v>
      </c>
      <c r="D366" s="2" t="s">
        <v>55</v>
      </c>
      <c r="E366" s="2" t="s">
        <v>39</v>
      </c>
      <c r="F366" s="2" t="s">
        <v>15</v>
      </c>
      <c r="G366" s="2" t="s">
        <v>83</v>
      </c>
      <c r="H366" s="2" t="s">
        <v>83</v>
      </c>
      <c r="I366" s="2" t="str">
        <f>IFERROR(__xludf.DUMMYFUNCTION("GOOGLETRANSLATE(C366,""fr"",""en"")"),"They are not champions, covid and its pseudo disadvantages are their spearhead, super slow to respond, every excuse to delay quote agreements, requests for documents or proof that no other mutual insurance company requests, reimbursements that differ from"&amp;" one month to the next, without the situation changing, particularly intolerable telephone waits, to be avoided absolutely by people who do not have internet or who do not have a telephone with a maxi package.For the price , it was mutual insurance paid 1"&amp;"00% by the employer, so I can't judge, but given the problems it's little consolation. As for contact, nothing to say, they don't have an office to welcome customers, they are only intermediaries supposed to facilitate exchanges, howling with laughter!")</f>
        <v>They are not champions, covid and its pseudo disadvantages are their spearhead, super slow to respond, every excuse to delay quote agreements, requests for documents or proof that no other mutual insurance company requests, reimbursements that differ from one month to the next, without the situation changing, particularly intolerable telephone waits, to be avoided absolutely by people who do not have internet or who do not have a telephone with a maxi package.For the price , it was mutual insurance paid 100% by the employer, so I can't judge, but given the problems it's little consolation. As for contact, nothing to say, they don't have an office to welcome customers, they are only intermediaries supposed to facilitate exchanges, howling with laughter!</v>
      </c>
    </row>
    <row r="367" ht="15.75" customHeight="1">
      <c r="A367" s="2">
        <v>5.0</v>
      </c>
      <c r="B367" s="2" t="s">
        <v>1134</v>
      </c>
      <c r="C367" s="2" t="s">
        <v>1135</v>
      </c>
      <c r="D367" s="2" t="s">
        <v>28</v>
      </c>
      <c r="E367" s="2" t="s">
        <v>14</v>
      </c>
      <c r="F367" s="2" t="s">
        <v>15</v>
      </c>
      <c r="G367" s="2" t="s">
        <v>847</v>
      </c>
      <c r="H367" s="2" t="s">
        <v>612</v>
      </c>
      <c r="I367" s="2" t="str">
        <f>IFERROR(__xludf.DUMMYFUNCTION("GOOGLETRANSLATE(C367,""fr"",""en"")"),"Completely satisfied since my visit to L'Olivier assurance for a few months. I have a new license and I save a lot each month compared to my old insurer! ")</f>
        <v>Completely satisfied since my visit to L'Olivier assurance for a few months. I have a new license and I save a lot each month compared to my old insurer! </v>
      </c>
    </row>
    <row r="368" ht="15.75" customHeight="1">
      <c r="A368" s="2">
        <v>4.0</v>
      </c>
      <c r="B368" s="2" t="s">
        <v>1136</v>
      </c>
      <c r="C368" s="2" t="s">
        <v>1137</v>
      </c>
      <c r="D368" s="2" t="s">
        <v>664</v>
      </c>
      <c r="E368" s="2" t="s">
        <v>39</v>
      </c>
      <c r="F368" s="2" t="s">
        <v>15</v>
      </c>
      <c r="G368" s="2" t="s">
        <v>124</v>
      </c>
      <c r="H368" s="2" t="s">
        <v>125</v>
      </c>
      <c r="I368" s="2" t="str">
        <f>IFERROR(__xludf.DUMMYFUNCTION("GOOGLETRANSLATE(C368,""fr"",""en"")"),"I was very well informed by Lamia regarding my third-party payment card. Very pleasant and efficient. Let's wait for the rest....IN any case for the moment nothing to complain about.")</f>
        <v>I was very well informed by Lamia regarding my third-party payment card. Very pleasant and efficient. Let's wait for the rest....IN any case for the moment nothing to complain about.</v>
      </c>
    </row>
    <row r="369" ht="15.75" customHeight="1">
      <c r="A369" s="2">
        <v>2.0</v>
      </c>
      <c r="B369" s="2" t="s">
        <v>1138</v>
      </c>
      <c r="C369" s="2" t="s">
        <v>1139</v>
      </c>
      <c r="D369" s="2" t="s">
        <v>145</v>
      </c>
      <c r="E369" s="2" t="s">
        <v>129</v>
      </c>
      <c r="F369" s="2" t="s">
        <v>15</v>
      </c>
      <c r="G369" s="2" t="s">
        <v>1140</v>
      </c>
      <c r="H369" s="2" t="s">
        <v>661</v>
      </c>
      <c r="I369" s="2" t="str">
        <f>IFERROR(__xludf.DUMMYFUNCTION("GOOGLETRANSLATE(C369,""fr"",""en"")"),"following a disaster no news, no response to my emails on my maaf space, and when you have them on the phone he doesn't know how to answer your questions I'm disgusted with this insurance it's scandalous to fuck these customers like this, I have 5 insuran"&amp;"ces with eu ")</f>
        <v>following a disaster no news, no response to my emails on my maaf space, and when you have them on the phone he doesn't know how to answer your questions I'm disgusted with this insurance it's scandalous to fuck these customers like this, I have 5 insurances with eu </v>
      </c>
    </row>
    <row r="370" ht="15.75" customHeight="1">
      <c r="A370" s="2">
        <v>1.0</v>
      </c>
      <c r="B370" s="2" t="s">
        <v>1141</v>
      </c>
      <c r="C370" s="2" t="s">
        <v>1142</v>
      </c>
      <c r="D370" s="2" t="s">
        <v>465</v>
      </c>
      <c r="E370" s="2" t="s">
        <v>39</v>
      </c>
      <c r="F370" s="2" t="s">
        <v>15</v>
      </c>
      <c r="G370" s="2" t="s">
        <v>1143</v>
      </c>
      <c r="H370" s="2" t="s">
        <v>216</v>
      </c>
      <c r="I370" s="2" t="str">
        <f>IFERROR(__xludf.DUMMYFUNCTION("GOOGLETRANSLATE(C370,""fr"",""en"")"),"Since I retired I have had recurring problems with MGEN regarding the calculation of my contribution. Every year, a completely false and exaggerated amount of income is taken into account to calculate my contribution. No matter how much I do what is neces"&amp;"sary, it comes back every year. Is this a way to scare retirees away from mutual insurance? I contributed for 37 years when I was active and did not have this problem.")</f>
        <v>Since I retired I have had recurring problems with MGEN regarding the calculation of my contribution. Every year, a completely false and exaggerated amount of income is taken into account to calculate my contribution. No matter how much I do what is necessary, it comes back every year. Is this a way to scare retirees away from mutual insurance? I contributed for 37 years when I was active and did not have this problem.</v>
      </c>
    </row>
    <row r="371" ht="15.75" customHeight="1">
      <c r="A371" s="2">
        <v>5.0</v>
      </c>
      <c r="B371" s="2" t="s">
        <v>1144</v>
      </c>
      <c r="C371" s="2" t="s">
        <v>1145</v>
      </c>
      <c r="D371" s="2" t="s">
        <v>28</v>
      </c>
      <c r="E371" s="2" t="s">
        <v>14</v>
      </c>
      <c r="F371" s="2" t="s">
        <v>15</v>
      </c>
      <c r="G371" s="2" t="s">
        <v>1146</v>
      </c>
      <c r="H371" s="2" t="s">
        <v>94</v>
      </c>
      <c r="I371" s="2" t="str">
        <f>IFERROR(__xludf.DUMMYFUNCTION("GOOGLETRANSLATE(C371,""fr"",""en"")"),"Satisfied with the information from the very friendly advisor, correct price and ease of subscription. I would advise those around me to take out Olivier insurance.")</f>
        <v>Satisfied with the information from the very friendly advisor, correct price and ease of subscription. I would advise those around me to take out Olivier insurance.</v>
      </c>
    </row>
    <row r="372" ht="15.75" customHeight="1">
      <c r="A372" s="2">
        <v>5.0</v>
      </c>
      <c r="B372" s="2" t="s">
        <v>1147</v>
      </c>
      <c r="C372" s="2" t="s">
        <v>1148</v>
      </c>
      <c r="D372" s="2" t="s">
        <v>28</v>
      </c>
      <c r="E372" s="2" t="s">
        <v>14</v>
      </c>
      <c r="F372" s="2" t="s">
        <v>15</v>
      </c>
      <c r="G372" s="2" t="s">
        <v>1149</v>
      </c>
      <c r="H372" s="2" t="s">
        <v>414</v>
      </c>
      <c r="I372" s="2" t="str">
        <f>IFERROR(__xludf.DUMMYFUNCTION("GOOGLETRANSLATE(C372,""fr"",""en"")"),"Very satisfied with the simplicity and speed of changing insurance and receiving my new green card. Initially I turned to this insurance for the price and that's not all that's good!")</f>
        <v>Very satisfied with the simplicity and speed of changing insurance and receiving my new green card. Initially I turned to this insurance for the price and that's not all that's good!</v>
      </c>
    </row>
    <row r="373" ht="15.75" customHeight="1">
      <c r="A373" s="2">
        <v>3.0</v>
      </c>
      <c r="B373" s="2" t="s">
        <v>1150</v>
      </c>
      <c r="C373" s="2" t="s">
        <v>1151</v>
      </c>
      <c r="D373" s="2" t="s">
        <v>13</v>
      </c>
      <c r="E373" s="2" t="s">
        <v>14</v>
      </c>
      <c r="F373" s="2" t="s">
        <v>15</v>
      </c>
      <c r="G373" s="2" t="s">
        <v>470</v>
      </c>
      <c r="H373" s="2" t="s">
        <v>30</v>
      </c>
      <c r="I373" s="2" t="str">
        <f>IFERROR(__xludf.DUMMYFUNCTION("GOOGLETRANSLATE(C373,""fr"",""en"")"),"Simple and practical, I still hope to be able to benefit from a reduction in my insurance as soon as possible.
I have now been retired since November 1, 2020......")</f>
        <v>Simple and practical, I still hope to be able to benefit from a reduction in my insurance as soon as possible.
I have now been retired since November 1, 2020......</v>
      </c>
    </row>
    <row r="374" ht="15.75" customHeight="1">
      <c r="A374" s="2">
        <v>3.0</v>
      </c>
      <c r="B374" s="2" t="s">
        <v>1152</v>
      </c>
      <c r="C374" s="2" t="s">
        <v>1153</v>
      </c>
      <c r="D374" s="2" t="s">
        <v>28</v>
      </c>
      <c r="E374" s="2" t="s">
        <v>14</v>
      </c>
      <c r="F374" s="2" t="s">
        <v>15</v>
      </c>
      <c r="G374" s="2" t="s">
        <v>1154</v>
      </c>
      <c r="H374" s="2" t="s">
        <v>361</v>
      </c>
      <c r="I374" s="2" t="str">
        <f>IFERROR(__xludf.DUMMYFUNCTION("GOOGLETRANSLATE(C374,""fr"",""en"")"),"Very professional in their profession, I recommend... I had a major car problem and he was there throughout my problem, he informed me well and guided me well. ")</f>
        <v>Very professional in their profession, I recommend... I had a major car problem and he was there throughout my problem, he informed me well and guided me well. </v>
      </c>
    </row>
    <row r="375" ht="15.75" customHeight="1">
      <c r="A375" s="2">
        <v>4.0</v>
      </c>
      <c r="B375" s="2" t="s">
        <v>1155</v>
      </c>
      <c r="C375" s="2" t="s">
        <v>1156</v>
      </c>
      <c r="D375" s="2" t="s">
        <v>13</v>
      </c>
      <c r="E375" s="2" t="s">
        <v>14</v>
      </c>
      <c r="F375" s="2" t="s">
        <v>15</v>
      </c>
      <c r="G375" s="2" t="s">
        <v>620</v>
      </c>
      <c r="H375" s="2" t="s">
        <v>17</v>
      </c>
      <c r="I375" s="2" t="str">
        <f>IFERROR(__xludf.DUMMYFUNCTION("GOOGLETRANSLATE(C375,""fr"",""en"")"),"I am satisfied with the prices, the advisors are haphazard, some are very competent, others are of no use except to scare away your clients.")</f>
        <v>I am satisfied with the prices, the advisors are haphazard, some are very competent, others are of no use except to scare away your clients.</v>
      </c>
    </row>
    <row r="376" ht="15.75" customHeight="1">
      <c r="A376" s="2">
        <v>1.0</v>
      </c>
      <c r="B376" s="2" t="s">
        <v>1157</v>
      </c>
      <c r="C376" s="2" t="s">
        <v>1158</v>
      </c>
      <c r="D376" s="2" t="s">
        <v>65</v>
      </c>
      <c r="E376" s="2" t="s">
        <v>14</v>
      </c>
      <c r="F376" s="2" t="s">
        <v>15</v>
      </c>
      <c r="G376" s="2" t="s">
        <v>1159</v>
      </c>
      <c r="H376" s="2" t="s">
        <v>108</v>
      </c>
      <c r="I376" s="2" t="str">
        <f>IFERROR(__xludf.DUMMYFUNCTION("GOOGLETRANSLATE(C376,""fr"",""en"")"),"All contracts:
Effective in attracting a new customer with an attractive price, but endless discussions on each anniversary date to contest unjustified price increases.
Housing contract:
Following a residential disaster due to drought and recorded by a ba"&amp;"iliff, Allianz refuses to open a disaster file, even provisional, pending the publication of the natural disaster classification decree by the prefecture. If the decree was published, there would be no possibility of compensation if the repairs have alrea"&amp;"dy been carried out, which means that, according to this inappropriate procedure, nothing can be done, we allow the problems to worsen and we bring in an expert when the walls collapsed to see the disorder.
")</f>
        <v>All contracts:
Effective in attracting a new customer with an attractive price, but endless discussions on each anniversary date to contest unjustified price increases.
Housing contract:
Following a residential disaster due to drought and recorded by a bailiff, Allianz refuses to open a disaster file, even provisional, pending the publication of the natural disaster classification decree by the prefecture. If the decree was published, there would be no possibility of compensation if the repairs have already been carried out, which means that, according to this inappropriate procedure, nothing can be done, we allow the problems to worsen and we bring in an expert when the walls collapsed to see the disorder.
</v>
      </c>
    </row>
    <row r="377" ht="15.75" customHeight="1">
      <c r="A377" s="2">
        <v>3.0</v>
      </c>
      <c r="B377" s="2" t="s">
        <v>1160</v>
      </c>
      <c r="C377" s="2" t="s">
        <v>1161</v>
      </c>
      <c r="D377" s="2" t="s">
        <v>13</v>
      </c>
      <c r="E377" s="2" t="s">
        <v>14</v>
      </c>
      <c r="F377" s="2" t="s">
        <v>15</v>
      </c>
      <c r="G377" s="2" t="s">
        <v>1162</v>
      </c>
      <c r="H377" s="2" t="s">
        <v>71</v>
      </c>
      <c r="I377" s="2" t="str">
        <f>IFERROR(__xludf.DUMMYFUNCTION("GOOGLETRANSLATE(C377,""fr"",""en"")"),"Very good services, competent advisors, but discount on multiple contracts not really advantageous despite 2 car contracts and a house contract.")</f>
        <v>Very good services, competent advisors, but discount on multiple contracts not really advantageous despite 2 car contracts and a house contract.</v>
      </c>
    </row>
    <row r="378" ht="15.75" customHeight="1">
      <c r="A378" s="2">
        <v>3.0</v>
      </c>
      <c r="B378" s="2" t="s">
        <v>1163</v>
      </c>
      <c r="C378" s="2" t="s">
        <v>1164</v>
      </c>
      <c r="D378" s="2" t="s">
        <v>13</v>
      </c>
      <c r="E378" s="2" t="s">
        <v>14</v>
      </c>
      <c r="F378" s="2" t="s">
        <v>15</v>
      </c>
      <c r="G378" s="2" t="s">
        <v>1165</v>
      </c>
      <c r="H378" s="2" t="s">
        <v>21</v>
      </c>
      <c r="I378" s="2" t="str">
        <f>IFERROR(__xludf.DUMMYFUNCTION("GOOGLETRANSLATE(C378,""fr"",""en"")"),"Very difficult to get someone on the phone when I need it, just a frustrating answering machine. A simple thing that tarnishes your reputation. I just want an information statement for another company because you don't insure motorhomes! It's your fault, "&amp;"otherwise I would have taken another contract with you.")</f>
        <v>Very difficult to get someone on the phone when I need it, just a frustrating answering machine. A simple thing that tarnishes your reputation. I just want an information statement for another company because you don't insure motorhomes! It's your fault, otherwise I would have taken another contract with you.</v>
      </c>
    </row>
    <row r="379" ht="15.75" customHeight="1">
      <c r="A379" s="2">
        <v>3.0</v>
      </c>
      <c r="B379" s="2" t="s">
        <v>1166</v>
      </c>
      <c r="C379" s="2" t="s">
        <v>1167</v>
      </c>
      <c r="D379" s="2" t="s">
        <v>326</v>
      </c>
      <c r="E379" s="2" t="s">
        <v>14</v>
      </c>
      <c r="F379" s="2" t="s">
        <v>15</v>
      </c>
      <c r="G379" s="2" t="s">
        <v>1168</v>
      </c>
      <c r="H379" s="2" t="s">
        <v>899</v>
      </c>
      <c r="I379" s="2" t="str">
        <f>IFERROR(__xludf.DUMMYFUNCTION("GOOGLETRANSLATE(C379,""fr"",""en"")"),"Insurance much too expensive, no recognition from its loyal customers.
We have 4 cars insured with AXA, our home insurance etc...
we are not recognized. We go through a broker who cannot
not act on our opinions on the amounts requested by AXA. Every year "&amp;"we are taxed even if no disaster has occurred during the year.")</f>
        <v>Insurance much too expensive, no recognition from its loyal customers.
We have 4 cars insured with AXA, our home insurance etc...
we are not recognized. We go through a broker who cannot
not act on our opinions on the amounts requested by AXA. Every year we are taxed even if no disaster has occurred during the year.</v>
      </c>
    </row>
    <row r="380" ht="15.75" customHeight="1">
      <c r="A380" s="2">
        <v>4.0</v>
      </c>
      <c r="B380" s="2" t="s">
        <v>1169</v>
      </c>
      <c r="C380" s="2" t="s">
        <v>1170</v>
      </c>
      <c r="D380" s="2" t="s">
        <v>13</v>
      </c>
      <c r="E380" s="2" t="s">
        <v>14</v>
      </c>
      <c r="F380" s="2" t="s">
        <v>15</v>
      </c>
      <c r="G380" s="2" t="s">
        <v>943</v>
      </c>
      <c r="H380" s="2" t="s">
        <v>30</v>
      </c>
      <c r="I380" s="2" t="str">
        <f>IFERROR(__xludf.DUMMYFUNCTION("GOOGLETRANSLATE(C380,""fr"",""en"")"),"I am satisfied with my new contract but I find it a shame to have to request a new contract to obtain a more attractive price (480 euros instead of 810 euros) for the same car and the same guarantees.
It would be necessary to review.")</f>
        <v>I am satisfied with my new contract but I find it a shame to have to request a new contract to obtain a more attractive price (480 euros instead of 810 euros) for the same car and the same guarantees.
It would be necessary to review.</v>
      </c>
    </row>
    <row r="381" ht="15.75" customHeight="1">
      <c r="A381" s="2">
        <v>4.0</v>
      </c>
      <c r="B381" s="2" t="s">
        <v>1171</v>
      </c>
      <c r="C381" s="2" t="s">
        <v>1172</v>
      </c>
      <c r="D381" s="2" t="s">
        <v>190</v>
      </c>
      <c r="E381" s="2" t="s">
        <v>14</v>
      </c>
      <c r="F381" s="2" t="s">
        <v>15</v>
      </c>
      <c r="G381" s="2" t="s">
        <v>1173</v>
      </c>
      <c r="H381" s="2" t="s">
        <v>576</v>
      </c>
      <c r="I381" s="2" t="str">
        <f>IFERROR(__xludf.DUMMYFUNCTION("GOOGLETRANSLATE(C381,""fr"",""en"")"),"It has been 4 times in around ten years that we have used the GMF to tow vehicles following breakdowns and everything has gone well.")</f>
        <v>It has been 4 times in around ten years that we have used the GMF to tow vehicles following breakdowns and everything has gone well.</v>
      </c>
    </row>
    <row r="382" ht="15.75" customHeight="1">
      <c r="A382" s="2">
        <v>5.0</v>
      </c>
      <c r="B382" s="2" t="s">
        <v>1174</v>
      </c>
      <c r="C382" s="2" t="s">
        <v>1175</v>
      </c>
      <c r="D382" s="2" t="s">
        <v>197</v>
      </c>
      <c r="E382" s="2" t="s">
        <v>81</v>
      </c>
      <c r="F382" s="2" t="s">
        <v>15</v>
      </c>
      <c r="G382" s="2" t="s">
        <v>456</v>
      </c>
      <c r="H382" s="2" t="s">
        <v>111</v>
      </c>
      <c r="I382" s="2" t="str">
        <f>IFERROR(__xludf.DUMMYFUNCTION("GOOGLETRANSLATE(C382,""fr"",""en"")"),"I am satisfied with AMV insurance, very competitive price, customer service always available for any help, very complete online platform. THANKS ")</f>
        <v>I am satisfied with AMV insurance, very competitive price, customer service always available for any help, very complete online platform. THANKS </v>
      </c>
    </row>
    <row r="383" ht="15.75" customHeight="1">
      <c r="A383" s="2">
        <v>1.0</v>
      </c>
      <c r="B383" s="2" t="s">
        <v>1176</v>
      </c>
      <c r="C383" s="2" t="s">
        <v>1177</v>
      </c>
      <c r="D383" s="2" t="s">
        <v>55</v>
      </c>
      <c r="E383" s="2" t="s">
        <v>39</v>
      </c>
      <c r="F383" s="2" t="s">
        <v>15</v>
      </c>
      <c r="G383" s="2" t="s">
        <v>1178</v>
      </c>
      <c r="H383" s="2" t="s">
        <v>442</v>
      </c>
      <c r="I383" s="2" t="str">
        <f>IFERROR(__xludf.DUMMYFUNCTION("GOOGLETRANSLATE(C383,""fr"",""en"")"),"A FLYING SCANDAL. no customer service 
Processing times of more than 2 months")</f>
        <v>A FLYING SCANDAL. no customer service 
Processing times of more than 2 months</v>
      </c>
    </row>
    <row r="384" ht="15.75" customHeight="1">
      <c r="A384" s="2">
        <v>1.0</v>
      </c>
      <c r="B384" s="2" t="s">
        <v>1179</v>
      </c>
      <c r="C384" s="2" t="s">
        <v>1180</v>
      </c>
      <c r="D384" s="2" t="s">
        <v>322</v>
      </c>
      <c r="E384" s="2" t="s">
        <v>14</v>
      </c>
      <c r="F384" s="2" t="s">
        <v>15</v>
      </c>
      <c r="G384" s="2" t="s">
        <v>1181</v>
      </c>
      <c r="H384" s="2" t="s">
        <v>343</v>
      </c>
      <c r="I384" s="2" t="str">
        <f>IFERROR(__xludf.DUMMYFUNCTION("GOOGLETRANSLATE(C384,""fr"",""en"")"),"Hello, Customer reference: 268719. My provisional insurance certificate for one month ended on 12/10/2017: period during which I provided all the requested papers before the end of one month. I will contact you by email but still no response and no green "&amp;"card! In my customer area, all parts are received and validated. Thank you for doing what is necessary to resolve my problem. Sincerely
")</f>
        <v>Hello, Customer reference: 268719. My provisional insurance certificate for one month ended on 12/10/2017: period during which I provided all the requested papers before the end of one month. I will contact you by email but still no response and no green card! In my customer area, all parts are received and validated. Thank you for doing what is necessary to resolve my problem. Sincerely
</v>
      </c>
    </row>
    <row r="385" ht="15.75" customHeight="1">
      <c r="A385" s="2">
        <v>3.0</v>
      </c>
      <c r="B385" s="2" t="s">
        <v>1182</v>
      </c>
      <c r="C385" s="2" t="s">
        <v>1183</v>
      </c>
      <c r="D385" s="2" t="s">
        <v>310</v>
      </c>
      <c r="E385" s="2" t="s">
        <v>14</v>
      </c>
      <c r="F385" s="2" t="s">
        <v>15</v>
      </c>
      <c r="G385" s="2" t="s">
        <v>1184</v>
      </c>
      <c r="H385" s="2" t="s">
        <v>347</v>
      </c>
      <c r="I385" s="2" t="str">
        <f>IFERROR(__xludf.DUMMYFUNCTION("GOOGLETRANSLATE(C385,""fr"",""en"")"),"I have just made two online quotes from Eurofil to insure two cars currently insured, a little expensive, with MACSF: it's true, the reminders are incessant until we pick up; It’s true, the prices are, let’s say it, attractive. Comparatively, my old insur"&amp;"ance offers much more “high-end” services (deductibles, broken glass, vehicle loan, etc.).
There, I wander around this site and I only see unhappy people, so I'm going to think twice (maybe even three times) before leaving the MACSF, which, in 45 years ha"&amp;"s never posed a problem for me, otherwise that of being too expensive from now on for months. It's better to hold on than to run, I don't want to get fired at 65 like a dirty person, one fine morning, by email, without hope from what I read, to find good "&amp;"insurance. ")</f>
        <v>I have just made two online quotes from Eurofil to insure two cars currently insured, a little expensive, with MACSF: it's true, the reminders are incessant until we pick up; It’s true, the prices are, let’s say it, attractive. Comparatively, my old insurance offers much more “high-end” services (deductibles, broken glass, vehicle loan, etc.).
There, I wander around this site and I only see unhappy people, so I'm going to think twice (maybe even three times) before leaving the MACSF, which, in 45 years has never posed a problem for me, otherwise that of being too expensive from now on for months. It's better to hold on than to run, I don't want to get fired at 65 like a dirty person, one fine morning, by email, without hope from what I read, to find good insurance. </v>
      </c>
    </row>
    <row r="386" ht="15.75" customHeight="1">
      <c r="A386" s="2">
        <v>5.0</v>
      </c>
      <c r="B386" s="2" t="s">
        <v>1185</v>
      </c>
      <c r="C386" s="2" t="s">
        <v>1186</v>
      </c>
      <c r="D386" s="2" t="s">
        <v>13</v>
      </c>
      <c r="E386" s="2" t="s">
        <v>14</v>
      </c>
      <c r="F386" s="2" t="s">
        <v>15</v>
      </c>
      <c r="G386" s="2" t="s">
        <v>1187</v>
      </c>
      <c r="H386" s="2" t="s">
        <v>111</v>
      </c>
      <c r="I386" s="2" t="str">
        <f>IFERROR(__xludf.DUMMYFUNCTION("GOOGLETRANSLATE(C386,""fr"",""en"")"),"I am satisfied with direct insurance, I am already insured with you for my C4 car ll I am thinking of putting my home insurance with you as soon as possible thank you in advance ")</f>
        <v>I am satisfied with direct insurance, I am already insured with you for my C4 car ll I am thinking of putting my home insurance with you as soon as possible thank you in advance </v>
      </c>
    </row>
    <row r="387" ht="15.75" customHeight="1">
      <c r="A387" s="2">
        <v>4.0</v>
      </c>
      <c r="B387" s="2" t="s">
        <v>1188</v>
      </c>
      <c r="C387" s="2" t="s">
        <v>1189</v>
      </c>
      <c r="D387" s="2" t="s">
        <v>13</v>
      </c>
      <c r="E387" s="2" t="s">
        <v>14</v>
      </c>
      <c r="F387" s="2" t="s">
        <v>15</v>
      </c>
      <c r="G387" s="2" t="s">
        <v>1190</v>
      </c>
      <c r="H387" s="2" t="s">
        <v>21</v>
      </c>
      <c r="I387" s="2" t="str">
        <f>IFERROR(__xludf.DUMMYFUNCTION("GOOGLETRANSLATE(C387,""fr"",""en"")"),"I am satisfied with my communication with your colleague, I received the information I wanted; the procedures for canceling my previous insurance will be carried out by your services. Sincerely ")</f>
        <v>I am satisfied with my communication with your colleague, I received the information I wanted; the procedures for canceling my previous insurance will be carried out by your services. Sincerely </v>
      </c>
    </row>
    <row r="388" ht="15.75" customHeight="1">
      <c r="A388" s="2">
        <v>2.0</v>
      </c>
      <c r="B388" s="2" t="s">
        <v>1191</v>
      </c>
      <c r="C388" s="2" t="s">
        <v>1192</v>
      </c>
      <c r="D388" s="2" t="s">
        <v>28</v>
      </c>
      <c r="E388" s="2" t="s">
        <v>14</v>
      </c>
      <c r="F388" s="2" t="s">
        <v>15</v>
      </c>
      <c r="G388" s="2" t="s">
        <v>1193</v>
      </c>
      <c r="H388" s="2" t="s">
        <v>634</v>
      </c>
      <c r="I388" s="2" t="str">
        <f>IFERROR(__xludf.DUMMYFUNCTION("GOOGLETRANSLATE(C388,""fr"",""en"")"),"This insurance is a scandal. I am in third party and I want to pass without any risk. So I send photos, which are refused for “scratches” and a broken door that only they see! So I find myself in third place because of incompetent people whose only soluti"&amp;"on is to wait for the end of a year of contract (interminable by the way). So yes, insurance is not expensive but I advise everyone not to go here, in the end you will waste a lot of time and money! ")</f>
        <v>This insurance is a scandal. I am in third party and I want to pass without any risk. So I send photos, which are refused for “scratches” and a broken door that only they see! So I find myself in third place because of incompetent people whose only solution is to wait for the end of a year of contract (interminable by the way). So yes, insurance is not expensive but I advise everyone not to go here, in the end you will waste a lot of time and money! </v>
      </c>
    </row>
    <row r="389" ht="15.75" customHeight="1">
      <c r="A389" s="2">
        <v>5.0</v>
      </c>
      <c r="B389" s="2" t="s">
        <v>1194</v>
      </c>
      <c r="C389" s="2" t="s">
        <v>1195</v>
      </c>
      <c r="D389" s="2" t="s">
        <v>60</v>
      </c>
      <c r="E389" s="2" t="s">
        <v>137</v>
      </c>
      <c r="F389" s="2" t="s">
        <v>15</v>
      </c>
      <c r="G389" s="2" t="s">
        <v>173</v>
      </c>
      <c r="H389" s="2" t="s">
        <v>30</v>
      </c>
      <c r="I389" s="2" t="str">
        <f>IFERROR(__xludf.DUMMYFUNCTION("GOOGLETRANSLATE(C389,""fr"",""en"")"),"Good morning
I would like to sincerely thank Emeline for her warm welcome on the phone (which is very rare) and her information on reimbursements. 
Thank you very much Emeline. ")</f>
        <v>Good morning
I would like to sincerely thank Emeline for her warm welcome on the phone (which is very rare) and her information on reimbursements. 
Thank you very much Emeline. </v>
      </c>
    </row>
    <row r="390" ht="15.75" customHeight="1">
      <c r="A390" s="2">
        <v>1.0</v>
      </c>
      <c r="B390" s="2" t="s">
        <v>1196</v>
      </c>
      <c r="C390" s="2" t="s">
        <v>1197</v>
      </c>
      <c r="D390" s="2" t="s">
        <v>33</v>
      </c>
      <c r="E390" s="2" t="s">
        <v>129</v>
      </c>
      <c r="F390" s="2" t="s">
        <v>15</v>
      </c>
      <c r="G390" s="2" t="s">
        <v>1198</v>
      </c>
      <c r="H390" s="2" t="s">
        <v>347</v>
      </c>
      <c r="I390" s="2" t="str">
        <f>IFERROR(__xludf.DUMMYFUNCTION("GOOGLETRANSLATE(C390,""fr"",""en"")"),"If you don't need anything, subscribe to MATMUT.  It is up to the client to move the file forward, to manage with the company mandated by them.")</f>
        <v>If you don't need anything, subscribe to MATMUT.  It is up to the client to move the file forward, to manage with the company mandated by them.</v>
      </c>
    </row>
    <row r="391" ht="15.75" customHeight="1">
      <c r="A391" s="2">
        <v>1.0</v>
      </c>
      <c r="B391" s="2" t="s">
        <v>1199</v>
      </c>
      <c r="C391" s="2" t="s">
        <v>1200</v>
      </c>
      <c r="D391" s="2" t="s">
        <v>219</v>
      </c>
      <c r="E391" s="2" t="s">
        <v>137</v>
      </c>
      <c r="F391" s="2" t="s">
        <v>15</v>
      </c>
      <c r="G391" s="2" t="s">
        <v>1201</v>
      </c>
      <c r="H391" s="2" t="s">
        <v>354</v>
      </c>
      <c r="I391" s="2" t="str">
        <f>IFERROR(__xludf.DUMMYFUNCTION("GOOGLETRANSLATE(C391,""fr"",""en"")"),"Hello, for a month I have been trying to recover part of my life insurance to pay off a loan. I still don't have my money. I get walked between the postal bank and the CNP. I almost feel like it’s not my money. What to do? The postal bank doesn't even cal"&amp;"l me back and the CNP is impossible to contact. ")</f>
        <v>Hello, for a month I have been trying to recover part of my life insurance to pay off a loan. I still don't have my money. I get walked between the postal bank and the CNP. I almost feel like it’s not my money. What to do? The postal bank doesn't even call me back and the CNP is impossible to contact. </v>
      </c>
    </row>
    <row r="392" ht="15.75" customHeight="1">
      <c r="A392" s="2">
        <v>1.0</v>
      </c>
      <c r="B392" s="2" t="s">
        <v>1202</v>
      </c>
      <c r="C392" s="2" t="s">
        <v>1203</v>
      </c>
      <c r="D392" s="2" t="s">
        <v>28</v>
      </c>
      <c r="E392" s="2" t="s">
        <v>14</v>
      </c>
      <c r="F392" s="2" t="s">
        <v>15</v>
      </c>
      <c r="G392" s="2" t="s">
        <v>1204</v>
      </c>
      <c r="H392" s="2" t="s">
        <v>634</v>
      </c>
      <c r="I392" s="2" t="str">
        <f>IFERROR(__xludf.DUMMYFUNCTION("GOOGLETRANSLATE(C392,""fr"",""en"")"),"I call to get a statement of information to perhaps change insurance, I am told to get a new offer to avoid changing insurance. I currently pay 40 euros, she tells me a 5% discount which makes my monthly payment 42 euros so more expensive and therefore su"&amp;"rprising, then then gives me an offer again of 11% so 41 euros, I explain to her that my monthly payment currently is 40 euro I don't understand and I ask him why well supposedly we are increasing all the prices so my monthly payment should increase to 44"&amp;" euro not because of my case, but because of the rate compared to the region, I find it scandalous that we suffer an increase on a contract concluded at a precise price, therefore accident or not, increase in the price of insurance, well Olivier insurance"&amp;" goodbye and I will not advertise you , especially since I have not had any claims justifying this increase, when other insurance companies do not increase their prices for their serious customers!")</f>
        <v>I call to get a statement of information to perhaps change insurance, I am told to get a new offer to avoid changing insurance. I currently pay 40 euros, she tells me a 5% discount which makes my monthly payment 42 euros so more expensive and therefore surprising, then then gives me an offer again of 11% so 41 euros, I explain to her that my monthly payment currently is 40 euro I don't understand and I ask him why well supposedly we are increasing all the prices so my monthly payment should increase to 44 euro not because of my case, but because of the rate compared to the region, I find it scandalous that we suffer an increase on a contract concluded at a precise price, therefore accident or not, increase in the price of insurance, well Olivier insurance goodbye and I will not advertise you , especially since I have not had any claims justifying this increase, when other insurance companies do not increase their prices for their serious customers!</v>
      </c>
    </row>
    <row r="393" ht="15.75" customHeight="1">
      <c r="A393" s="2">
        <v>1.0</v>
      </c>
      <c r="B393" s="2" t="s">
        <v>1205</v>
      </c>
      <c r="C393" s="2" t="s">
        <v>1206</v>
      </c>
      <c r="D393" s="2" t="s">
        <v>219</v>
      </c>
      <c r="E393" s="2" t="s">
        <v>137</v>
      </c>
      <c r="F393" s="2" t="s">
        <v>15</v>
      </c>
      <c r="G393" s="2" t="s">
        <v>1207</v>
      </c>
      <c r="H393" s="2" t="s">
        <v>228</v>
      </c>
      <c r="I393" s="2" t="str">
        <f>IFERROR(__xludf.DUMMYFUNCTION("GOOGLETRANSLATE(C393,""fr"",""en"")"),"It's simple, I've been on ITT since March 5 for Acute Lymphoblastic Leukemia and no repayment of the monthly payments on my loan have been made. With the 90 days of deficiency we are 2 months late and no way of getting information. Note that I took out th"&amp;"e loan with the Boursorama real estate loan which told me that they could not contact them.
")</f>
        <v>It's simple, I've been on ITT since March 5 for Acute Lymphoblastic Leukemia and no repayment of the monthly payments on my loan have been made. With the 90 days of deficiency we are 2 months late and no way of getting information. Note that I took out the loan with the Boursorama real estate loan which told me that they could not contact them.
</v>
      </c>
    </row>
    <row r="394" ht="15.75" customHeight="1">
      <c r="A394" s="2">
        <v>5.0</v>
      </c>
      <c r="B394" s="2" t="s">
        <v>1208</v>
      </c>
      <c r="C394" s="2" t="s">
        <v>1209</v>
      </c>
      <c r="D394" s="2" t="s">
        <v>80</v>
      </c>
      <c r="E394" s="2" t="s">
        <v>81</v>
      </c>
      <c r="F394" s="2" t="s">
        <v>15</v>
      </c>
      <c r="G394" s="2" t="s">
        <v>480</v>
      </c>
      <c r="H394" s="2" t="s">
        <v>46</v>
      </c>
      <c r="I394" s="2" t="str">
        <f>IFERROR(__xludf.DUMMYFUNCTION("GOOGLETRANSLATE(C394,""fr"",""en"")"),"Super simple to use, thank you, the cheapest insurance on the market for quad or motorcycle, thank you cordially, Gerard Franck d'Auvergne ")</f>
        <v>Super simple to use, thank you, the cheapest insurance on the market for quad or motorcycle, thank you cordially, Gerard Franck d'Auvergne </v>
      </c>
    </row>
    <row r="395" ht="15.75" customHeight="1">
      <c r="A395" s="2">
        <v>1.0</v>
      </c>
      <c r="B395" s="2" t="s">
        <v>1210</v>
      </c>
      <c r="C395" s="2" t="s">
        <v>1211</v>
      </c>
      <c r="D395" s="2" t="s">
        <v>326</v>
      </c>
      <c r="E395" s="2" t="s">
        <v>14</v>
      </c>
      <c r="F395" s="2" t="s">
        <v>15</v>
      </c>
      <c r="G395" s="2" t="s">
        <v>1212</v>
      </c>
      <c r="H395" s="2" t="s">
        <v>1213</v>
      </c>
      <c r="I395" s="2" t="str">
        <f>IFERROR(__xludf.DUMMYFUNCTION("GOOGLETRANSLATE(C395,""fr"",""en"")"),"Agency service (Grenoble) non-existent: no response to emails, agent unreachable on the phone, does not call back. Deterioration of service over recent years (customer for over 30 years)")</f>
        <v>Agency service (Grenoble) non-existent: no response to emails, agent unreachable on the phone, does not call back. Deterioration of service over recent years (customer for over 30 years)</v>
      </c>
    </row>
    <row r="396" ht="15.75" customHeight="1">
      <c r="A396" s="2">
        <v>3.0</v>
      </c>
      <c r="B396" s="2" t="s">
        <v>1214</v>
      </c>
      <c r="C396" s="2" t="s">
        <v>1215</v>
      </c>
      <c r="D396" s="2" t="s">
        <v>28</v>
      </c>
      <c r="E396" s="2" t="s">
        <v>14</v>
      </c>
      <c r="F396" s="2" t="s">
        <v>15</v>
      </c>
      <c r="G396" s="2" t="s">
        <v>194</v>
      </c>
      <c r="H396" s="2" t="s">
        <v>83</v>
      </c>
      <c r="I396" s="2" t="str">
        <f>IFERROR(__xludf.DUMMYFUNCTION("GOOGLETRANSLATE(C396,""fr"",""en"")"),"Satisfied with the service and fair price, but I find it very unfortunate not to be able to immediately insure a car with temporary plates at all risks.")</f>
        <v>Satisfied with the service and fair price, but I find it very unfortunate not to be able to immediately insure a car with temporary plates at all risks.</v>
      </c>
    </row>
    <row r="397" ht="15.75" customHeight="1">
      <c r="A397" s="2">
        <v>2.0</v>
      </c>
      <c r="B397" s="2" t="s">
        <v>1216</v>
      </c>
      <c r="C397" s="2" t="s">
        <v>1217</v>
      </c>
      <c r="D397" s="2" t="s">
        <v>60</v>
      </c>
      <c r="E397" s="2" t="s">
        <v>137</v>
      </c>
      <c r="F397" s="2" t="s">
        <v>15</v>
      </c>
      <c r="G397" s="2" t="s">
        <v>844</v>
      </c>
      <c r="H397" s="2" t="s">
        <v>576</v>
      </c>
      <c r="I397" s="2" t="str">
        <f>IFERROR(__xludf.DUMMYFUNCTION("GOOGLETRANSLATE(C397,""fr"",""en"")"),"Independent consultant, have been with them for 15 years.
3 days of hospitalization + 1 week of sick leave signed by the hospital... It was a good test (I had never been sick before) because that's not enough for them, a ton of forms to fill out + exam re"&amp;"ports + ... It discouraged and disgusted me to have given them my money for 15 years
Terrible and unfriendly customer service on top of that")</f>
        <v>Independent consultant, have been with them for 15 years.
3 days of hospitalization + 1 week of sick leave signed by the hospital... It was a good test (I had never been sick before) because that's not enough for them, a ton of forms to fill out + exam reports + ... It discouraged and disgusted me to have given them my money for 15 years
Terrible and unfriendly customer service on top of that</v>
      </c>
    </row>
    <row r="398" ht="15.75" customHeight="1">
      <c r="A398" s="2">
        <v>2.0</v>
      </c>
      <c r="B398" s="2" t="s">
        <v>1218</v>
      </c>
      <c r="C398" s="2" t="s">
        <v>1219</v>
      </c>
      <c r="D398" s="2" t="s">
        <v>695</v>
      </c>
      <c r="E398" s="2" t="s">
        <v>50</v>
      </c>
      <c r="F398" s="2" t="s">
        <v>15</v>
      </c>
      <c r="G398" s="2" t="s">
        <v>1220</v>
      </c>
      <c r="H398" s="2" t="s">
        <v>374</v>
      </c>
      <c r="I398" s="2" t="str">
        <f>IFERROR(__xludf.DUMMYFUNCTION("GOOGLETRANSLATE(C398,""fr"",""en"")"),"I subscribed to this insurance via telephone canvassing, everything was done very quickly we feel almost obliged to say yes because they harass us so much, everything is done by telephone I receive my contract by email, changing my mind I use my right of "&amp;"withdrawal, ATTENTION firstly I am told that I can only do so by registered mail so we can subscribe by telephone but we MUST cancel by mail ONLY. I therefore send the letter, I call to ensure that it has been received and that I am reimbursed the entire "&amp;"amount that I had paid, the advisor informs me that the reimbursement should be returned to me within the week, after 2 weeks still nothing, so I called again to find out what was going on and the advisor I had informed me that following an error on their"&amp;" part (there was no delay in collecting against for reimbursement no one else) the transfer had still not been sent and the icing on the cake I am only reimbursed part of the amount (something that we do not tell you at any time, mind you), I advise you t"&amp;"o flee like the plague This borders on extortion. Sincerely ")</f>
        <v>I subscribed to this insurance via telephone canvassing, everything was done very quickly we feel almost obliged to say yes because they harass us so much, everything is done by telephone I receive my contract by email, changing my mind I use my right of withdrawal, ATTENTION firstly I am told that I can only do so by registered mail so we can subscribe by telephone but we MUST cancel by mail ONLY. I therefore send the letter, I call to ensure that it has been received and that I am reimbursed the entire amount that I had paid, the advisor informs me that the reimbursement should be returned to me within the week, after 2 weeks still nothing, so I called again to find out what was going on and the advisor I had informed me that following an error on their part (there was no delay in collecting against for reimbursement no one else) the transfer had still not been sent and the icing on the cake I am only reimbursed part of the amount (something that we do not tell you at any time, mind you), I advise you to flee like the plague This borders on extortion. Sincerely </v>
      </c>
    </row>
    <row r="399" ht="15.75" customHeight="1">
      <c r="A399" s="2">
        <v>1.0</v>
      </c>
      <c r="B399" s="2" t="s">
        <v>1221</v>
      </c>
      <c r="C399" s="2" t="s">
        <v>1222</v>
      </c>
      <c r="D399" s="2" t="s">
        <v>394</v>
      </c>
      <c r="E399" s="2" t="s">
        <v>129</v>
      </c>
      <c r="F399" s="2" t="s">
        <v>15</v>
      </c>
      <c r="G399" s="2" t="s">
        <v>725</v>
      </c>
      <c r="H399" s="2" t="s">
        <v>21</v>
      </c>
      <c r="I399" s="2" t="str">
        <f>IFERROR(__xludf.DUMMYFUNCTION("GOOGLETRANSLATE(C399,""fr"",""en"")"),"I rate 0
Inadmissible 
I telephone for my mother admitted to a nursing home, very weakened, very tired 
I just want information regarding, if possible, a certificate of civil liability and the person at the end of the line answers me repeatedly: it is not"&amp;" possible to provide information, it is up to my mother to make the request 
I just want to know if this is happening
And in a loop, it is the person concerned who must call 
Mom already has 2 housing contracts with Sogessur 
Inhuman this response 
Robots"&amp;" that respond 
In fact from the start I should have pretended to be my mother 
It's nonsense 
Really ZERO ")</f>
        <v>I rate 0
Inadmissible 
I telephone for my mother admitted to a nursing home, very weakened, very tired 
I just want information regarding, if possible, a certificate of civil liability and the person at the end of the line answers me repeatedly: it is not possible to provide information, it is up to my mother to make the request 
I just want to know if this is happening
And in a loop, it is the person concerned who must call 
Mom already has 2 housing contracts with Sogessur 
Inhuman this response 
Robots that respond 
In fact from the start I should have pretended to be my mother 
It's nonsense 
Really ZERO </v>
      </c>
    </row>
    <row r="400" ht="15.75" customHeight="1">
      <c r="A400" s="2">
        <v>4.0</v>
      </c>
      <c r="B400" s="2" t="s">
        <v>1223</v>
      </c>
      <c r="C400" s="2" t="s">
        <v>1224</v>
      </c>
      <c r="D400" s="2" t="s">
        <v>13</v>
      </c>
      <c r="E400" s="2" t="s">
        <v>14</v>
      </c>
      <c r="F400" s="2" t="s">
        <v>15</v>
      </c>
      <c r="G400" s="2" t="s">
        <v>1225</v>
      </c>
      <c r="H400" s="2" t="s">
        <v>248</v>
      </c>
      <c r="I400" s="2" t="str">
        <f>IFERROR(__xludf.DUMMYFUNCTION("GOOGLETRANSLATE(C400,""fr"",""en"")"),"Quick and efficient, requesting an online opinion is very simplified and allows you to plan ahead. This makes it easier to compare guarantees with other providers.")</f>
        <v>Quick and efficient, requesting an online opinion is very simplified and allows you to plan ahead. This makes it easier to compare guarantees with other providers.</v>
      </c>
    </row>
    <row r="401" ht="15.75" customHeight="1">
      <c r="A401" s="2">
        <v>5.0</v>
      </c>
      <c r="B401" s="2" t="s">
        <v>1226</v>
      </c>
      <c r="C401" s="2" t="s">
        <v>1227</v>
      </c>
      <c r="D401" s="2" t="s">
        <v>190</v>
      </c>
      <c r="E401" s="2" t="s">
        <v>14</v>
      </c>
      <c r="F401" s="2" t="s">
        <v>15</v>
      </c>
      <c r="G401" s="2" t="s">
        <v>377</v>
      </c>
      <c r="H401" s="2" t="s">
        <v>17</v>
      </c>
      <c r="I401" s="2" t="str">
        <f>IFERROR(__xludf.DUMMYFUNCTION("GOOGLETRANSLATE(C401,""fr"",""en"")"),"I am very satisfied, the GMF is attentive, professional and responsive. Good support. I recommend this insurance company and I am very satisfied with it.
")</f>
        <v>I am very satisfied, the GMF is attentive, professional and responsive. Good support. I recommend this insurance company and I am very satisfied with it.
</v>
      </c>
    </row>
    <row r="402" ht="15.75" customHeight="1">
      <c r="A402" s="2">
        <v>4.0</v>
      </c>
      <c r="B402" s="2" t="s">
        <v>1228</v>
      </c>
      <c r="C402" s="2" t="s">
        <v>1229</v>
      </c>
      <c r="D402" s="2" t="s">
        <v>80</v>
      </c>
      <c r="E402" s="2" t="s">
        <v>81</v>
      </c>
      <c r="F402" s="2" t="s">
        <v>15</v>
      </c>
      <c r="G402" s="2" t="s">
        <v>1230</v>
      </c>
      <c r="H402" s="2" t="s">
        <v>21</v>
      </c>
      <c r="I402" s="2" t="str">
        <f>IFERROR(__xludf.DUMMYFUNCTION("GOOGLETRANSLATE(C402,""fr"",""en"")"),"I am satisfied with the service very well I recommend to everyone insurance company which understands the needs of bikers very well!!!!!!!!!!!!")</f>
        <v>I am satisfied with the service very well I recommend to everyone insurance company which understands the needs of bikers very well!!!!!!!!!!!!</v>
      </c>
    </row>
    <row r="403" ht="15.75" customHeight="1">
      <c r="A403" s="2">
        <v>1.0</v>
      </c>
      <c r="B403" s="2" t="s">
        <v>1231</v>
      </c>
      <c r="C403" s="2" t="s">
        <v>1232</v>
      </c>
      <c r="D403" s="2" t="s">
        <v>326</v>
      </c>
      <c r="E403" s="2" t="s">
        <v>14</v>
      </c>
      <c r="F403" s="2" t="s">
        <v>15</v>
      </c>
      <c r="G403" s="2" t="s">
        <v>1233</v>
      </c>
      <c r="H403" s="2" t="s">
        <v>17</v>
      </c>
      <c r="I403" s="2" t="str">
        <f>IFERROR(__xludf.DUMMYFUNCTION("GOOGLETRANSLATE(C403,""fr"",""en"")"),"Since May, I have been experiencing what I consider to be a tragedy with AXA, with whom I have several insurance policies. In fact, my vehicle was vandalized in the south of France while I was traveling. After which I declared everything on time and sent "&amp;"my complaint to AXA, and it arrived on May 16. However, there was no assessment until May 19. Then, after several reminders, an expert opinion was submitted on June 15. However, contrary to what my contract stipulated, I did not get a replacement vehicle "&amp;"and continued to pay the costs inherent to a vehicle that appears to be a wreck from what the expert would have told me. So in the meantime I had to buy an additional vehicle with additional insurance, and this at my own expense in addition to the monthly"&amp;" leasing and insurance payments.
 The explanation for this would be that an investigation was opened on me and that the file would be blocked by the study and prevention department, so they would come back to me when the time came. I even received an insp"&amp;"ector in July who explained to me that the insurance company was concerned about possible fraud, hence the investigation and that for him everything was good so the case should follow its course. It would be appropriate to notify that the vehicle was invo"&amp;"lved in an accident in January following its loan to a person who was also interviewed by the inspector. However, despite all the parts provided and my good faith, still no return. 
That's when I turn to my legal assistance (JURIDICA) in the hope of movin"&amp;"g things forward. The first time, they tell me that I can't do anything before 3 months and that the insurance is within its rights. After 3 months, I ADVISED ME to send a registered letter citing an article of the insurance code, saying that the insurer "&amp;"would be obliged to compensate me after this period. To which AXA responds that this is only valid in the context of natural disasters, and that they are not bound by any deadline. In my case, they would get back to me. I turn again to JURIDICA giving the"&amp;"m this answer, and there surprise, I am informed that the entity is part of the AXA group, there would be a conflict of interest and that I have the right to be assisted by a lawyer, charged to JURIDICA according to my contract. 
Something that when in do"&amp;"ubt I had already done, and the lawyer rather guided me towards a referral to a mediator before a formal notice. Juridica ultimately informed me that I should have a response by September 20th at the latest, but once online, they say contact me again, and"&amp;" no more news. By the way, the lawyer's consultation does not ultimately factor into their reimbursement either. 
It's been going on for almost 5 months and I find it abusive")</f>
        <v>Since May, I have been experiencing what I consider to be a tragedy with AXA, with whom I have several insurance policies. In fact, my vehicle was vandalized in the south of France while I was traveling. After which I declared everything on time and sent my complaint to AXA, and it arrived on May 16. However, there was no assessment until May 19. Then, after several reminders, an expert opinion was submitted on June 15. However, contrary to what my contract stipulated, I did not get a replacement vehicle and continued to pay the costs inherent to a vehicle that appears to be a wreck from what the expert would have told me. So in the meantime I had to buy an additional vehicle with additional insurance, and this at my own expense in addition to the monthly leasing and insurance payments.
 The explanation for this would be that an investigation was opened on me and that the file would be blocked by the study and prevention department, so they would come back to me when the time came. I even received an inspector in July who explained to me that the insurance company was concerned about possible fraud, hence the investigation and that for him everything was good so the case should follow its course. It would be appropriate to notify that the vehicle was involved in an accident in January following its loan to a person who was also interviewed by the inspector. However, despite all the parts provided and my good faith, still no return. 
That's when I turn to my legal assistance (JURIDICA) in the hope of moving things forward. The first time, they tell me that I can't do anything before 3 months and that the insurance is within its rights. After 3 months, I ADVISED ME to send a registered letter citing an article of the insurance code, saying that the insurer would be obliged to compensate me after this period. To which AXA responds that this is only valid in the context of natural disasters, and that they are not bound by any deadline. In my case, they would get back to me. I turn again to JURIDICA giving them this answer, and there surprise, I am informed that the entity is part of the AXA group, there would be a conflict of interest and that I have the right to be assisted by a lawyer, charged to JURIDICA according to my contract. 
Something that when in doubt I had already done, and the lawyer rather guided me towards a referral to a mediator before a formal notice. Juridica ultimately informed me that I should have a response by September 20th at the latest, but once online, they say contact me again, and no more news. By the way, the lawyer's consultation does not ultimately factor into their reimbursement either. 
It's been going on for almost 5 months and I find it abusive</v>
      </c>
    </row>
    <row r="404" ht="15.75" customHeight="1">
      <c r="A404" s="2">
        <v>1.0</v>
      </c>
      <c r="B404" s="2" t="s">
        <v>1234</v>
      </c>
      <c r="C404" s="2" t="s">
        <v>1235</v>
      </c>
      <c r="D404" s="2" t="s">
        <v>38</v>
      </c>
      <c r="E404" s="2" t="s">
        <v>39</v>
      </c>
      <c r="F404" s="2" t="s">
        <v>15</v>
      </c>
      <c r="G404" s="2" t="s">
        <v>993</v>
      </c>
      <c r="H404" s="2" t="s">
        <v>994</v>
      </c>
      <c r="I404" s="2" t="str">
        <f>IFERROR(__xludf.DUMMYFUNCTION("GOOGLETRANSLATE(C404,""fr"",""en"")"),"Forced canvassing “an anomaly has been detected in your health reimbursements”, supposedly from the French mutual insurance company. Also on the red list. Who sold you my phone number? 2nd call, reported to Bloctel.")</f>
        <v>Forced canvassing “an anomaly has been detected in your health reimbursements”, supposedly from the French mutual insurance company. Also on the red list. Who sold you my phone number? 2nd call, reported to Bloctel.</v>
      </c>
    </row>
    <row r="405" ht="15.75" customHeight="1">
      <c r="A405" s="2">
        <v>2.0</v>
      </c>
      <c r="B405" s="2" t="s">
        <v>1236</v>
      </c>
      <c r="C405" s="2" t="s">
        <v>1237</v>
      </c>
      <c r="D405" s="2" t="s">
        <v>128</v>
      </c>
      <c r="E405" s="2" t="s">
        <v>14</v>
      </c>
      <c r="F405" s="2" t="s">
        <v>15</v>
      </c>
      <c r="G405" s="2" t="s">
        <v>748</v>
      </c>
      <c r="H405" s="2" t="s">
        <v>83</v>
      </c>
      <c r="I405" s="2" t="str">
        <f>IFERROR(__xludf.DUMMYFUNCTION("GOOGLETRANSLATE(C405,""fr"",""en"")"),"Despite my request repeated several times when modifying my contract, following a change of vehicle, to be well informed of any direct debit in advance so as not to be overdrawn, I discovered the direct debit on my account statement without having any bee"&amp;"n informed.")</f>
        <v>Despite my request repeated several times when modifying my contract, following a change of vehicle, to be well informed of any direct debit in advance so as not to be overdrawn, I discovered the direct debit on my account statement without having any been informed.</v>
      </c>
    </row>
    <row r="406" ht="15.75" customHeight="1">
      <c r="A406" s="2">
        <v>3.0</v>
      </c>
      <c r="B406" s="2" t="s">
        <v>1238</v>
      </c>
      <c r="C406" s="2" t="s">
        <v>1239</v>
      </c>
      <c r="D406" s="2" t="s">
        <v>38</v>
      </c>
      <c r="E406" s="2" t="s">
        <v>39</v>
      </c>
      <c r="F406" s="2" t="s">
        <v>15</v>
      </c>
      <c r="G406" s="2" t="s">
        <v>1109</v>
      </c>
      <c r="H406" s="2" t="s">
        <v>30</v>
      </c>
      <c r="I406" s="2" t="str">
        <f>IFERROR(__xludf.DUMMYFUNCTION("GOOGLETRANSLATE(C406,""fr"",""en"")"),"Hello, Emilie's information was very clear and very fast. So I am completely satisfied with his performance. With my best regards, François Prêcheur, member 502456")</f>
        <v>Hello, Emilie's information was very clear and very fast. So I am completely satisfied with his performance. With my best regards, François Prêcheur, member 502456</v>
      </c>
    </row>
    <row r="407" ht="15.75" customHeight="1">
      <c r="A407" s="2">
        <v>2.0</v>
      </c>
      <c r="B407" s="2" t="s">
        <v>1240</v>
      </c>
      <c r="C407" s="2" t="s">
        <v>1241</v>
      </c>
      <c r="D407" s="2" t="s">
        <v>1242</v>
      </c>
      <c r="E407" s="2" t="s">
        <v>101</v>
      </c>
      <c r="F407" s="2" t="s">
        <v>15</v>
      </c>
      <c r="G407" s="2" t="s">
        <v>1243</v>
      </c>
      <c r="H407" s="2" t="s">
        <v>448</v>
      </c>
      <c r="I407" s="2" t="str">
        <f>IFERROR(__xludf.DUMMYFUNCTION("GOOGLETRANSLATE(C407,""fr"",""en"")"),"Pay PAY. I'm still looking for little animals. After an AT I wanted to return to work twice. And they don't like it, he tries to put me to sleep. I made an appointment with a lawyer so that they could explain things clearly.")</f>
        <v>Pay PAY. I'm still looking for little animals. After an AT I wanted to return to work twice. And they don't like it, he tries to put me to sleep. I made an appointment with a lawyer so that they could explain things clearly.</v>
      </c>
    </row>
    <row r="408" ht="15.75" customHeight="1">
      <c r="A408" s="2">
        <v>1.0</v>
      </c>
      <c r="B408" s="2" t="s">
        <v>1244</v>
      </c>
      <c r="C408" s="2" t="s">
        <v>1245</v>
      </c>
      <c r="D408" s="2" t="s">
        <v>623</v>
      </c>
      <c r="E408" s="2" t="s">
        <v>101</v>
      </c>
      <c r="F408" s="2" t="s">
        <v>15</v>
      </c>
      <c r="G408" s="2" t="s">
        <v>1246</v>
      </c>
      <c r="H408" s="2" t="s">
        <v>557</v>
      </c>
      <c r="I408" s="2" t="str">
        <f>IFERROR(__xludf.DUMMYFUNCTION("GOOGLETRANSLATE(C408,""fr"",""en"")"),"I joined the big family of cardif insurance disappointments I passed category 2 disability on 11 2016 and made a request to cover my disability he answered yes but he took me on sick leave at the place of disability for 12 months letter from them by which"&amp;" he stopped compensating because I was not in total permanent disability so I asked to have an expertise with their doctor he recognized me for having if you haven't yet enough you have to be itpa so I still wonder who your kidding ")</f>
        <v>I joined the big family of cardif insurance disappointments I passed category 2 disability on 11 2016 and made a request to cover my disability he answered yes but he took me on sick leave at the place of disability for 12 months letter from them by which he stopped compensating because I was not in total permanent disability so I asked to have an expertise with their doctor he recognized me for having if you haven't yet enough you have to be itpa so I still wonder who your kidding </v>
      </c>
    </row>
    <row r="409" ht="15.75" customHeight="1">
      <c r="A409" s="2">
        <v>4.0</v>
      </c>
      <c r="B409" s="2" t="s">
        <v>1247</v>
      </c>
      <c r="C409" s="2" t="s">
        <v>1248</v>
      </c>
      <c r="D409" s="2" t="s">
        <v>28</v>
      </c>
      <c r="E409" s="2" t="s">
        <v>14</v>
      </c>
      <c r="F409" s="2" t="s">
        <v>15</v>
      </c>
      <c r="G409" s="2" t="s">
        <v>1114</v>
      </c>
      <c r="H409" s="2" t="s">
        <v>17</v>
      </c>
      <c r="I409" s="2" t="str">
        <f>IFERROR(__xludf.DUMMYFUNCTION("GOOGLETRANSLATE(C409,""fr"",""en"")"),"The prices are very attractive, the quality of the service remains to be seen. For a car that is driven little or at the end of its life, the minimum insurance is very interesting.")</f>
        <v>The prices are very attractive, the quality of the service remains to be seen. For a car that is driven little or at the end of its life, the minimum insurance is very interesting.</v>
      </c>
    </row>
    <row r="410" ht="15.75" customHeight="1">
      <c r="A410" s="2">
        <v>4.0</v>
      </c>
      <c r="B410" s="2" t="s">
        <v>1249</v>
      </c>
      <c r="C410" s="2" t="s">
        <v>1250</v>
      </c>
      <c r="D410" s="2" t="s">
        <v>28</v>
      </c>
      <c r="E410" s="2" t="s">
        <v>14</v>
      </c>
      <c r="F410" s="2" t="s">
        <v>15</v>
      </c>
      <c r="G410" s="2" t="s">
        <v>1251</v>
      </c>
      <c r="H410" s="2" t="s">
        <v>83</v>
      </c>
      <c r="I410" s="2" t="str">
        <f>IFERROR(__xludf.DUMMYFUNCTION("GOOGLETRANSLATE(C410,""fr"",""en"")"),"Deposit difficult to accept when we are already a customer.
This is sometimes difficult to finance. Review this part. ok for new customer..otherwise great contact advisor")</f>
        <v>Deposit difficult to accept when we are already a customer.
This is sometimes difficult to finance. Review this part. ok for new customer..otherwise great contact advisor</v>
      </c>
    </row>
    <row r="411" ht="15.75" customHeight="1">
      <c r="A411" s="2">
        <v>2.0</v>
      </c>
      <c r="B411" s="2" t="s">
        <v>1252</v>
      </c>
      <c r="C411" s="2" t="s">
        <v>1253</v>
      </c>
      <c r="D411" s="2" t="s">
        <v>394</v>
      </c>
      <c r="E411" s="2" t="s">
        <v>129</v>
      </c>
      <c r="F411" s="2" t="s">
        <v>15</v>
      </c>
      <c r="G411" s="2" t="s">
        <v>1254</v>
      </c>
      <c r="H411" s="2" t="s">
        <v>216</v>
      </c>
      <c r="I411" s="2" t="str">
        <f>IFERROR(__xludf.DUMMYFUNCTION("GOOGLETRANSLATE(C411,""fr"",""en"")"),"Following water damage at my home, the expert's report was sent on December 27, 2018. Since then, no news from SOGESSUR Habitation. And no way to contact them on 09 69 327 326: an answering machine which claims that all their advisors are busy! And this h"&amp;"as been happening for days! It's a shame!!! And obviously, reading some of the comments on this insurance, I'm not the only one!")</f>
        <v>Following water damage at my home, the expert's report was sent on December 27, 2018. Since then, no news from SOGESSUR Habitation. And no way to contact them on 09 69 327 326: an answering machine which claims that all their advisors are busy! And this has been happening for days! It's a shame!!! And obviously, reading some of the comments on this insurance, I'm not the only one!</v>
      </c>
    </row>
    <row r="412" ht="15.75" customHeight="1">
      <c r="A412" s="2">
        <v>1.0</v>
      </c>
      <c r="B412" s="2" t="s">
        <v>1255</v>
      </c>
      <c r="C412" s="2" t="s">
        <v>1256</v>
      </c>
      <c r="D412" s="2" t="s">
        <v>65</v>
      </c>
      <c r="E412" s="2" t="s">
        <v>129</v>
      </c>
      <c r="F412" s="2" t="s">
        <v>15</v>
      </c>
      <c r="G412" s="2" t="s">
        <v>1257</v>
      </c>
      <c r="H412" s="2" t="s">
        <v>1058</v>
      </c>
      <c r="I412" s="2" t="str">
        <f>IFERROR(__xludf.DUMMYFUNCTION("GOOGLETRANSLATE(C412,""fr"",""en"")"),"Fridge broken by lightning, I notify my insurance which ok does not hesitate to buy a fridge, I buy on cdiscoun and, and later they send me papers to be filled out by the seller so that he fills out a report for the origin of the breakdown???? How already"&amp;" sent the old fridge to cdiscoun?? Allianz and I have been with them for at least 15 years and a TV had been changed in 15 years.")</f>
        <v>Fridge broken by lightning, I notify my insurance which ok does not hesitate to buy a fridge, I buy on cdiscoun and, and later they send me papers to be filled out by the seller so that he fills out a report for the origin of the breakdown???? How already sent the old fridge to cdiscoun?? Allianz and I have been with them for at least 15 years and a TV had been changed in 15 years.</v>
      </c>
    </row>
    <row r="413" ht="15.75" customHeight="1">
      <c r="A413" s="2">
        <v>1.0</v>
      </c>
      <c r="B413" s="2" t="s">
        <v>1258</v>
      </c>
      <c r="C413" s="2" t="s">
        <v>1259</v>
      </c>
      <c r="D413" s="2" t="s">
        <v>33</v>
      </c>
      <c r="E413" s="2" t="s">
        <v>14</v>
      </c>
      <c r="F413" s="2" t="s">
        <v>15</v>
      </c>
      <c r="G413" s="2" t="s">
        <v>1260</v>
      </c>
      <c r="H413" s="2" t="s">
        <v>46</v>
      </c>
      <c r="I413" s="2" t="str">
        <f>IFERROR(__xludf.DUMMYFUNCTION("GOOGLETRANSLATE(C413,""fr"",""en"")"),"1 star because I can't put ZERO!!!
Having subscribed to this insurance for over 30 years and having had up to 9 simultaneous contracts with them, I decided to flee them.
Following the purchase of a new vehicle, they gave me 3 different quotes in the space"&amp;" of 1 month between the first contact and my final choice, necessarily the most expensive last: delta 250€00 annually. Despite my request for explanation and email, no explanation worthy of the name has been provided to justify the differences between the"&amp;" quotes.
Taken by time I decide to validate it despite everything, and I realize that this vehicle was insured instead of my second vehicle!!! so second without insurance!!
After numerous calls, an advisor finally agrees to listen to my problem and insure"&amp;"s this second vehicle in the name of my minor son MDR at an exorbitant price!
So I'm replacing my insurance to put it back as it was initially.
Faced with the lack of consideration of this company for these customers I decide to cancel my insurance with t"&amp;"hem and there the icing on the cake they tell me that this termination is impossible reason the contract is not 1 year old for your information he was insured with them for 2 years!!! explanation not the same contract number
In short, WORLD CHAMPION LA MA"&amp;"TMUT
Are times too complicated to put your customers to sleep like this?
In short, run away from them if you don't want problems after more than 30 years of paying monthly bills.   
")</f>
        <v>1 star because I can't put ZERO!!!
Having subscribed to this insurance for over 30 years and having had up to 9 simultaneous contracts with them, I decided to flee them.
Following the purchase of a new vehicle, they gave me 3 different quotes in the space of 1 month between the first contact and my final choice, necessarily the most expensive last: delta 250€00 annually. Despite my request for explanation and email, no explanation worthy of the name has been provided to justify the differences between the quotes.
Taken by time I decide to validate it despite everything, and I realize that this vehicle was insured instead of my second vehicle!!! so second without insurance!!
After numerous calls, an advisor finally agrees to listen to my problem and insures this second vehicle in the name of my minor son MDR at an exorbitant price!
So I'm replacing my insurance to put it back as it was initially.
Faced with the lack of consideration of this company for these customers I decide to cancel my insurance with them and there the icing on the cake they tell me that this termination is impossible reason the contract is not 1 year old for your information he was insured with them for 2 years!!! explanation not the same contract number
In short, WORLD CHAMPION LA MATMUT
Are times too complicated to put your customers to sleep like this?
In short, run away from them if you don't want problems after more than 30 years of paying monthly bills.   
</v>
      </c>
    </row>
    <row r="414" ht="15.75" customHeight="1">
      <c r="A414" s="2">
        <v>1.0</v>
      </c>
      <c r="B414" s="2" t="s">
        <v>1261</v>
      </c>
      <c r="C414" s="2" t="s">
        <v>1262</v>
      </c>
      <c r="D414" s="2" t="s">
        <v>326</v>
      </c>
      <c r="E414" s="2" t="s">
        <v>14</v>
      </c>
      <c r="F414" s="2" t="s">
        <v>15</v>
      </c>
      <c r="G414" s="2" t="s">
        <v>1263</v>
      </c>
      <c r="H414" s="2" t="s">
        <v>381</v>
      </c>
      <c r="I414" s="2" t="str">
        <f>IFERROR(__xludf.DUMMYFUNCTION("GOOGLETRANSLATE(C414,""fr"",""en"")"),"Refusal to compensate vehicle insured against all risks under the pretext of a false declaration. A second expertise took place Axa refuses to take it into account. 
Customer for 20 years")</f>
        <v>Refusal to compensate vehicle insured against all risks under the pretext of a false declaration. A second expertise took place Axa refuses to take it into account. 
Customer for 20 years</v>
      </c>
    </row>
    <row r="415" ht="15.75" customHeight="1">
      <c r="A415" s="2">
        <v>2.0</v>
      </c>
      <c r="B415" s="2" t="s">
        <v>1264</v>
      </c>
      <c r="C415" s="2" t="s">
        <v>1265</v>
      </c>
      <c r="D415" s="2" t="s">
        <v>13</v>
      </c>
      <c r="E415" s="2" t="s">
        <v>14</v>
      </c>
      <c r="F415" s="2" t="s">
        <v>15</v>
      </c>
      <c r="G415" s="2" t="s">
        <v>86</v>
      </c>
      <c r="H415" s="2" t="s">
        <v>71</v>
      </c>
      <c r="I415" s="2" t="str">
        <f>IFERROR(__xludf.DUMMYFUNCTION("GOOGLETRANSLATE(C415,""fr"",""en"")"),"I create and accept an all-risk quote of 274.75 and upon payment this increases to 312€. As the first monthly payment is paid via credit card
impossible to know the reason for such a discrepancy!")</f>
        <v>I create and accept an all-risk quote of 274.75 and upon payment this increases to 312€. As the first monthly payment is paid via credit card
impossible to know the reason for such a discrepancy!</v>
      </c>
    </row>
    <row r="416" ht="15.75" customHeight="1">
      <c r="A416" s="2">
        <v>2.0</v>
      </c>
      <c r="B416" s="2" t="s">
        <v>1266</v>
      </c>
      <c r="C416" s="2" t="s">
        <v>1267</v>
      </c>
      <c r="D416" s="2" t="s">
        <v>310</v>
      </c>
      <c r="E416" s="2" t="s">
        <v>14</v>
      </c>
      <c r="F416" s="2" t="s">
        <v>15</v>
      </c>
      <c r="G416" s="2" t="s">
        <v>1268</v>
      </c>
      <c r="H416" s="2" t="s">
        <v>381</v>
      </c>
      <c r="I416" s="2" t="str">
        <f>IFERROR(__xludf.DUMMYFUNCTION("GOOGLETRANSLATE(C416,""fr"",""en"")"),"insured for several years without an accident, reduction 50%++++, for 2 cars
Then 2 accidents in 3 years and contract terminated without warning!!!!!!
Fair prices but you shouldn't have an accident")</f>
        <v>insured for several years without an accident, reduction 50%++++, for 2 cars
Then 2 accidents in 3 years and contract terminated without warning!!!!!!
Fair prices but you shouldn't have an accident</v>
      </c>
    </row>
    <row r="417" ht="15.75" customHeight="1">
      <c r="A417" s="2">
        <v>5.0</v>
      </c>
      <c r="B417" s="2" t="s">
        <v>1269</v>
      </c>
      <c r="C417" s="2" t="s">
        <v>1270</v>
      </c>
      <c r="D417" s="2" t="s">
        <v>13</v>
      </c>
      <c r="E417" s="2" t="s">
        <v>14</v>
      </c>
      <c r="F417" s="2" t="s">
        <v>15</v>
      </c>
      <c r="G417" s="2" t="s">
        <v>1271</v>
      </c>
      <c r="H417" s="2" t="s">
        <v>71</v>
      </c>
      <c r="I417" s="2" t="str">
        <f>IFERROR(__xludf.DUMMYFUNCTION("GOOGLETRANSLATE(C417,""fr"",""en"")"),"EVERYTHING IS CORRECT
For direct telephone contact, good reception and very friendly, fast and competent advisor
Competitive price although still a little high")</f>
        <v>EVERYTHING IS CORRECT
For direct telephone contact, good reception and very friendly, fast and competent advisor
Competitive price although still a little high</v>
      </c>
    </row>
    <row r="418" ht="15.75" customHeight="1">
      <c r="A418" s="2">
        <v>5.0</v>
      </c>
      <c r="B418" s="2" t="s">
        <v>1272</v>
      </c>
      <c r="C418" s="2" t="s">
        <v>1273</v>
      </c>
      <c r="D418" s="2" t="s">
        <v>28</v>
      </c>
      <c r="E418" s="2" t="s">
        <v>14</v>
      </c>
      <c r="F418" s="2" t="s">
        <v>15</v>
      </c>
      <c r="G418" s="2" t="s">
        <v>1274</v>
      </c>
      <c r="H418" s="2" t="s">
        <v>181</v>
      </c>
      <c r="I418" s="2" t="str">
        <f>IFERROR(__xludf.DUMMYFUNCTION("GOOGLETRANSLATE(C418,""fr"",""en"")"),"Good overall customer experience for this first contract with l'Olivier for the commercial monitoring part. This opinion is currently incomplete since I have not yet had a disaster requiring the intervention of Olivier. And I hope not to need it soon... B"&amp;"ut if they do, I hope that they will be at the energy investment meeting, than their current expenditure in their customer experience.")</f>
        <v>Good overall customer experience for this first contract with l'Olivier for the commercial monitoring part. This opinion is currently incomplete since I have not yet had a disaster requiring the intervention of Olivier. And I hope not to need it soon... But if they do, I hope that they will be at the energy investment meeting, than their current expenditure in their customer experience.</v>
      </c>
    </row>
    <row r="419" ht="15.75" customHeight="1">
      <c r="A419" s="2">
        <v>1.0</v>
      </c>
      <c r="B419" s="2" t="s">
        <v>1275</v>
      </c>
      <c r="C419" s="2" t="s">
        <v>1276</v>
      </c>
      <c r="D419" s="2" t="s">
        <v>13</v>
      </c>
      <c r="E419" s="2" t="s">
        <v>14</v>
      </c>
      <c r="F419" s="2" t="s">
        <v>15</v>
      </c>
      <c r="G419" s="2" t="s">
        <v>224</v>
      </c>
      <c r="H419" s="2" t="s">
        <v>224</v>
      </c>
      <c r="I419" s="2" t="str">
        <f>IFERROR(__xludf.DUMMYFUNCTION("GOOGLETRANSLATE(C419,""fr"",""en"")"),"I have been insured with Direct Assurance for over 4 years. I recently received my Due Notice at 1500 eur/year for a Scenic. Finding the bill high, I decided to compete on lelynx.fr by entering exactly the same criteria... To my great surprise I received "&amp;"a quote from Direct Assurance at 870 eur / year for the same vehicle with the same services and guarantees!! I call customer service to ask for explanations. The 1st unscrupulously lies to me ""not the same vehicle"", ""no 2nd driver""... everything is fa"&amp;"lse, but the guy doesn't give up... 2 days later I receive a call from a manager, who tells me ""yes there is an IT problem, I go back to my management... our sense of customer service... blablabla...."". In short, still nothing, on the other hand they ch"&amp;"arge me 128 eur/month and still no explanation which justifies the difference from simple to almost double! ... I advise all DA policyholders to get a new quote! You might be surprised! In summary, run away!! ")</f>
        <v>I have been insured with Direct Assurance for over 4 years. I recently received my Due Notice at 1500 eur/year for a Scenic. Finding the bill high, I decided to compete on lelynx.fr by entering exactly the same criteria... To my great surprise I received a quote from Direct Assurance at 870 eur / year for the same vehicle with the same services and guarantees!! I call customer service to ask for explanations. The 1st unscrupulously lies to me "not the same vehicle", "no 2nd driver"... everything is false, but the guy doesn't give up... 2 days later I receive a call from a manager, who tells me "yes there is an IT problem, I go back to my management... our sense of customer service... blablabla....". In short, still nothing, on the other hand they charge me 128 eur/month and still no explanation which justifies the difference from simple to almost double! ... I advise all DA policyholders to get a new quote! You might be surprised! In summary, run away!! </v>
      </c>
    </row>
    <row r="420" ht="15.75" customHeight="1">
      <c r="A420" s="2">
        <v>5.0</v>
      </c>
      <c r="B420" s="2" t="s">
        <v>1277</v>
      </c>
      <c r="C420" s="2" t="s">
        <v>1278</v>
      </c>
      <c r="D420" s="2" t="s">
        <v>493</v>
      </c>
      <c r="E420" s="2" t="s">
        <v>101</v>
      </c>
      <c r="F420" s="2" t="s">
        <v>15</v>
      </c>
      <c r="G420" s="2" t="s">
        <v>487</v>
      </c>
      <c r="H420" s="2" t="s">
        <v>30</v>
      </c>
      <c r="I420" s="2" t="str">
        <f>IFERROR(__xludf.DUMMYFUNCTION("GOOGLETRANSLATE(C420,""fr"",""en"")"),"I am satisfied with the monitoring service and the prices and the quality of the speakers and their professionalism, I recommend this service to all borrowers ")</f>
        <v>I am satisfied with the monitoring service and the prices and the quality of the speakers and their professionalism, I recommend this service to all borrowers </v>
      </c>
    </row>
    <row r="421" ht="15.75" customHeight="1">
      <c r="A421" s="2">
        <v>1.0</v>
      </c>
      <c r="B421" s="2" t="s">
        <v>1279</v>
      </c>
      <c r="C421" s="2" t="s">
        <v>1280</v>
      </c>
      <c r="D421" s="2" t="s">
        <v>875</v>
      </c>
      <c r="E421" s="2" t="s">
        <v>50</v>
      </c>
      <c r="F421" s="2" t="s">
        <v>15</v>
      </c>
      <c r="G421" s="2" t="s">
        <v>1120</v>
      </c>
      <c r="H421" s="2" t="s">
        <v>236</v>
      </c>
      <c r="I421" s="2" t="str">
        <f>IFERROR(__xludf.DUMMYFUNCTION("GOOGLETRANSLATE(C421,""fr"",""en"")"),"I'm not happy. From this insurance, I have 2 reimbursements in progress, they say they will reimburse you in 72 hours but after a week I still have not received anything, I also made a reimbursement request 6 months ago and no news. Finally the salespeopl"&amp;"e sell you a dream...I plan to cancel and choose another one")</f>
        <v>I'm not happy. From this insurance, I have 2 reimbursements in progress, they say they will reimburse you in 72 hours but after a week I still have not received anything, I also made a reimbursement request 6 months ago and no news. Finally the salespeople sell you a dream...I plan to cancel and choose another one</v>
      </c>
    </row>
    <row r="422" ht="15.75" customHeight="1">
      <c r="A422" s="2">
        <v>5.0</v>
      </c>
      <c r="B422" s="2" t="s">
        <v>1281</v>
      </c>
      <c r="C422" s="2" t="s">
        <v>1282</v>
      </c>
      <c r="D422" s="2" t="s">
        <v>28</v>
      </c>
      <c r="E422" s="2" t="s">
        <v>14</v>
      </c>
      <c r="F422" s="2" t="s">
        <v>15</v>
      </c>
      <c r="G422" s="2" t="s">
        <v>251</v>
      </c>
      <c r="H422" s="2" t="s">
        <v>83</v>
      </c>
      <c r="I422" s="2" t="str">
        <f>IFERROR(__xludf.DUMMYFUNCTION("GOOGLETRANSLATE(C422,""fr"",""en"")"),"intuitive and easy to use site. fair price. I recommend this insurance for the moment, we will see after 1 year if the prices remain the same. ")</f>
        <v>intuitive and easy to use site. fair price. I recommend this insurance for the moment, we will see after 1 year if the prices remain the same. </v>
      </c>
    </row>
    <row r="423" ht="15.75" customHeight="1">
      <c r="A423" s="2">
        <v>4.0</v>
      </c>
      <c r="B423" s="2" t="s">
        <v>1283</v>
      </c>
      <c r="C423" s="2" t="s">
        <v>1284</v>
      </c>
      <c r="D423" s="2" t="s">
        <v>190</v>
      </c>
      <c r="E423" s="2" t="s">
        <v>14</v>
      </c>
      <c r="F423" s="2" t="s">
        <v>15</v>
      </c>
      <c r="G423" s="2" t="s">
        <v>395</v>
      </c>
      <c r="H423" s="2" t="s">
        <v>83</v>
      </c>
      <c r="I423" s="2" t="str">
        <f>IFERROR(__xludf.DUMMYFUNCTION("GOOGLETRANSLATE(C423,""fr"",""en"")"),"GMF reacts quickly to each request, the agents are very friendly and have always given me good advice and support. 
On several occasions, home or car, everything went well.")</f>
        <v>GMF reacts quickly to each request, the agents are very friendly and have always given me good advice and support. 
On several occasions, home or car, everything went well.</v>
      </c>
    </row>
    <row r="424" ht="15.75" customHeight="1">
      <c r="A424" s="2">
        <v>1.0</v>
      </c>
      <c r="B424" s="2" t="s">
        <v>1285</v>
      </c>
      <c r="C424" s="2" t="s">
        <v>1286</v>
      </c>
      <c r="D424" s="2" t="s">
        <v>326</v>
      </c>
      <c r="E424" s="2" t="s">
        <v>14</v>
      </c>
      <c r="F424" s="2" t="s">
        <v>15</v>
      </c>
      <c r="G424" s="2" t="s">
        <v>1287</v>
      </c>
      <c r="H424" s="2" t="s">
        <v>52</v>
      </c>
      <c r="I424" s="2" t="str">
        <f>IFERROR(__xludf.DUMMYFUNCTION("GOOGLETRANSLATE(C424,""fr"",""en"")"),"AXA's problem is that they don't understand French, they don't know what termination means, I've been explaining it to them for a year but it's too complicated for them. ")</f>
        <v>AXA's problem is that they don't understand French, they don't know what termination means, I've been explaining it to them for a year but it's too complicated for them. </v>
      </c>
    </row>
    <row r="425" ht="15.75" customHeight="1">
      <c r="A425" s="2">
        <v>2.0</v>
      </c>
      <c r="B425" s="2" t="s">
        <v>1288</v>
      </c>
      <c r="C425" s="2" t="s">
        <v>1289</v>
      </c>
      <c r="D425" s="2" t="s">
        <v>13</v>
      </c>
      <c r="E425" s="2" t="s">
        <v>14</v>
      </c>
      <c r="F425" s="2" t="s">
        <v>15</v>
      </c>
      <c r="G425" s="2" t="s">
        <v>1290</v>
      </c>
      <c r="H425" s="2" t="s">
        <v>181</v>
      </c>
      <c r="I425" s="2" t="str">
        <f>IFERROR(__xludf.DUMMYFUNCTION("GOOGLETRANSLATE(C425,""fr"",""en"")"),"this insurance does not take into account claims even with a recognized third party. no refund")</f>
        <v>this insurance does not take into account claims even with a recognized third party. no refund</v>
      </c>
    </row>
    <row r="426" ht="15.75" customHeight="1">
      <c r="A426" s="2">
        <v>4.0</v>
      </c>
      <c r="B426" s="2" t="s">
        <v>1291</v>
      </c>
      <c r="C426" s="2" t="s">
        <v>1292</v>
      </c>
      <c r="D426" s="2" t="s">
        <v>13</v>
      </c>
      <c r="E426" s="2" t="s">
        <v>14</v>
      </c>
      <c r="F426" s="2" t="s">
        <v>15</v>
      </c>
      <c r="G426" s="2" t="s">
        <v>733</v>
      </c>
      <c r="H426" s="2" t="s">
        <v>25</v>
      </c>
      <c r="I426" s="2" t="str">
        <f>IFERROR(__xludf.DUMMYFUNCTION("GOOGLETRANSLATE(C426,""fr"",""en"")"),"The prices are attractive. Haven't had a claim yet, so it's difficult to judge the service, but the prices are very competitive and it's very easy to join.")</f>
        <v>The prices are attractive. Haven't had a claim yet, so it's difficult to judge the service, but the prices are very competitive and it's very easy to join.</v>
      </c>
    </row>
    <row r="427" ht="15.75" customHeight="1">
      <c r="A427" s="2">
        <v>2.0</v>
      </c>
      <c r="B427" s="2" t="s">
        <v>1293</v>
      </c>
      <c r="C427" s="2" t="s">
        <v>1294</v>
      </c>
      <c r="D427" s="2" t="s">
        <v>303</v>
      </c>
      <c r="E427" s="2" t="s">
        <v>14</v>
      </c>
      <c r="F427" s="2" t="s">
        <v>15</v>
      </c>
      <c r="G427" s="2" t="s">
        <v>637</v>
      </c>
      <c r="H427" s="2" t="s">
        <v>25</v>
      </c>
      <c r="I427" s="2" t="str">
        <f>IFERROR(__xludf.DUMMYFUNCTION("GOOGLETRANSLATE(C427,""fr"",""en"")"),"I purchased a vehicle through Macif Avantages, whose service provider is: Auto Club. This organization is a disaster (it would be too much to list the problems encountered).
Macif advantages completely disengages from the problems encountered by referring"&amp;" us to this service provider, which is not normal. When we partner with a service provider we must ensure that it is reliable. I am extremely disappointed by the behavior of Macif!!
Flee Macif advantages!! So many problems!!")</f>
        <v>I purchased a vehicle through Macif Avantages, whose service provider is: Auto Club. This organization is a disaster (it would be too much to list the problems encountered).
Macif advantages completely disengages from the problems encountered by referring us to this service provider, which is not normal. When we partner with a service provider we must ensure that it is reliable. I am extremely disappointed by the behavior of Macif!!
Flee Macif advantages!! So many problems!!</v>
      </c>
    </row>
    <row r="428" ht="15.75" customHeight="1">
      <c r="A428" s="2">
        <v>3.0</v>
      </c>
      <c r="B428" s="2" t="s">
        <v>1295</v>
      </c>
      <c r="C428" s="2" t="s">
        <v>1296</v>
      </c>
      <c r="D428" s="2" t="s">
        <v>28</v>
      </c>
      <c r="E428" s="2" t="s">
        <v>14</v>
      </c>
      <c r="F428" s="2" t="s">
        <v>15</v>
      </c>
      <c r="G428" s="2" t="s">
        <v>1297</v>
      </c>
      <c r="H428" s="2" t="s">
        <v>83</v>
      </c>
      <c r="I428" s="2" t="str">
        <f>IFERROR(__xludf.DUMMYFUNCTION("GOOGLETRANSLATE(C428,""fr"",""en"")"),"A little expensive all the same for a 12 year old car, certainly a penalty is added but the price without penalty is just as expensive. Not much recognition even after a year of contract with them")</f>
        <v>A little expensive all the same for a 12 year old car, certainly a penalty is added but the price without penalty is just as expensive. Not much recognition even after a year of contract with them</v>
      </c>
    </row>
    <row r="429" ht="15.75" customHeight="1">
      <c r="A429" s="2">
        <v>4.0</v>
      </c>
      <c r="B429" s="2" t="s">
        <v>1298</v>
      </c>
      <c r="C429" s="2" t="s">
        <v>1299</v>
      </c>
      <c r="D429" s="2" t="s">
        <v>28</v>
      </c>
      <c r="E429" s="2" t="s">
        <v>14</v>
      </c>
      <c r="F429" s="2" t="s">
        <v>15</v>
      </c>
      <c r="G429" s="2" t="s">
        <v>1300</v>
      </c>
      <c r="H429" s="2" t="s">
        <v>30</v>
      </c>
      <c r="I429" s="2" t="str">
        <f>IFERROR(__xludf.DUMMYFUNCTION("GOOGLETRANSLATE(C429,""fr"",""en"")"),"I am satisfied with the contract but still a little expensive. The information requested by telephone is well explained. The waiting time on the phone is quite short.
")</f>
        <v>I am satisfied with the contract but still a little expensive. The information requested by telephone is well explained. The waiting time on the phone is quite short.
</v>
      </c>
    </row>
    <row r="430" ht="15.75" customHeight="1">
      <c r="A430" s="2">
        <v>1.0</v>
      </c>
      <c r="B430" s="2" t="s">
        <v>1301</v>
      </c>
      <c r="C430" s="2" t="s">
        <v>1302</v>
      </c>
      <c r="D430" s="2" t="s">
        <v>190</v>
      </c>
      <c r="E430" s="2" t="s">
        <v>14</v>
      </c>
      <c r="F430" s="2" t="s">
        <v>15</v>
      </c>
      <c r="G430" s="2" t="s">
        <v>1140</v>
      </c>
      <c r="H430" s="2" t="s">
        <v>661</v>
      </c>
      <c r="I430" s="2" t="str">
        <f>IFERROR(__xludf.DUMMYFUNCTION("GOOGLETRANSLATE(C430,""fr"",""en"")"),"GMF is expensive insurance of poor quality. They are not able to respond to their customer quickly for simple certificates. Worse, he is sometimes forced to take a day off to be able to make an appointment to resolve simple situations. In a word: RUN!!")</f>
        <v>GMF is expensive insurance of poor quality. They are not able to respond to their customer quickly for simple certificates. Worse, he is sometimes forced to take a day off to be able to make an appointment to resolve simple situations. In a word: RUN!!</v>
      </c>
    </row>
    <row r="431" ht="15.75" customHeight="1">
      <c r="A431" s="2">
        <v>1.0</v>
      </c>
      <c r="B431" s="2" t="s">
        <v>1303</v>
      </c>
      <c r="C431" s="2" t="s">
        <v>1304</v>
      </c>
      <c r="D431" s="2" t="s">
        <v>190</v>
      </c>
      <c r="E431" s="2" t="s">
        <v>129</v>
      </c>
      <c r="F431" s="2" t="s">
        <v>15</v>
      </c>
      <c r="G431" s="2" t="s">
        <v>1305</v>
      </c>
      <c r="H431" s="2" t="s">
        <v>354</v>
      </c>
      <c r="I431" s="2" t="str">
        <f>IFERROR(__xludf.DUMMYFUNCTION("GOOGLETRANSLATE(C431,""fr"",""en"")"),"I had a water leak problem at my house, it caused damage to the neighbor downstairs. GMF did not even want to take care of the leak search for free, they had to pay 280 euros for that. And then, they don't take care of repairing the leak either. In the ev"&amp;"ent of repair by them, the advisor said that it would cost me an excess of 350 euros. And the worst part, I opened a claim online on their site, and someone from them closed my claim without even speaking to me, because they came across my answering machi"&amp;"ne. I do not recommend GMF, this is my 4th year with them but I will cancel as soon as possible, while I find another, more correct insurance. In addition, they are not that competitive in terms of price. Not to mention the aggressiveness of the sinister "&amp;"advisor I spoke to on the phone.")</f>
        <v>I had a water leak problem at my house, it caused damage to the neighbor downstairs. GMF did not even want to take care of the leak search for free, they had to pay 280 euros for that. And then, they don't take care of repairing the leak either. In the event of repair by them, the advisor said that it would cost me an excess of 350 euros. And the worst part, I opened a claim online on their site, and someone from them closed my claim without even speaking to me, because they came across my answering machine. I do not recommend GMF, this is my 4th year with them but I will cancel as soon as possible, while I find another, more correct insurance. In addition, they are not that competitive in terms of price. Not to mention the aggressiveness of the sinister advisor I spoke to on the phone.</v>
      </c>
    </row>
    <row r="432" ht="15.75" customHeight="1">
      <c r="A432" s="2">
        <v>1.0</v>
      </c>
      <c r="B432" s="2" t="s">
        <v>1306</v>
      </c>
      <c r="C432" s="2" t="s">
        <v>1307</v>
      </c>
      <c r="D432" s="2" t="s">
        <v>326</v>
      </c>
      <c r="E432" s="2" t="s">
        <v>14</v>
      </c>
      <c r="F432" s="2" t="s">
        <v>15</v>
      </c>
      <c r="G432" s="2" t="s">
        <v>1308</v>
      </c>
      <c r="H432" s="2" t="s">
        <v>389</v>
      </c>
      <c r="I432" s="2" t="str">
        <f>IFERROR(__xludf.DUMMYFUNCTION("GOOGLETRANSLATE(C432,""fr"",""en"")"),"Insurer to flee!! 
Non-existent customer service and non-compliant business practices (contract amount different from approved quote)
You are then asked to pay a contribution even though you have never signed a contract...")</f>
        <v>Insurer to flee!! 
Non-existent customer service and non-compliant business practices (contract amount different from approved quote)
You are then asked to pay a contribution even though you have never signed a contract...</v>
      </c>
    </row>
    <row r="433" ht="15.75" customHeight="1">
      <c r="A433" s="2">
        <v>2.0</v>
      </c>
      <c r="B433" s="2" t="s">
        <v>1309</v>
      </c>
      <c r="C433" s="2" t="s">
        <v>1310</v>
      </c>
      <c r="D433" s="2" t="s">
        <v>303</v>
      </c>
      <c r="E433" s="2" t="s">
        <v>14</v>
      </c>
      <c r="F433" s="2" t="s">
        <v>15</v>
      </c>
      <c r="G433" s="2" t="s">
        <v>1311</v>
      </c>
      <c r="H433" s="2" t="s">
        <v>41</v>
      </c>
      <c r="I433" s="2" t="str">
        <f>IFERROR(__xludf.DUMMYFUNCTION("GOOGLETRANSLATE(C433,""fr"",""en"")"),"If you can, flee this insurer who only counts on its financial profitability. In no case focused on satisfaction. May exclude you at any time not because of an accident but because you no longer become a profitable customer")</f>
        <v>If you can, flee this insurer who only counts on its financial profitability. In no case focused on satisfaction. May exclude you at any time not because of an accident but because you no longer become a profitable customer</v>
      </c>
    </row>
    <row r="434" ht="15.75" customHeight="1">
      <c r="A434" s="2">
        <v>2.0</v>
      </c>
      <c r="B434" s="2" t="s">
        <v>1312</v>
      </c>
      <c r="C434" s="2" t="s">
        <v>1313</v>
      </c>
      <c r="D434" s="2" t="s">
        <v>13</v>
      </c>
      <c r="E434" s="2" t="s">
        <v>14</v>
      </c>
      <c r="F434" s="2" t="s">
        <v>15</v>
      </c>
      <c r="G434" s="2" t="s">
        <v>948</v>
      </c>
      <c r="H434" s="2" t="s">
        <v>25</v>
      </c>
      <c r="I434" s="2" t="str">
        <f>IFERROR(__xludf.DUMMYFUNCTION("GOOGLETRANSLATE(C434,""fr"",""en"")"),"I am quite satisfied with the service, the prices are perhaps a little too high given the car used. Being only insured with a maximum third party and living in a medium-sized town")</f>
        <v>I am quite satisfied with the service, the prices are perhaps a little too high given the car used. Being only insured with a maximum third party and living in a medium-sized town</v>
      </c>
    </row>
    <row r="435" ht="15.75" customHeight="1">
      <c r="A435" s="2">
        <v>1.0</v>
      </c>
      <c r="B435" s="2" t="s">
        <v>1314</v>
      </c>
      <c r="C435" s="2" t="s">
        <v>1315</v>
      </c>
      <c r="D435" s="2" t="s">
        <v>65</v>
      </c>
      <c r="E435" s="2" t="s">
        <v>14</v>
      </c>
      <c r="F435" s="2" t="s">
        <v>15</v>
      </c>
      <c r="G435" s="2" t="s">
        <v>1316</v>
      </c>
      <c r="H435" s="2" t="s">
        <v>389</v>
      </c>
      <c r="I435" s="2" t="str">
        <f>IFERROR(__xludf.DUMMYFUNCTION("GOOGLETRANSLATE(C435,""fr"",""en"")"),"for the price one star is enough the satisfaction one star reflects the coldness of the answers on the phone. the same goes for the Douai office which was unable to get in touch to deal with this second incident. Bottom line, I changed insurance.")</f>
        <v>for the price one star is enough the satisfaction one star reflects the coldness of the answers on the phone. the same goes for the Douai office which was unable to get in touch to deal with this second incident. Bottom line, I changed insurance.</v>
      </c>
    </row>
    <row r="436" ht="15.75" customHeight="1">
      <c r="A436" s="2">
        <v>2.0</v>
      </c>
      <c r="B436" s="2" t="s">
        <v>1317</v>
      </c>
      <c r="C436" s="2" t="s">
        <v>1318</v>
      </c>
      <c r="D436" s="2" t="s">
        <v>799</v>
      </c>
      <c r="E436" s="2" t="s">
        <v>129</v>
      </c>
      <c r="F436" s="2" t="s">
        <v>15</v>
      </c>
      <c r="G436" s="2" t="s">
        <v>1319</v>
      </c>
      <c r="H436" s="2" t="s">
        <v>507</v>
      </c>
      <c r="I436" s="2" t="str">
        <f>IFERROR(__xludf.DUMMYFUNCTION("GOOGLETRANSLATE(C436,""fr"",""en"")"),"for water damage that occurred in March, after a lot of controversy, compensation at the end of November! their expert who moves after 1 month! no follow-up! I fought against walls!")</f>
        <v>for water damage that occurred in March, after a lot of controversy, compensation at the end of November! their expert who moves after 1 month! no follow-up! I fought against walls!</v>
      </c>
    </row>
    <row r="437" ht="15.75" customHeight="1">
      <c r="A437" s="2">
        <v>2.0</v>
      </c>
      <c r="B437" s="2" t="s">
        <v>1320</v>
      </c>
      <c r="C437" s="2" t="s">
        <v>1321</v>
      </c>
      <c r="D437" s="2" t="s">
        <v>530</v>
      </c>
      <c r="E437" s="2" t="s">
        <v>137</v>
      </c>
      <c r="F437" s="2" t="s">
        <v>15</v>
      </c>
      <c r="G437" s="2" t="s">
        <v>1322</v>
      </c>
      <c r="H437" s="2" t="s">
        <v>467</v>
      </c>
      <c r="I437" s="2" t="str">
        <f>IFERROR(__xludf.DUMMYFUNCTION("GOOGLETRANSLATE(C437,""fr"",""en"")"),"Hello for 35 years at MGP to date I have been on a long illness I am struggling to get my salary supplement I am constantly asked for documents I call I am taken around every time I am going to have to make a decision because they are not from all listeni"&amp;"ng to this day my relationship is depressed")</f>
        <v>Hello for 35 years at MGP to date I have been on a long illness I am struggling to get my salary supplement I am constantly asked for documents I call I am taken around every time I am going to have to make a decision because they are not from all listening to this day my relationship is depressed</v>
      </c>
    </row>
    <row r="438" ht="15.75" customHeight="1">
      <c r="A438" s="2">
        <v>1.0</v>
      </c>
      <c r="B438" s="2" t="s">
        <v>1323</v>
      </c>
      <c r="C438" s="2" t="s">
        <v>1324</v>
      </c>
      <c r="D438" s="2" t="s">
        <v>13</v>
      </c>
      <c r="E438" s="2" t="s">
        <v>14</v>
      </c>
      <c r="F438" s="2" t="s">
        <v>15</v>
      </c>
      <c r="G438" s="2" t="s">
        <v>25</v>
      </c>
      <c r="H438" s="2" t="s">
        <v>25</v>
      </c>
      <c r="I438" s="2" t="str">
        <f>IFERROR(__xludf.DUMMYFUNCTION("GOOGLETRANSLATE(C438,""fr"",""en"")"),"not satisfied with the follow-up of my file, 
-several reminders of the situation
- information transmitted incorrectly then corrected by another interlocutor
-incomplete inaccurate data in my file despite several interviews for correction...")</f>
        <v>not satisfied with the follow-up of my file, 
-several reminders of the situation
- information transmitted incorrectly then corrected by another interlocutor
-incomplete inaccurate data in my file despite several interviews for correction...</v>
      </c>
    </row>
    <row r="439" ht="15.75" customHeight="1">
      <c r="A439" s="2">
        <v>5.0</v>
      </c>
      <c r="B439" s="2" t="s">
        <v>1325</v>
      </c>
      <c r="C439" s="2" t="s">
        <v>1326</v>
      </c>
      <c r="D439" s="2" t="s">
        <v>28</v>
      </c>
      <c r="E439" s="2" t="s">
        <v>14</v>
      </c>
      <c r="F439" s="2" t="s">
        <v>15</v>
      </c>
      <c r="G439" s="2" t="s">
        <v>918</v>
      </c>
      <c r="H439" s="2" t="s">
        <v>17</v>
      </c>
      <c r="I439" s="2" t="str">
        <f>IFERROR(__xludf.DUMMYFUNCTION("GOOGLETRANSLATE(C439,""fr"",""en"")"),"I am satisfied with the service and the prices suit me.
Agents available quickly, attentive and knowledgeable about their job;
Clear personal space and the explanations are simple and comprehensive.")</f>
        <v>I am satisfied with the service and the prices suit me.
Agents available quickly, attentive and knowledgeable about their job;
Clear personal space and the explanations are simple and comprehensive.</v>
      </c>
    </row>
    <row r="440" ht="15.75" customHeight="1">
      <c r="A440" s="2">
        <v>2.0</v>
      </c>
      <c r="B440" s="2" t="s">
        <v>1327</v>
      </c>
      <c r="C440" s="2" t="s">
        <v>1328</v>
      </c>
      <c r="D440" s="2" t="s">
        <v>13</v>
      </c>
      <c r="E440" s="2" t="s">
        <v>14</v>
      </c>
      <c r="F440" s="2" t="s">
        <v>15</v>
      </c>
      <c r="G440" s="2" t="s">
        <v>82</v>
      </c>
      <c r="H440" s="2" t="s">
        <v>83</v>
      </c>
      <c r="I440" s="2" t="str">
        <f>IFERROR(__xludf.DUMMYFUNCTION("GOOGLETRANSLATE(C440,""fr"",""en"")"),"To be seen in the long term when managing claims: responsiveness, personal satisfaction, deadlines, integrity, respect for customers, commercial gestures ")</f>
        <v>To be seen in the long term when managing claims: responsiveness, personal satisfaction, deadlines, integrity, respect for customers, commercial gestures </v>
      </c>
    </row>
    <row r="441" ht="15.75" customHeight="1">
      <c r="A441" s="2">
        <v>2.0</v>
      </c>
      <c r="B441" s="2" t="s">
        <v>1329</v>
      </c>
      <c r="C441" s="2" t="s">
        <v>1330</v>
      </c>
      <c r="D441" s="2" t="s">
        <v>33</v>
      </c>
      <c r="E441" s="2" t="s">
        <v>14</v>
      </c>
      <c r="F441" s="2" t="s">
        <v>15</v>
      </c>
      <c r="G441" s="2" t="s">
        <v>1331</v>
      </c>
      <c r="H441" s="2" t="s">
        <v>1332</v>
      </c>
      <c r="I441" s="2" t="str">
        <f>IFERROR(__xludf.DUMMYFUNCTION("GOOGLETRANSLATE(C441,""fr"",""en"")"),"When everything is going well MATMUT is a good insurer, as long as it is you who pays, insured for more than 10 years with 65% bonus, 1st claim there is no one left to compensate you. To flee")</f>
        <v>When everything is going well MATMUT is a good insurer, as long as it is you who pays, insured for more than 10 years with 65% bonus, 1st claim there is no one left to compensate you. To flee</v>
      </c>
    </row>
    <row r="442" ht="15.75" customHeight="1">
      <c r="A442" s="2">
        <v>1.0</v>
      </c>
      <c r="B442" s="2" t="s">
        <v>1333</v>
      </c>
      <c r="C442" s="2" t="s">
        <v>1334</v>
      </c>
      <c r="D442" s="2" t="s">
        <v>28</v>
      </c>
      <c r="E442" s="2" t="s">
        <v>14</v>
      </c>
      <c r="F442" s="2" t="s">
        <v>15</v>
      </c>
      <c r="G442" s="2" t="s">
        <v>1335</v>
      </c>
      <c r="H442" s="2" t="s">
        <v>57</v>
      </c>
      <c r="I442" s="2" t="str">
        <f>IFERROR(__xludf.DUMMYFUNCTION("GOOGLETRANSLATE(C442,""fr"",""en"")"),"I just received a registered letter today from my Olivier insurance company, I cite the reason for the termination:
Inadequacy of risk with regard to the company's acceptance policy  
I immediately made telephone contact with them and it is heavy, very he"&amp;"avy, they cannot give me a valid reason. I specify that I have been insured with them for 2 years without any claims where I am very worried, it is the statement of information that I will have at the beginning of April to look for another company after r"&amp;"esearch I would be on the blacklist because they are offering me to go and get insurance from their partner assurPeople, something that I am not going to do of course I got the answer you have the right to cancel at any time with the Chatel law and on our"&amp;" side we too frankly we live in a really strange time here is my rant I no longer want to fight with them no letter of complaint nothing nothing 
")</f>
        <v>I just received a registered letter today from my Olivier insurance company, I cite the reason for the termination:
Inadequacy of risk with regard to the company's acceptance policy  
I immediately made telephone contact with them and it is heavy, very heavy, they cannot give me a valid reason. I specify that I have been insured with them for 2 years without any claims where I am very worried, it is the statement of information that I will have at the beginning of April to look for another company after research I would be on the blacklist because they are offering me to go and get insurance from their partner assurPeople, something that I am not going to do of course I got the answer you have the right to cancel at any time with the Chatel law and on our side we too frankly we live in a really strange time here is my rant I no longer want to fight with them no letter of complaint nothing nothing 
</v>
      </c>
    </row>
    <row r="443" ht="15.75" customHeight="1">
      <c r="A443" s="2">
        <v>5.0</v>
      </c>
      <c r="B443" s="2" t="s">
        <v>1336</v>
      </c>
      <c r="C443" s="2" t="s">
        <v>1337</v>
      </c>
      <c r="D443" s="2" t="s">
        <v>13</v>
      </c>
      <c r="E443" s="2" t="s">
        <v>14</v>
      </c>
      <c r="F443" s="2" t="s">
        <v>15</v>
      </c>
      <c r="G443" s="2" t="s">
        <v>826</v>
      </c>
      <c r="H443" s="2" t="s">
        <v>25</v>
      </c>
      <c r="I443" s="2" t="str">
        <f>IFERROR(__xludf.DUMMYFUNCTION("GOOGLETRANSLATE(C443,""fr"",""en"")"),"Simple practice. Very well optimized, very good sales force and advice.
Available to listen. I am satisfied and I recommend. Very good value for money too.")</f>
        <v>Simple practice. Very well optimized, very good sales force and advice.
Available to listen. I am satisfied and I recommend. Very good value for money too.</v>
      </c>
    </row>
    <row r="444" ht="15.75" customHeight="1">
      <c r="A444" s="2">
        <v>2.0</v>
      </c>
      <c r="B444" s="2" t="s">
        <v>1338</v>
      </c>
      <c r="C444" s="2" t="s">
        <v>1339</v>
      </c>
      <c r="D444" s="2" t="s">
        <v>145</v>
      </c>
      <c r="E444" s="2" t="s">
        <v>14</v>
      </c>
      <c r="F444" s="2" t="s">
        <v>15</v>
      </c>
      <c r="G444" s="2" t="s">
        <v>1340</v>
      </c>
      <c r="H444" s="2" t="s">
        <v>228</v>
      </c>
      <c r="I444" s="2" t="str">
        <f>IFERROR(__xludf.DUMMYFUNCTION("GOOGLETRANSLATE(C444,""fr"",""en"")"),"Stolen vehicle comprehensive insurance 8 months later it drags on. The management of files is disastrous even from the mouth of their experts.....the height of it ")</f>
        <v>Stolen vehicle comprehensive insurance 8 months later it drags on. The management of files is disastrous even from the mouth of their experts.....the height of it </v>
      </c>
    </row>
    <row r="445" ht="15.75" customHeight="1">
      <c r="A445" s="2">
        <v>2.0</v>
      </c>
      <c r="B445" s="2" t="s">
        <v>1341</v>
      </c>
      <c r="C445" s="2" t="s">
        <v>1342</v>
      </c>
      <c r="D445" s="2" t="s">
        <v>664</v>
      </c>
      <c r="E445" s="2" t="s">
        <v>39</v>
      </c>
      <c r="F445" s="2" t="s">
        <v>15</v>
      </c>
      <c r="G445" s="2" t="s">
        <v>1343</v>
      </c>
      <c r="H445" s="2" t="s">
        <v>1344</v>
      </c>
      <c r="I445" s="2" t="str">
        <f>IFERROR(__xludf.DUMMYFUNCTION("GOOGLETRANSLATE(C445,""fr"",""en"")"),"Has not managed to set up teletransmission with Cpam for 11 months 
So I canceled")</f>
        <v>Has not managed to set up teletransmission with Cpam for 11 months 
So I canceled</v>
      </c>
    </row>
    <row r="446" ht="15.75" customHeight="1">
      <c r="A446" s="2">
        <v>1.0</v>
      </c>
      <c r="B446" s="2" t="s">
        <v>1345</v>
      </c>
      <c r="C446" s="2" t="s">
        <v>1346</v>
      </c>
      <c r="D446" s="2" t="s">
        <v>128</v>
      </c>
      <c r="E446" s="2" t="s">
        <v>129</v>
      </c>
      <c r="F446" s="2" t="s">
        <v>15</v>
      </c>
      <c r="G446" s="2" t="s">
        <v>1347</v>
      </c>
      <c r="H446" s="2" t="s">
        <v>557</v>
      </c>
      <c r="I446" s="2" t="str">
        <f>IFERROR(__xludf.DUMMYFUNCTION("GOOGLETRANSLATE(C446,""fr"",""en"")"),"Loss due to the storm at my home. 1 and a half months of waiting after a worker came to refuse the quote... without telling me of course. Call an expert to set an appointment for 1 month later... in the end it will take 6 months to change a gate!!!! a sha"&amp;"me! In the end, even if it means having insurance that doesn't pay as much, take cheap online insurance.")</f>
        <v>Loss due to the storm at my home. 1 and a half months of waiting after a worker came to refuse the quote... without telling me of course. Call an expert to set an appointment for 1 month later... in the end it will take 6 months to change a gate!!!! a shame! In the end, even if it means having insurance that doesn't pay as much, take cheap online insurance.</v>
      </c>
    </row>
    <row r="447" ht="15.75" customHeight="1">
      <c r="A447" s="2">
        <v>4.0</v>
      </c>
      <c r="B447" s="2" t="s">
        <v>1348</v>
      </c>
      <c r="C447" s="2" t="s">
        <v>1349</v>
      </c>
      <c r="D447" s="2" t="s">
        <v>13</v>
      </c>
      <c r="E447" s="2" t="s">
        <v>14</v>
      </c>
      <c r="F447" s="2" t="s">
        <v>15</v>
      </c>
      <c r="G447" s="2" t="s">
        <v>300</v>
      </c>
      <c r="H447" s="2" t="s">
        <v>111</v>
      </c>
      <c r="I447" s="2" t="str">
        <f>IFERROR(__xludf.DUMMYFUNCTION("GOOGLETRANSLATE(C447,""fr"",""en"")"),"I am satisfied with the services and I recommend to my friends and family I have home insurance and I took out auto insurance for my car with an attractive offer.")</f>
        <v>I am satisfied with the services and I recommend to my friends and family I have home insurance and I took out auto insurance for my car with an attractive offer.</v>
      </c>
    </row>
    <row r="448" ht="15.75" customHeight="1">
      <c r="A448" s="2">
        <v>4.0</v>
      </c>
      <c r="B448" s="2" t="s">
        <v>1350</v>
      </c>
      <c r="C448" s="2" t="s">
        <v>1351</v>
      </c>
      <c r="D448" s="2" t="s">
        <v>44</v>
      </c>
      <c r="E448" s="2" t="s">
        <v>39</v>
      </c>
      <c r="F448" s="2" t="s">
        <v>15</v>
      </c>
      <c r="G448" s="2" t="s">
        <v>1352</v>
      </c>
      <c r="H448" s="2" t="s">
        <v>125</v>
      </c>
      <c r="I448" s="2" t="str">
        <f>IFERROR(__xludf.DUMMYFUNCTION("GOOGLETRANSLATE(C448,""fr"",""en"")"),"Good morning,
I am surprised to read such negative comments about April because as far as I am concerned, I have been insured by this mutual since 2020 and for a senior who is soon to be in her eighties, I find that the coverage has good value for money c"&amp;"ompared to my previous mutual.
With transmission by SS no reimbursement problem. 
And at the dental level I submitted to them in 2020, 2 quotes to which they responded immediately (ultimately I took the one without charge for the back teeth).
The 2021 inc"&amp;"rease is reasonable.
So satisfaction so far.
Sincerely ")</f>
        <v>Good morning,
I am surprised to read such negative comments about April because as far as I am concerned, I have been insured by this mutual since 2020 and for a senior who is soon to be in her eighties, I find that the coverage has good value for money compared to my previous mutual.
With transmission by SS no reimbursement problem. 
And at the dental level I submitted to them in 2020, 2 quotes to which they responded immediately (ultimately I took the one without charge for the back teeth).
The 2021 increase is reasonable.
So satisfaction so far.
Sincerely </v>
      </c>
    </row>
    <row r="449" ht="15.75" customHeight="1">
      <c r="A449" s="2">
        <v>5.0</v>
      </c>
      <c r="B449" s="2" t="s">
        <v>1353</v>
      </c>
      <c r="C449" s="2" t="s">
        <v>1354</v>
      </c>
      <c r="D449" s="2" t="s">
        <v>664</v>
      </c>
      <c r="E449" s="2" t="s">
        <v>39</v>
      </c>
      <c r="F449" s="2" t="s">
        <v>15</v>
      </c>
      <c r="G449" s="2" t="s">
        <v>1201</v>
      </c>
      <c r="H449" s="2" t="s">
        <v>354</v>
      </c>
      <c r="I449" s="2" t="str">
        <f>IFERROR(__xludf.DUMMYFUNCTION("GOOGLETRANSLATE(C449,""fr"",""en"")"),"Lamia was able to respond effectively to my request to transmit a request for support that I was unable to make on the site.
Very attentive and I was able to send my request via the site.
Just a small downside, when you call the waiting time is sometimes "&amp;"very long.
But as far as Lamia is concerned, nothing to complain about. Just perfect.
Thanks to her.")</f>
        <v>Lamia was able to respond effectively to my request to transmit a request for support that I was unable to make on the site.
Very attentive and I was able to send my request via the site.
Just a small downside, when you call the waiting time is sometimes very long.
But as far as Lamia is concerned, nothing to complain about. Just perfect.
Thanks to her.</v>
      </c>
    </row>
    <row r="450" ht="15.75" customHeight="1">
      <c r="A450" s="2">
        <v>1.0</v>
      </c>
      <c r="B450" s="2" t="s">
        <v>1355</v>
      </c>
      <c r="C450" s="2" t="s">
        <v>1356</v>
      </c>
      <c r="D450" s="2" t="s">
        <v>145</v>
      </c>
      <c r="E450" s="2" t="s">
        <v>129</v>
      </c>
      <c r="F450" s="2" t="s">
        <v>15</v>
      </c>
      <c r="G450" s="2" t="s">
        <v>1357</v>
      </c>
      <c r="H450" s="2" t="s">
        <v>30</v>
      </c>
      <c r="I450" s="2" t="str">
        <f>IFERROR(__xludf.DUMMYFUNCTION("GOOGLETRANSLATE(C450,""fr"",""en"")"),"Home insurance canceled by the MAAF for frequency of claims... Please note that I only had one in 2019... It should be noted that I requested my legal protection also taken from the MAAF to intervene for a problem with my landlord. The first time they ref"&amp;"used because the PJ was subscribed after the problems started. The 2nd time PJ accepted but did absolutely nothing and I never heard from him again. Obviously, according to my advisor, requests to the PJ are considered disasters... no, but we are walking "&amp;"on our heads!!! I've been with them for years and they have all my contracts. No default, nothing. Basically you can't have a disaster and need your PJ for anything else otherwise you're fired on the spot. I say well done MAAF because it is not one contra"&amp;"ct that they are going to lose but the whole contract.")</f>
        <v>Home insurance canceled by the MAAF for frequency of claims... Please note that I only had one in 2019... It should be noted that I requested my legal protection also taken from the MAAF to intervene for a problem with my landlord. The first time they refused because the PJ was subscribed after the problems started. The 2nd time PJ accepted but did absolutely nothing and I never heard from him again. Obviously, according to my advisor, requests to the PJ are considered disasters... no, but we are walking on our heads!!! I've been with them for years and they have all my contracts. No default, nothing. Basically you can't have a disaster and need your PJ for anything else otherwise you're fired on the spot. I say well done MAAF because it is not one contract that they are going to lose but the whole contract.</v>
      </c>
    </row>
    <row r="451" ht="15.75" customHeight="1">
      <c r="A451" s="2">
        <v>1.0</v>
      </c>
      <c r="B451" s="2" t="s">
        <v>1358</v>
      </c>
      <c r="C451" s="2" t="s">
        <v>1359</v>
      </c>
      <c r="D451" s="2" t="s">
        <v>65</v>
      </c>
      <c r="E451" s="2" t="s">
        <v>137</v>
      </c>
      <c r="F451" s="2" t="s">
        <v>15</v>
      </c>
      <c r="G451" s="2" t="s">
        <v>1360</v>
      </c>
      <c r="H451" s="2" t="s">
        <v>507</v>
      </c>
      <c r="I451" s="2" t="str">
        <f>IFERROR(__xludf.DUMMYFUNCTION("GOOGLETRANSLATE(C451,""fr"",""en"")"),"A/R transport insurance on Corsica ferry Toulon Trapani. Accident occurred on site 2 days after our arrival. Return required at our expense. The insurance taken out only covers if the cancellation is made BEFORE departure. We are disappointed, because we "&amp;"had taken out this insurance to be covered for this type of problem.
Our financial investments will migrate to other companies... ")</f>
        <v>A/R transport insurance on Corsica ferry Toulon Trapani. Accident occurred on site 2 days after our arrival. Return required at our expense. The insurance taken out only covers if the cancellation is made BEFORE departure. We are disappointed, because we had taken out this insurance to be covered for this type of problem.
Our financial investments will migrate to other companies... </v>
      </c>
    </row>
    <row r="452" ht="15.75" customHeight="1">
      <c r="A452" s="2">
        <v>2.0</v>
      </c>
      <c r="B452" s="2" t="s">
        <v>1361</v>
      </c>
      <c r="C452" s="2" t="s">
        <v>1362</v>
      </c>
      <c r="D452" s="2" t="s">
        <v>120</v>
      </c>
      <c r="E452" s="2" t="s">
        <v>61</v>
      </c>
      <c r="F452" s="2" t="s">
        <v>15</v>
      </c>
      <c r="G452" s="2" t="s">
        <v>1363</v>
      </c>
      <c r="H452" s="2" t="s">
        <v>216</v>
      </c>
      <c r="I452" s="2" t="str">
        <f>IFERROR(__xludf.DUMMYFUNCTION("GOOGLETRANSLATE(C452,""fr"",""en"")"),"1 month to process a redemption request, which as a result was not processed in the requested tax year, without anyone taking care to notify me and causing me to lose my tax deduction. Very unhappy with my first purchase!")</f>
        <v>1 month to process a redemption request, which as a result was not processed in the requested tax year, without anyone taking care to notify me and causing me to lose my tax deduction. Very unhappy with my first purchase!</v>
      </c>
    </row>
    <row r="453" ht="15.75" customHeight="1">
      <c r="A453" s="2">
        <v>5.0</v>
      </c>
      <c r="B453" s="2" t="s">
        <v>1364</v>
      </c>
      <c r="C453" s="2" t="s">
        <v>1365</v>
      </c>
      <c r="D453" s="2" t="s">
        <v>284</v>
      </c>
      <c r="E453" s="2" t="s">
        <v>81</v>
      </c>
      <c r="F453" s="2" t="s">
        <v>15</v>
      </c>
      <c r="G453" s="2" t="s">
        <v>713</v>
      </c>
      <c r="H453" s="2" t="s">
        <v>25</v>
      </c>
      <c r="I453" s="2" t="str">
        <f>IFERROR(__xludf.DUMMYFUNCTION("GOOGLETRANSLATE(C453,""fr"",""en"")"),"Real insurance.
The price sometimes seems higher than elsewhere, but everything is included from the start. So I am really assured and no unpleasant surprises in the event of a problem. 
For example, I had a small fall almost stationary without gravity, b"&amp;"ut when I tipped to the side I hit my head on the ground. No hesitation, the mutual insurance company immediately reimbursed me for the helmet (Shoei for €500!) so that I could leave well protected. Financially, this is a very good return on investment. ")</f>
        <v>Real insurance.
The price sometimes seems higher than elsewhere, but everything is included from the start. So I am really assured and no unpleasant surprises in the event of a problem. 
For example, I had a small fall almost stationary without gravity, but when I tipped to the side I hit my head on the ground. No hesitation, the mutual insurance company immediately reimbursed me for the helmet (Shoei for €500!) so that I could leave well protected. Financially, this is a very good return on investment. </v>
      </c>
    </row>
    <row r="454" ht="15.75" customHeight="1">
      <c r="A454" s="2">
        <v>1.0</v>
      </c>
      <c r="B454" s="2" t="s">
        <v>1366</v>
      </c>
      <c r="C454" s="2" t="s">
        <v>1367</v>
      </c>
      <c r="D454" s="2" t="s">
        <v>128</v>
      </c>
      <c r="E454" s="2" t="s">
        <v>14</v>
      </c>
      <c r="F454" s="2" t="s">
        <v>15</v>
      </c>
      <c r="G454" s="2" t="s">
        <v>1368</v>
      </c>
      <c r="H454" s="2" t="s">
        <v>236</v>
      </c>
      <c r="I454" s="2" t="str">
        <f>IFERROR(__xludf.DUMMYFUNCTION("GOOGLETRANSLATE(C454,""fr"",""en"")"),"I was canceled after a year because I had not sent all the documents (after 12 good monthly payments, well collected), I wanted to be able to cancel myself on the anniversary date in view of their prices prohibitive but they refused, preferring to subject"&amp;" me to future re-insurance complications following a termination on their part. Completely anti-commercial behavior and very complicated for me to re-insure myself, I absolutely do not recommend this type of company, which is also unreachable.")</f>
        <v>I was canceled after a year because I had not sent all the documents (after 12 good monthly payments, well collected), I wanted to be able to cancel myself on the anniversary date in view of their prices prohibitive but they refused, preferring to subject me to future re-insurance complications following a termination on their part. Completely anti-commercial behavior and very complicated for me to re-insure myself, I absolutely do not recommend this type of company, which is also unreachable.</v>
      </c>
    </row>
    <row r="455" ht="15.75" customHeight="1">
      <c r="A455" s="2">
        <v>3.0</v>
      </c>
      <c r="B455" s="2" t="s">
        <v>1369</v>
      </c>
      <c r="C455" s="2" t="s">
        <v>1370</v>
      </c>
      <c r="D455" s="2" t="s">
        <v>28</v>
      </c>
      <c r="E455" s="2" t="s">
        <v>14</v>
      </c>
      <c r="F455" s="2" t="s">
        <v>15</v>
      </c>
      <c r="G455" s="2" t="s">
        <v>1371</v>
      </c>
      <c r="H455" s="2" t="s">
        <v>21</v>
      </c>
      <c r="I455" s="2" t="str">
        <f>IFERROR(__xludf.DUMMYFUNCTION("GOOGLETRANSLATE(C455,""fr"",""en"")"),"I am satisfied for the moment thank you I hope that the prices will be lower according to previous years, here I thank you cordially Mr Sylvere ")</f>
        <v>I am satisfied for the moment thank you I hope that the prices will be lower according to previous years, here I thank you cordially Mr Sylvere </v>
      </c>
    </row>
    <row r="456" ht="15.75" customHeight="1">
      <c r="A456" s="2">
        <v>3.0</v>
      </c>
      <c r="B456" s="2" t="s">
        <v>1372</v>
      </c>
      <c r="C456" s="2" t="s">
        <v>1373</v>
      </c>
      <c r="D456" s="2" t="s">
        <v>28</v>
      </c>
      <c r="E456" s="2" t="s">
        <v>14</v>
      </c>
      <c r="F456" s="2" t="s">
        <v>15</v>
      </c>
      <c r="G456" s="2" t="s">
        <v>314</v>
      </c>
      <c r="H456" s="2" t="s">
        <v>111</v>
      </c>
      <c r="I456" s="2" t="str">
        <f>IFERROR(__xludf.DUMMYFUNCTION("GOOGLETRANSLATE(C456,""fr"",""en"")"),"A little complicated, prices and quotes are sometimes too different from one case to another, some advisors take liberties with the quote criteria, which sometimes can be a source of possible problems.")</f>
        <v>A little complicated, prices and quotes are sometimes too different from one case to another, some advisors take liberties with the quote criteria, which sometimes can be a source of possible problems.</v>
      </c>
    </row>
    <row r="457" ht="15.75" customHeight="1">
      <c r="A457" s="2">
        <v>3.0</v>
      </c>
      <c r="B457" s="2" t="s">
        <v>1374</v>
      </c>
      <c r="C457" s="2" t="s">
        <v>1375</v>
      </c>
      <c r="D457" s="2" t="s">
        <v>13</v>
      </c>
      <c r="E457" s="2" t="s">
        <v>14</v>
      </c>
      <c r="F457" s="2" t="s">
        <v>15</v>
      </c>
      <c r="G457" s="2" t="s">
        <v>82</v>
      </c>
      <c r="H457" s="2" t="s">
        <v>83</v>
      </c>
      <c r="I457" s="2" t="str">
        <f>IFERROR(__xludf.DUMMYFUNCTION("GOOGLETRANSLATE(C457,""fr"",""en"")"),"I have a young license so it's a bit expensive but that's fine... in the future I might be entitled to bonuses?!
hope to be able to settle well with direct insurance in the future")</f>
        <v>I have a young license so it's a bit expensive but that's fine... in the future I might be entitled to bonuses?!
hope to be able to settle well with direct insurance in the future</v>
      </c>
    </row>
    <row r="458" ht="15.75" customHeight="1">
      <c r="A458" s="2">
        <v>5.0</v>
      </c>
      <c r="B458" s="2" t="s">
        <v>1376</v>
      </c>
      <c r="C458" s="2" t="s">
        <v>1377</v>
      </c>
      <c r="D458" s="2" t="s">
        <v>38</v>
      </c>
      <c r="E458" s="2" t="s">
        <v>39</v>
      </c>
      <c r="F458" s="2" t="s">
        <v>15</v>
      </c>
      <c r="G458" s="2" t="s">
        <v>1378</v>
      </c>
      <c r="H458" s="2" t="s">
        <v>111</v>
      </c>
      <c r="I458" s="2" t="str">
        <f>IFERROR(__xludf.DUMMYFUNCTION("GOOGLETRANSLATE(C458,""fr"",""en"")"),"Sorry, the email escaped me before I finished. I wanted to thank Emeline for her availability, her efficiency, her kindness. My problem had been dragging on for 2 months. It was resolved in just 5 minutes.h
Sincerely
Nicole GARO")</f>
        <v>Sorry, the email escaped me before I finished. I wanted to thank Emeline for her availability, her efficiency, her kindness. My problem had been dragging on for 2 months. It was resolved in just 5 minutes.h
Sincerely
Nicole GARO</v>
      </c>
    </row>
    <row r="459" ht="15.75" customHeight="1">
      <c r="A459" s="2">
        <v>3.0</v>
      </c>
      <c r="B459" s="2" t="s">
        <v>1379</v>
      </c>
      <c r="C459" s="2" t="s">
        <v>1380</v>
      </c>
      <c r="D459" s="2" t="s">
        <v>530</v>
      </c>
      <c r="E459" s="2" t="s">
        <v>39</v>
      </c>
      <c r="F459" s="2" t="s">
        <v>15</v>
      </c>
      <c r="G459" s="2" t="s">
        <v>1381</v>
      </c>
      <c r="H459" s="2" t="s">
        <v>57</v>
      </c>
      <c r="I459" s="2" t="str">
        <f>IFERROR(__xludf.DUMMYFUNCTION("GOOGLETRANSLATE(C459,""fr"",""en"")"),"The customer advisors are very efficient but the Reimbursements are derisory for optical and dental, especially for children despite a request for optimal care. ")</f>
        <v>The customer advisors are very efficient but the Reimbursements are derisory for optical and dental, especially for children despite a request for optimal care. </v>
      </c>
    </row>
    <row r="460" ht="15.75" customHeight="1">
      <c r="A460" s="2">
        <v>4.0</v>
      </c>
      <c r="B460" s="2" t="s">
        <v>1382</v>
      </c>
      <c r="C460" s="2" t="s">
        <v>1383</v>
      </c>
      <c r="D460" s="2" t="s">
        <v>28</v>
      </c>
      <c r="E460" s="2" t="s">
        <v>14</v>
      </c>
      <c r="F460" s="2" t="s">
        <v>15</v>
      </c>
      <c r="G460" s="2" t="s">
        <v>1251</v>
      </c>
      <c r="H460" s="2" t="s">
        <v>83</v>
      </c>
      <c r="I460" s="2" t="str">
        <f>IFERROR(__xludf.DUMMYFUNCTION("GOOGLETRANSLATE(C460,""fr"",""en"")"),"For the moment I am satisfied but I have only just started the contract 
I have had the vehicle for 2 days
I will be able to give a more ""fair"" rating based on my experience in a few months.")</f>
        <v>For the moment I am satisfied but I have only just started the contract 
I have had the vehicle for 2 days
I will be able to give a more "fair" rating based on my experience in a few months.</v>
      </c>
    </row>
    <row r="461" ht="15.75" customHeight="1">
      <c r="A461" s="2">
        <v>4.0</v>
      </c>
      <c r="B461" s="2" t="s">
        <v>1384</v>
      </c>
      <c r="C461" s="2" t="s">
        <v>1385</v>
      </c>
      <c r="D461" s="2" t="s">
        <v>13</v>
      </c>
      <c r="E461" s="2" t="s">
        <v>14</v>
      </c>
      <c r="F461" s="2" t="s">
        <v>15</v>
      </c>
      <c r="G461" s="2" t="s">
        <v>82</v>
      </c>
      <c r="H461" s="2" t="s">
        <v>83</v>
      </c>
      <c r="I461" s="2" t="str">
        <f>IFERROR(__xludf.DUMMYFUNCTION("GOOGLETRANSLATE(C461,""fr"",""en"")"),"satisfied with the service and the speed of the procedures.. the advisor I spoke to on the phone was pleasant and attentive. the site is also easy to use ")</f>
        <v>satisfied with the service and the speed of the procedures.. the advisor I spoke to on the phone was pleasant and attentive. the site is also easy to use </v>
      </c>
    </row>
    <row r="462" ht="15.75" customHeight="1">
      <c r="A462" s="2">
        <v>1.0</v>
      </c>
      <c r="B462" s="2" t="s">
        <v>1386</v>
      </c>
      <c r="C462" s="2" t="s">
        <v>1387</v>
      </c>
      <c r="D462" s="2" t="s">
        <v>310</v>
      </c>
      <c r="E462" s="2" t="s">
        <v>14</v>
      </c>
      <c r="F462" s="2" t="s">
        <v>15</v>
      </c>
      <c r="G462" s="2" t="s">
        <v>56</v>
      </c>
      <c r="H462" s="2" t="s">
        <v>57</v>
      </c>
      <c r="I462" s="2" t="str">
        <f>IFERROR(__xludf.DUMMYFUNCTION("GOOGLETRANSLATE(C462,""fr"",""en"")"),"The average rating says a lot about this insurer. 
What are bonuses for if prices have to be increased every year. 
Very poor level of service. 45 minutes of waiting each time we try to contact them. And in the end, information that is not always reliable"&amp;".
It is incomprehensible how this insurance can enter a responsible claim in your information statement when it has never been contacted by the opposite insurance and incurred no compensation costs. 
In short, I will never recommend it... ever. ")</f>
        <v>The average rating says a lot about this insurer. 
What are bonuses for if prices have to be increased every year. 
Very poor level of service. 45 minutes of waiting each time we try to contact them. And in the end, information that is not always reliable.
It is incomprehensible how this insurance can enter a responsible claim in your information statement when it has never been contacted by the opposite insurance and incurred no compensation costs. 
In short, I will never recommend it... ever. </v>
      </c>
    </row>
    <row r="463" ht="15.75" customHeight="1">
      <c r="A463" s="2">
        <v>4.0</v>
      </c>
      <c r="B463" s="2" t="s">
        <v>1388</v>
      </c>
      <c r="C463" s="2" t="s">
        <v>1389</v>
      </c>
      <c r="D463" s="2" t="s">
        <v>601</v>
      </c>
      <c r="E463" s="2" t="s">
        <v>39</v>
      </c>
      <c r="F463" s="2" t="s">
        <v>15</v>
      </c>
      <c r="G463" s="2" t="s">
        <v>673</v>
      </c>
      <c r="H463" s="2" t="s">
        <v>111</v>
      </c>
      <c r="I463" s="2" t="str">
        <f>IFERROR(__xludf.DUMMYFUNCTION("GOOGLETRANSLATE(C463,""fr"",""en"")"),"I had an accident last week and had surgery. I contacted my Génération mutual insurance company this week, they immediately took steps to take care of me because I am immobilized. Help is coming next week.")</f>
        <v>I had an accident last week and had surgery. I contacted my Génération mutual insurance company this week, they immediately took steps to take care of me because I am immobilized. Help is coming next week.</v>
      </c>
    </row>
    <row r="464" ht="15.75" customHeight="1">
      <c r="A464" s="2">
        <v>1.0</v>
      </c>
      <c r="B464" s="2" t="s">
        <v>1390</v>
      </c>
      <c r="C464" s="2" t="s">
        <v>1391</v>
      </c>
      <c r="D464" s="2" t="s">
        <v>412</v>
      </c>
      <c r="E464" s="2" t="s">
        <v>39</v>
      </c>
      <c r="F464" s="2" t="s">
        <v>15</v>
      </c>
      <c r="G464" s="2" t="s">
        <v>1392</v>
      </c>
      <c r="H464" s="2" t="s">
        <v>381</v>
      </c>
      <c r="I464" s="2" t="str">
        <f>IFERROR(__xludf.DUMMYFUNCTION("GOOGLETRANSLATE(C464,""fr"",""en"")"),"My portability request one month after my dismissal has still not been processed even though I sent all the requested documents 3 days after my dismissal! Today I am simply without any coverage! It's up to me to pay my health costs. Customer service is un"&amp;"able to inform me and offers to be called back within 48 hours by the competent service to tell me what is happening with the portability request (?). Mind-blowing. Very disappointed I do not recommend.")</f>
        <v>My portability request one month after my dismissal has still not been processed even though I sent all the requested documents 3 days after my dismissal! Today I am simply without any coverage! It's up to me to pay my health costs. Customer service is unable to inform me and offers to be called back within 48 hours by the competent service to tell me what is happening with the portability request (?). Mind-blowing. Very disappointed I do not recommend.</v>
      </c>
    </row>
    <row r="465" ht="15.75" customHeight="1">
      <c r="A465" s="2">
        <v>2.0</v>
      </c>
      <c r="B465" s="2" t="s">
        <v>1393</v>
      </c>
      <c r="C465" s="2" t="s">
        <v>1394</v>
      </c>
      <c r="D465" s="2" t="s">
        <v>695</v>
      </c>
      <c r="E465" s="2" t="s">
        <v>50</v>
      </c>
      <c r="F465" s="2" t="s">
        <v>15</v>
      </c>
      <c r="G465" s="2" t="s">
        <v>1395</v>
      </c>
      <c r="H465" s="2" t="s">
        <v>354</v>
      </c>
      <c r="I465" s="2" t="str">
        <f>IFERROR(__xludf.DUMMYFUNCTION("GOOGLETRANSLATE(C465,""fr"",""en"")"),"I sent by email with acknowledgment of receipt and reading on October 5, 2020 for my dog's vaccine reimbursement at the start they told me that they did not receive anything but when I said it I sent it by registered mail and accuses of reading it as if b"&amp;"y chance he finds it in the junk mail and guess what? he tells me that they only have the care sheet and not the invoice and says it's not possible I have the emails in front of my eyes but as I'm being kind I send the invoice back and I call back to find"&amp;" out if everything is good. he tells me to call back tomorrow I tell them that it's up to them to do it. They say it's not possible and I tell them that if he doesn't call me back the next time I object. She threatens me and she hangs up on me . It's unac"&amp;"ceptable. I won't stop, believe me. They all have an interest in calling me back and reimbursing me for the care and I will look elsewhere. ha when they have a promotion he calls but that's all, pay close attention to this insurance. I will surely let the"&amp;" December payment go through but if they have done nothing by then I am opposing the levy and as the bailiff says, come I have all the documents and in addition my legal advisor and informed and he has already issued a lawyer at my disposal and it costs m"&amp;"e 0 euros. he thinks he's all allowed, but I'm not a puppet.
")</f>
        <v>I sent by email with acknowledgment of receipt and reading on October 5, 2020 for my dog's vaccine reimbursement at the start they told me that they did not receive anything but when I said it I sent it by registered mail and accuses of reading it as if by chance he finds it in the junk mail and guess what? he tells me that they only have the care sheet and not the invoice and says it's not possible I have the emails in front of my eyes but as I'm being kind I send the invoice back and I call back to find out if everything is good. he tells me to call back tomorrow I tell them that it's up to them to do it. They say it's not possible and I tell them that if he doesn't call me back the next time I object. She threatens me and she hangs up on me . It's unacceptable. I won't stop, believe me. They all have an interest in calling me back and reimbursing me for the care and I will look elsewhere. ha when they have a promotion he calls but that's all, pay close attention to this insurance. I will surely let the December payment go through but if they have done nothing by then I am opposing the levy and as the bailiff says, come I have all the documents and in addition my legal advisor and informed and he has already issued a lawyer at my disposal and it costs me 0 euros. he thinks he's all allowed, but I'm not a puppet.
</v>
      </c>
    </row>
    <row r="466" ht="15.75" customHeight="1">
      <c r="A466" s="2">
        <v>3.0</v>
      </c>
      <c r="B466" s="2" t="s">
        <v>1396</v>
      </c>
      <c r="C466" s="2" t="s">
        <v>1397</v>
      </c>
      <c r="D466" s="2" t="s">
        <v>80</v>
      </c>
      <c r="E466" s="2" t="s">
        <v>81</v>
      </c>
      <c r="F466" s="2" t="s">
        <v>15</v>
      </c>
      <c r="G466" s="2" t="s">
        <v>1398</v>
      </c>
      <c r="H466" s="2" t="s">
        <v>111</v>
      </c>
      <c r="I466" s="2" t="str">
        <f>IFERROR(__xludf.DUMMYFUNCTION("GOOGLETRANSLATE(C466,""fr"",""en"")"),"I have just subscribed so wait and see what happens next. For the prices I find them a little expensive, otherwise the quote was done quickly, now I am waiting to see if I will receive the certificates.")</f>
        <v>I have just subscribed so wait and see what happens next. For the prices I find them a little expensive, otherwise the quote was done quickly, now I am waiting to see if I will receive the certificates.</v>
      </c>
    </row>
    <row r="467" ht="15.75" customHeight="1">
      <c r="A467" s="2">
        <v>1.0</v>
      </c>
      <c r="B467" s="2" t="s">
        <v>1399</v>
      </c>
      <c r="C467" s="2" t="s">
        <v>1400</v>
      </c>
      <c r="D467" s="2" t="s">
        <v>13</v>
      </c>
      <c r="E467" s="2" t="s">
        <v>14</v>
      </c>
      <c r="F467" s="2" t="s">
        <v>15</v>
      </c>
      <c r="G467" s="2" t="s">
        <v>1401</v>
      </c>
      <c r="H467" s="2" t="s">
        <v>661</v>
      </c>
      <c r="I467" s="2" t="str">
        <f>IFERROR(__xludf.DUMMYFUNCTION("GOOGLETRANSLATE(C467,""fr"",""en"")"),"I received a letter saying congratulations, you have a bonus. is the due date increased I pay 10 euro 
more expensive than the previous year...
Apart from other insurance, people I know pay less for insurance. 
I want to leave and find better elsewhere be"&amp;"cause I'm disappointed")</f>
        <v>I received a letter saying congratulations, you have a bonus. is the due date increased I pay 10 euro 
more expensive than the previous year...
Apart from other insurance, people I know pay less for insurance. 
I want to leave and find better elsewhere because I'm disappointed</v>
      </c>
    </row>
    <row r="468" ht="15.75" customHeight="1">
      <c r="A468" s="2">
        <v>1.0</v>
      </c>
      <c r="B468" s="2" t="s">
        <v>1402</v>
      </c>
      <c r="C468" s="2" t="s">
        <v>1403</v>
      </c>
      <c r="D468" s="2" t="s">
        <v>13</v>
      </c>
      <c r="E468" s="2" t="s">
        <v>14</v>
      </c>
      <c r="F468" s="2" t="s">
        <v>15</v>
      </c>
      <c r="G468" s="2" t="s">
        <v>1404</v>
      </c>
      <c r="H468" s="2" t="s">
        <v>52</v>
      </c>
      <c r="I468" s="2" t="str">
        <f>IFERROR(__xludf.DUMMYFUNCTION("GOOGLETRANSLATE(C468,""fr"",""en"")"),"Good morning,
A year ago I already posted for this insurer, following this post I was able to obtain a price reduction following an excessive increase in the premium.
Today I am changing vehicles and I therefore requested a quote on their site, there inco"&amp;"mprehension I am told that I do not meet their criteria, I send a message and I am told that like any contract theirs are subject to acceptance rules, without telling me what they are, and apart from wanting to negotiate my price, I have had no claims or "&amp;"problems.
To cancel unlike other insurers, it is impossible to do it online (on the other hand to pay it works) you have to send a registered letter, so I change insurance and there I need a statement of information, It's impossible to get it online eithe"&amp;"r, you have to call, it's shameful.
Below are the boat responses received from them.
""You inform me of the return of your BMW X4 vehicle, and you ask us about the cancellation procedure.
We regret that we cannot offer you a suitable contract for your r"&amp;"eplacement vehicle.
Furthermore, your request must be sent by registered letter (postal or electronic via the La Poste website) accompanied by a copy of the transfer certificate to the following address:
Direct Assurance - TSA 21031 - 59784 Lille Cedex "&amp;"09.  
If you have a question, we remain at your disposal.""
And the second:
“Thank you for your return.
We understand your dissatisfaction, and we regret not being able to respond favorably to your request.
I would like to point out that as for type "&amp;"of contracts, ours are also subject to acceptance rules.
If you have a question, we remain at your disposal at the number below.
Thank you for your trust.""
Insurer to avoid who does everything to complicate the lives of its customers.")</f>
        <v>Good morning,
A year ago I already posted for this insurer, following this post I was able to obtain a price reduction following an excessive increase in the premium.
Today I am changing vehicles and I therefore requested a quote on their site, there incomprehension I am told that I do not meet their criteria, I send a message and I am told that like any contract theirs are subject to acceptance rules, without telling me what they are, and apart from wanting to negotiate my price, I have had no claims or problems.
To cancel unlike other insurers, it is impossible to do it online (on the other hand to pay it works) you have to send a registered letter, so I change insurance and there I need a statement of information, It's impossible to get it online either, you have to call, it's shameful.
Below are the boat responses received from them.
"You inform me of the return of your BMW X4 vehicle, and you ask us about the cancellation procedure.
We regret that we cannot offer you a suitable contract for your replacement vehicle.
Furthermore, your request must be sent by registered letter (postal or electronic via the La Poste website) accompanied by a copy of the transfer certificate to the following address:
Direct Assurance - TSA 21031 - 59784 Lille Cedex 09.  
If you have a question, we remain at your disposal."
And the second:
“Thank you for your return.
We understand your dissatisfaction, and we regret not being able to respond favorably to your request.
I would like to point out that as for type of contracts, ours are also subject to acceptance rules.
If you have a question, we remain at your disposal at the number below.
Thank you for your trust."
Insurer to avoid who does everything to complicate the lives of its customers.</v>
      </c>
    </row>
    <row r="469" ht="15.75" customHeight="1">
      <c r="A469" s="2">
        <v>3.0</v>
      </c>
      <c r="B469" s="2" t="s">
        <v>1405</v>
      </c>
      <c r="C469" s="2" t="s">
        <v>1406</v>
      </c>
      <c r="D469" s="2" t="s">
        <v>28</v>
      </c>
      <c r="E469" s="2" t="s">
        <v>14</v>
      </c>
      <c r="F469" s="2" t="s">
        <v>15</v>
      </c>
      <c r="G469" s="2" t="s">
        <v>1407</v>
      </c>
      <c r="H469" s="2" t="s">
        <v>30</v>
      </c>
      <c r="I469" s="2" t="str">
        <f>IFERROR(__xludf.DUMMYFUNCTION("GOOGLETRANSLATE(C469,""fr"",""en"")"),"Good morning,
Very attractive prices but the occasional driver excess is unfortunately a negative point in your insurance
Have a good day.......")</f>
        <v>Good morning,
Very attractive prices but the occasional driver excess is unfortunately a negative point in your insurance
Have a good day.......</v>
      </c>
    </row>
    <row r="470" ht="15.75" customHeight="1">
      <c r="A470" s="2">
        <v>5.0</v>
      </c>
      <c r="B470" s="2" t="s">
        <v>1408</v>
      </c>
      <c r="C470" s="2" t="s">
        <v>1409</v>
      </c>
      <c r="D470" s="2" t="s">
        <v>13</v>
      </c>
      <c r="E470" s="2" t="s">
        <v>14</v>
      </c>
      <c r="F470" s="2" t="s">
        <v>15</v>
      </c>
      <c r="G470" s="2" t="s">
        <v>97</v>
      </c>
      <c r="H470" s="2" t="s">
        <v>25</v>
      </c>
      <c r="I470" s="2" t="str">
        <f>IFERROR(__xludf.DUMMYFUNCTION("GOOGLETRANSLATE(C470,""fr"",""en"")"),"I am completely satisfied with the services offered, the quotes are very well explained and the prices are very affordable, the file is processed quickly")</f>
        <v>I am completely satisfied with the services offered, the quotes are very well explained and the prices are very affordable, the file is processed quickly</v>
      </c>
    </row>
    <row r="471" ht="15.75" customHeight="1">
      <c r="A471" s="2">
        <v>3.0</v>
      </c>
      <c r="B471" s="2" t="s">
        <v>1410</v>
      </c>
      <c r="C471" s="2" t="s">
        <v>1411</v>
      </c>
      <c r="D471" s="2" t="s">
        <v>13</v>
      </c>
      <c r="E471" s="2" t="s">
        <v>14</v>
      </c>
      <c r="F471" s="2" t="s">
        <v>15</v>
      </c>
      <c r="G471" s="2" t="s">
        <v>1412</v>
      </c>
      <c r="H471" s="2" t="s">
        <v>25</v>
      </c>
      <c r="I471" s="2" t="str">
        <f>IFERROR(__xludf.DUMMYFUNCTION("GOOGLETRANSLATE(C471,""fr"",""en"")"),"I am satisfied with the contract but I thought I could benefit from the lifetime bonus given the length of the contract and the bonus but apparently this option no longer exists.")</f>
        <v>I am satisfied with the contract but I thought I could benefit from the lifetime bonus given the length of the contract and the bonus but apparently this option no longer exists.</v>
      </c>
    </row>
    <row r="472" ht="15.75" customHeight="1">
      <c r="A472" s="2">
        <v>4.0</v>
      </c>
      <c r="B472" s="2" t="s">
        <v>1413</v>
      </c>
      <c r="C472" s="2" t="s">
        <v>1414</v>
      </c>
      <c r="D472" s="2" t="s">
        <v>28</v>
      </c>
      <c r="E472" s="2" t="s">
        <v>14</v>
      </c>
      <c r="F472" s="2" t="s">
        <v>15</v>
      </c>
      <c r="G472" s="2" t="s">
        <v>1415</v>
      </c>
      <c r="H472" s="2" t="s">
        <v>46</v>
      </c>
      <c r="I472" s="2" t="str">
        <f>IFERROR(__xludf.DUMMYFUNCTION("GOOGLETRANSLATE(C472,""fr"",""en"")"),"I am satisfied with the price and the implementation of the contract... however, I do not yet have an opinion on the insurance itself. I will be happy to comment on this as soon as I need to call on it! ")</f>
        <v>I am satisfied with the price and the implementation of the contract... however, I do not yet have an opinion on the insurance itself. I will be happy to comment on this as soon as I need to call on it! </v>
      </c>
    </row>
    <row r="473" ht="15.75" customHeight="1">
      <c r="A473" s="2">
        <v>4.0</v>
      </c>
      <c r="B473" s="2" t="s">
        <v>1416</v>
      </c>
      <c r="C473" s="2" t="s">
        <v>1417</v>
      </c>
      <c r="D473" s="2" t="s">
        <v>13</v>
      </c>
      <c r="E473" s="2" t="s">
        <v>14</v>
      </c>
      <c r="F473" s="2" t="s">
        <v>15</v>
      </c>
      <c r="G473" s="2" t="s">
        <v>948</v>
      </c>
      <c r="H473" s="2" t="s">
        <v>25</v>
      </c>
      <c r="I473" s="2" t="str">
        <f>IFERROR(__xludf.DUMMYFUNCTION("GOOGLETRANSLATE(C473,""fr"",""en"")"),"satisfied, good personal contact, very responsive listening, nothing more to add, to see in the event of possible problems (which we do not want).............")</f>
        <v>satisfied, good personal contact, very responsive listening, nothing more to add, to see in the event of possible problems (which we do not want).............</v>
      </c>
    </row>
    <row r="474" ht="15.75" customHeight="1">
      <c r="A474" s="2">
        <v>1.0</v>
      </c>
      <c r="B474" s="2" t="s">
        <v>1418</v>
      </c>
      <c r="C474" s="2" t="s">
        <v>1419</v>
      </c>
      <c r="D474" s="2" t="s">
        <v>145</v>
      </c>
      <c r="E474" s="2" t="s">
        <v>14</v>
      </c>
      <c r="F474" s="2" t="s">
        <v>15</v>
      </c>
      <c r="G474" s="2" t="s">
        <v>1420</v>
      </c>
      <c r="H474" s="2" t="s">
        <v>467</v>
      </c>
      <c r="I474" s="2" t="str">
        <f>IFERROR(__xludf.DUMMYFUNCTION("GOOGLETRANSLATE(C474,""fr"",""en"")"),"Lamentable!  You are fired as soon as you have 2 reported accidents over 3 years! They respond to calls for information even when you decide not to declare it because it is close to the franchise!!! 
They are only there to collect contributions and fire y"&amp;"ou without appeal on a stereotypical letter by triggering their computer system.....
POOR in terms of customer service. The contributions are only used to pay for their advertising....")</f>
        <v>Lamentable!  You are fired as soon as you have 2 reported accidents over 3 years! They respond to calls for information even when you decide not to declare it because it is close to the franchise!!! 
They are only there to collect contributions and fire you without appeal on a stereotypical letter by triggering their computer system.....
POOR in terms of customer service. The contributions are only used to pay for their advertising....</v>
      </c>
    </row>
    <row r="475" ht="15.75" customHeight="1">
      <c r="A475" s="2">
        <v>1.0</v>
      </c>
      <c r="B475" s="2" t="s">
        <v>1421</v>
      </c>
      <c r="C475" s="2" t="s">
        <v>1422</v>
      </c>
      <c r="D475" s="2" t="s">
        <v>326</v>
      </c>
      <c r="E475" s="2" t="s">
        <v>129</v>
      </c>
      <c r="F475" s="2" t="s">
        <v>15</v>
      </c>
      <c r="G475" s="2" t="s">
        <v>1423</v>
      </c>
      <c r="H475" s="2" t="s">
        <v>994</v>
      </c>
      <c r="I475" s="2" t="str">
        <f>IFERROR(__xludf.DUMMYFUNCTION("GOOGLETRANSLATE(C475,""fr"",""en"")"),"AXA Berck housing: increase for 10 years 8% and sometimes + without having claims and changes in the home when it was announced 2 to 3% per year then??")</f>
        <v>AXA Berck housing: increase for 10 years 8% and sometimes + without having claims and changes in the home when it was announced 2 to 3% per year then??</v>
      </c>
    </row>
    <row r="476" ht="15.75" customHeight="1">
      <c r="A476" s="2">
        <v>3.0</v>
      </c>
      <c r="B476" s="2" t="s">
        <v>1424</v>
      </c>
      <c r="C476" s="2" t="s">
        <v>1425</v>
      </c>
      <c r="D476" s="2" t="s">
        <v>623</v>
      </c>
      <c r="E476" s="2" t="s">
        <v>61</v>
      </c>
      <c r="F476" s="2" t="s">
        <v>15</v>
      </c>
      <c r="G476" s="2" t="s">
        <v>1426</v>
      </c>
      <c r="H476" s="2" t="s">
        <v>67</v>
      </c>
      <c r="I476" s="2" t="str">
        <f>IFERROR(__xludf.DUMMYFUNCTION("GOOGLETRANSLATE(C476,""fr"",""en"")"),"Bnp cardif life insurance")</f>
        <v>Bnp cardif life insurance</v>
      </c>
    </row>
    <row r="477" ht="15.75" customHeight="1">
      <c r="A477" s="2">
        <v>4.0</v>
      </c>
      <c r="B477" s="2" t="s">
        <v>1427</v>
      </c>
      <c r="C477" s="2" t="s">
        <v>1428</v>
      </c>
      <c r="D477" s="2" t="s">
        <v>80</v>
      </c>
      <c r="E477" s="2" t="s">
        <v>81</v>
      </c>
      <c r="F477" s="2" t="s">
        <v>15</v>
      </c>
      <c r="G477" s="2" t="s">
        <v>1429</v>
      </c>
      <c r="H477" s="2" t="s">
        <v>30</v>
      </c>
      <c r="I477" s="2" t="str">
        <f>IFERROR(__xludf.DUMMYFUNCTION("GOOGLETRANSLATE(C477,""fr"",""en"")"),"Difficult to get on the phone but satisfied as soon as I got them on the phone
attractive and competitive prices
an interesting approach with basic prices and options to add according to our real needs ")</f>
        <v>Difficult to get on the phone but satisfied as soon as I got them on the phone
attractive and competitive prices
an interesting approach with basic prices and options to add according to our real needs </v>
      </c>
    </row>
    <row r="478" ht="15.75" customHeight="1">
      <c r="A478" s="2">
        <v>4.0</v>
      </c>
      <c r="B478" s="2" t="s">
        <v>1430</v>
      </c>
      <c r="C478" s="2" t="s">
        <v>1431</v>
      </c>
      <c r="D478" s="2" t="s">
        <v>13</v>
      </c>
      <c r="E478" s="2" t="s">
        <v>14</v>
      </c>
      <c r="F478" s="2" t="s">
        <v>15</v>
      </c>
      <c r="G478" s="2" t="s">
        <v>170</v>
      </c>
      <c r="H478" s="2" t="s">
        <v>111</v>
      </c>
      <c r="I478" s="2" t="str">
        <f>IFERROR(__xludf.DUMMYFUNCTION("GOOGLETRANSLATE(C478,""fr"",""en"")"),"satisfied with your services, fast efficient, good value for money 
the online quotes are top notch, I advise everyone, 
already insured with you a few years ago, I am coming back because convinced")</f>
        <v>satisfied with your services, fast efficient, good value for money 
the online quotes are top notch, I advise everyone, 
already insured with you a few years ago, I am coming back because convinced</v>
      </c>
    </row>
    <row r="479" ht="15.75" customHeight="1">
      <c r="A479" s="2">
        <v>1.0</v>
      </c>
      <c r="B479" s="2" t="s">
        <v>1432</v>
      </c>
      <c r="C479" s="2" t="s">
        <v>1433</v>
      </c>
      <c r="D479" s="2" t="s">
        <v>28</v>
      </c>
      <c r="E479" s="2" t="s">
        <v>14</v>
      </c>
      <c r="F479" s="2" t="s">
        <v>15</v>
      </c>
      <c r="G479" s="2" t="s">
        <v>1434</v>
      </c>
      <c r="H479" s="2" t="s">
        <v>328</v>
      </c>
      <c r="I479" s="2" t="str">
        <f>IFERROR(__xludf.DUMMYFUNCTION("GOOGLETRANSLATE(C479,""fr"",""en"")"),"I took out this insurance (third party)(Customer number 7864239563) without thinking too much with the comparator lefuret.com it seems to me, a good price for a first insurance (at least compared to the comparator tested (partnership?).
Insured since the "&amp;"beginning of 2016 (license obtained in 2012), in short, I plan to insure a second vehicle so I say to myself and if I made quotes everywhere, what a bad surprise to see that I come across quotes almost 20 euros/month cheaper... (for my first vehicle...)
S"&amp;"o I first contacted by email to see what he could do (explaining that I wanted to provide a second one), email response: ""we are missing parts"" Ah? and when would I have been notified? (this was the final general terms and conditions, given that I only "&amp;"provided the crossed out general terms and conditions at the start), no response for the second vehicle, on the price or what (probably an ""automatic"" email).
In short, I sent them the CG and rewrote them an email to find out, no response.. Well.. 
So I"&amp;" decide to call them to do this in person, and well there we are at the top, the person tells me bluntly that I'm not in the right service (uh... I only have a single number in the ""contact"" section) so well I am referred to the said loyalty service (an"&amp;"d I should have seen another service for the insurance of the second vehicle..) in short then I don't know if L'olivier is in the contract helped but he should still be careful when he recruits, the said no one wanted to know anything (""You're already en"&amp;"titled to a discount, there's nothing we can do"") so when I see the price they're offering me elsewhere and her response, I tell myself that she must definitely be able to do something, still very reluctant, I explain to her that even my sister for her f"&amp;"irst pay is cheaper... (am I a pigeon then?) She replies very mockingly that we don't assure everyone the same. So that's too much so I ask her for a superior, at first she didn't want to pass him on to me.. Anyway after all that, I'm really not happy, so"&amp;" she gives me someone who ""calls himself"" a boss, I explain my problem again ( that obviously my goal is to pay less, logical?), in short the same thing he doesn't want to do anything, so ok but I tell him that I still intend to write directly by letter"&amp;" to express my dissatisfaction and there as if by magic this person doesn't is no longer a leader but a “senior advisor”. 
The recorded call in any case shows the lack of professionalism. When I see the other messages I can't even imagine if I had had an "&amp;"accident..")</f>
        <v>I took out this insurance (third party)(Customer number 7864239563) without thinking too much with the comparator lefuret.com it seems to me, a good price for a first insurance (at least compared to the comparator tested (partnership?).
Insured since the beginning of 2016 (license obtained in 2012), in short, I plan to insure a second vehicle so I say to myself and if I made quotes everywhere, what a bad surprise to see that I come across quotes almost 20 euros/month cheaper... (for my first vehicle...)
So I first contacted by email to see what he could do (explaining that I wanted to provide a second one), email response: "we are missing parts" Ah? and when would I have been notified? (this was the final general terms and conditions, given that I only provided the crossed out general terms and conditions at the start), no response for the second vehicle, on the price or what (probably an "automatic" email).
In short, I sent them the CG and rewrote them an email to find out, no response.. Well.. 
So I decide to call them to do this in person, and well there we are at the top, the person tells me bluntly that I'm not in the right service (uh... I only have a single number in the "contact" section) so well I am referred to the said loyalty service (and I should have seen another service for the insurance of the second vehicle..) in short then I don't know if L'olivier is in the contract helped but he should still be careful when he recruits, the said no one wanted to know anything ("You're already entitled to a discount, there's nothing we can do") so when I see the price they're offering me elsewhere and her response, I tell myself that she must definitely be able to do something, still very reluctant, I explain to her that even my sister for her first pay is cheaper... (am I a pigeon then?) She replies very mockingly that we don't assure everyone the same. So that's too much so I ask her for a superior, at first she didn't want to pass him on to me.. Anyway after all that, I'm really not happy, so she gives me someone who "calls himself" a boss, I explain my problem again ( that obviously my goal is to pay less, logical?), in short the same thing he doesn't want to do anything, so ok but I tell him that I still intend to write directly by letter to express my dissatisfaction and there as if by magic this person doesn't is no longer a leader but a “senior advisor”. 
The recorded call in any case shows the lack of professionalism. When I see the other messages I can't even imagine if I had had an accident..</v>
      </c>
    </row>
    <row r="480" ht="15.75" customHeight="1">
      <c r="A480" s="2">
        <v>2.0</v>
      </c>
      <c r="B480" s="2" t="s">
        <v>1435</v>
      </c>
      <c r="C480" s="2" t="s">
        <v>1436</v>
      </c>
      <c r="D480" s="2" t="s">
        <v>145</v>
      </c>
      <c r="E480" s="2" t="s">
        <v>14</v>
      </c>
      <c r="F480" s="2" t="s">
        <v>15</v>
      </c>
      <c r="G480" s="2" t="s">
        <v>1401</v>
      </c>
      <c r="H480" s="2" t="s">
        <v>661</v>
      </c>
      <c r="I480" s="2" t="str">
        <f>IFERROR(__xludf.DUMMYFUNCTION("GOOGLETRANSLATE(C480,""fr"",""en"")"),"It’s not the MAAF that I prefer")</f>
        <v>It’s not the MAAF that I prefer</v>
      </c>
    </row>
    <row r="481" ht="15.75" customHeight="1">
      <c r="A481" s="2">
        <v>3.0</v>
      </c>
      <c r="B481" s="2" t="s">
        <v>1437</v>
      </c>
      <c r="C481" s="2" t="s">
        <v>1438</v>
      </c>
      <c r="D481" s="2" t="s">
        <v>13</v>
      </c>
      <c r="E481" s="2" t="s">
        <v>14</v>
      </c>
      <c r="F481" s="2" t="s">
        <v>15</v>
      </c>
      <c r="G481" s="2" t="s">
        <v>696</v>
      </c>
      <c r="H481" s="2" t="s">
        <v>111</v>
      </c>
      <c r="I481" s="2" t="str">
        <f>IFERROR(__xludf.DUMMYFUNCTION("GOOGLETRANSLATE(C481,""fr"",""en"")"),"Satisfied with the completely autonomous and fast online subscription formality. It remains to be seen what performance will follow. Good experience in the past. ")</f>
        <v>Satisfied with the completely autonomous and fast online subscription formality. It remains to be seen what performance will follow. Good experience in the past. </v>
      </c>
    </row>
    <row r="482" ht="15.75" customHeight="1">
      <c r="A482" s="2">
        <v>1.0</v>
      </c>
      <c r="B482" s="2" t="s">
        <v>1439</v>
      </c>
      <c r="C482" s="2" t="s">
        <v>1440</v>
      </c>
      <c r="D482" s="2" t="s">
        <v>65</v>
      </c>
      <c r="E482" s="2" t="s">
        <v>14</v>
      </c>
      <c r="F482" s="2" t="s">
        <v>15</v>
      </c>
      <c r="G482" s="2" t="s">
        <v>1441</v>
      </c>
      <c r="H482" s="2" t="s">
        <v>181</v>
      </c>
      <c r="I482" s="2" t="str">
        <f>IFERROR(__xludf.DUMMYFUNCTION("GOOGLETRANSLATE(C482,""fr"",""en"")"),"Disastrous support experience at Allianz:
My parents (over 80 years old each) insured for several years, broke down on the road one Saturday afternoon on a national road between Laval and Rennes around 2 p.m., they tried to contact assistance and were una"&amp;"ble to obtain someone that after several calls of more than a quarter of an hour each, only music was present on the line! Between the start of the call and the provision of a car almost 5 hours later! The car was an automatic hybrid, and the rental compa"&amp;"ny's explanations were more than brief, which meant some disappointments on the way back (but brief)...
To get their repaired vehicle back, Allianz offered them a taxi and train, but to get there. As they were passing through Paris there was a taxi transf"&amp;"er between the two stations. The first taxi which was to take them to the station did not come, they had to fend for themselves, while for the second taxi in Paris the number provided was not good, and they were not able to find it, and they had to take a"&amp;" taxi at their expense.
In the rush my mother fell and broke her knee. She still continued her journey to retrieve the car.
After arriving and collecting the car, it broke down again on the outskirts of Le Mans on the highway at a rest area. 
Unable to re"&amp;"ach support again, despite several calls. I myself tried to contact assistance via my cell phone and apart from the music I got no one. It was the highway assistance that was able to help them out, but not for free obviously, they had to pay again!
The re"&amp;"pairman also tried to call assistance but couldn't do it either!
My parents ended up leaving and arriving late at night, but my mother's knee was too painful and they ended up in the Montargis-Amilly emergency room. So broken kneecap, and hospitalization "&amp;"for two days before returning with crutches and wheelchair.
Impossible to contact their Allianz advisor, and the replacement, if there is one, is absent.
I went to an Allianz agency where they explained to me that my parents should see this with their adv"&amp;"isor and not with an agency!
TOTALLY INADMISSIBLE for this insurance company to leave people alone with their problems. I am not going to stop there and let consumer associations know, this is not normal, if no QUICK solution is proposed and implemented b"&amp;"y Allianz.
")</f>
        <v>Disastrous support experience at Allianz:
My parents (over 80 years old each) insured for several years, broke down on the road one Saturday afternoon on a national road between Laval and Rennes around 2 p.m., they tried to contact assistance and were unable to obtain someone that after several calls of more than a quarter of an hour each, only music was present on the line! Between the start of the call and the provision of a car almost 5 hours later! The car was an automatic hybrid, and the rental company's explanations were more than brief, which meant some disappointments on the way back (but brief)...
To get their repaired vehicle back, Allianz offered them a taxi and train, but to get there. As they were passing through Paris there was a taxi transfer between the two stations. The first taxi which was to take them to the station did not come, they had to fend for themselves, while for the second taxi in Paris the number provided was not good, and they were not able to find it, and they had to take a taxi at their expense.
In the rush my mother fell and broke her knee. She still continued her journey to retrieve the car.
After arriving and collecting the car, it broke down again on the outskirts of Le Mans on the highway at a rest area. 
Unable to reach support again, despite several calls. I myself tried to contact assistance via my cell phone and apart from the music I got no one. It was the highway assistance that was able to help them out, but not for free obviously, they had to pay again!
The repairman also tried to call assistance but couldn't do it either!
My parents ended up leaving and arriving late at night, but my mother's knee was too painful and they ended up in the Montargis-Amilly emergency room. So broken kneecap, and hospitalization for two days before returning with crutches and wheelchair.
Impossible to contact their Allianz advisor, and the replacement, if there is one, is absent.
I went to an Allianz agency where they explained to me that my parents should see this with their advisor and not with an agency!
TOTALLY INADMISSIBLE for this insurance company to leave people alone with their problems. I am not going to stop there and let consumer associations know, this is not normal, if no QUICK solution is proposed and implemented by Allianz.
</v>
      </c>
    </row>
    <row r="483" ht="15.75" customHeight="1">
      <c r="A483" s="2">
        <v>1.0</v>
      </c>
      <c r="B483" s="2" t="s">
        <v>1442</v>
      </c>
      <c r="C483" s="2" t="s">
        <v>1443</v>
      </c>
      <c r="D483" s="2" t="s">
        <v>303</v>
      </c>
      <c r="E483" s="2" t="s">
        <v>129</v>
      </c>
      <c r="F483" s="2" t="s">
        <v>15</v>
      </c>
      <c r="G483" s="2" t="s">
        <v>1444</v>
      </c>
      <c r="H483" s="2" t="s">
        <v>139</v>
      </c>
      <c r="I483" s="2" t="str">
        <f>IFERROR(__xludf.DUMMYFUNCTION("GOOGLETRANSLATE(C483,""fr"",""en"")"),"Don't have a problem in your house")</f>
        <v>Don't have a problem in your house</v>
      </c>
    </row>
    <row r="484" ht="15.75" customHeight="1">
      <c r="A484" s="2">
        <v>1.0</v>
      </c>
      <c r="B484" s="2" t="s">
        <v>1445</v>
      </c>
      <c r="C484" s="2" t="s">
        <v>1446</v>
      </c>
      <c r="D484" s="2" t="s">
        <v>33</v>
      </c>
      <c r="E484" s="2" t="s">
        <v>14</v>
      </c>
      <c r="F484" s="2" t="s">
        <v>15</v>
      </c>
      <c r="G484" s="2" t="s">
        <v>1447</v>
      </c>
      <c r="H484" s="2" t="s">
        <v>385</v>
      </c>
      <c r="I484" s="2" t="str">
        <f>IFERROR(__xludf.DUMMYFUNCTION("GOOGLETRANSLATE(C484,""fr"",""en"")"),"Matmut is good insurance until the day you have a claim! Since December 1, 2018 my vehicle has been stolen, 10 months later I have still not been compensated and I am asked again and again for documents, several of which I have already sent! I even get as"&amp;"ked very indiscreet questions! They even try to pass me off as a fraudster when everything proves the opposite, including the Gendarmerie investigation! After several registered letters sent, no response! I can't afford to buy a car so I've had to deal wi"&amp;"th transportation for 10 months, it's unacceptable!! We pay to be insured and we end up broke! They are destroying a life!")</f>
        <v>Matmut is good insurance until the day you have a claim! Since December 1, 2018 my vehicle has been stolen, 10 months later I have still not been compensated and I am asked again and again for documents, several of which I have already sent! I even get asked very indiscreet questions! They even try to pass me off as a fraudster when everything proves the opposite, including the Gendarmerie investigation! After several registered letters sent, no response! I can't afford to buy a car so I've had to deal with transportation for 10 months, it's unacceptable!! We pay to be insured and we end up broke! They are destroying a life!</v>
      </c>
    </row>
    <row r="485" ht="15.75" customHeight="1">
      <c r="A485" s="2">
        <v>4.0</v>
      </c>
      <c r="B485" s="2" t="s">
        <v>1448</v>
      </c>
      <c r="C485" s="2" t="s">
        <v>1449</v>
      </c>
      <c r="D485" s="2" t="s">
        <v>28</v>
      </c>
      <c r="E485" s="2" t="s">
        <v>14</v>
      </c>
      <c r="F485" s="2" t="s">
        <v>15</v>
      </c>
      <c r="G485" s="2" t="s">
        <v>611</v>
      </c>
      <c r="H485" s="2" t="s">
        <v>612</v>
      </c>
      <c r="I485" s="2" t="str">
        <f>IFERROR(__xludf.DUMMYFUNCTION("GOOGLETRANSLATE(C485,""fr"",""en"")"),"Attractive prices, friendly and responsive sales and customer services")</f>
        <v>Attractive prices, friendly and responsive sales and customer services</v>
      </c>
    </row>
    <row r="486" ht="15.75" customHeight="1">
      <c r="A486" s="2">
        <v>5.0</v>
      </c>
      <c r="B486" s="2" t="s">
        <v>1450</v>
      </c>
      <c r="C486" s="2" t="s">
        <v>1451</v>
      </c>
      <c r="D486" s="2" t="s">
        <v>13</v>
      </c>
      <c r="E486" s="2" t="s">
        <v>14</v>
      </c>
      <c r="F486" s="2" t="s">
        <v>15</v>
      </c>
      <c r="G486" s="2" t="s">
        <v>673</v>
      </c>
      <c r="H486" s="2" t="s">
        <v>111</v>
      </c>
      <c r="I486" s="2" t="str">
        <f>IFERROR(__xludf.DUMMYFUNCTION("GOOGLETRANSLATE(C486,""fr"",""en"")"),"Satisfied with the simple and fast service, nothing to say and less expensive than the GMF, it is possible that other vehicles also go under direct insurance thank you")</f>
        <v>Satisfied with the simple and fast service, nothing to say and less expensive than the GMF, it is possible that other vehicles also go under direct insurance thank you</v>
      </c>
    </row>
    <row r="487" ht="15.75" customHeight="1">
      <c r="A487" s="2">
        <v>3.0</v>
      </c>
      <c r="B487" s="2" t="s">
        <v>1452</v>
      </c>
      <c r="C487" s="2" t="s">
        <v>1453</v>
      </c>
      <c r="D487" s="2" t="s">
        <v>13</v>
      </c>
      <c r="E487" s="2" t="s">
        <v>14</v>
      </c>
      <c r="F487" s="2" t="s">
        <v>15</v>
      </c>
      <c r="G487" s="2" t="s">
        <v>1454</v>
      </c>
      <c r="H487" s="2" t="s">
        <v>286</v>
      </c>
      <c r="I487" s="2" t="str">
        <f>IFERROR(__xludf.DUMMYFUNCTION("GOOGLETRANSLATE(C487,""fr"",""en"")"),"I am satisfied with the possibility of having a quick quote but the fact of asking for a mandatory opinion before being able to receive and test the quote is a bit painful ")</f>
        <v>I am satisfied with the possibility of having a quick quote but the fact of asking for a mandatory opinion before being able to receive and test the quote is a bit painful </v>
      </c>
    </row>
    <row r="488" ht="15.75" customHeight="1">
      <c r="A488" s="2">
        <v>3.0</v>
      </c>
      <c r="B488" s="2" t="s">
        <v>1455</v>
      </c>
      <c r="C488" s="2" t="s">
        <v>1456</v>
      </c>
      <c r="D488" s="2" t="s">
        <v>49</v>
      </c>
      <c r="E488" s="2" t="s">
        <v>50</v>
      </c>
      <c r="F488" s="2" t="s">
        <v>15</v>
      </c>
      <c r="G488" s="2" t="s">
        <v>1457</v>
      </c>
      <c r="H488" s="2" t="s">
        <v>361</v>
      </c>
      <c r="I488" s="2" t="str">
        <f>IFERROR(__xludf.DUMMYFUNCTION("GOOGLETRANSLATE(C488,""fr"",""en"")"),"Good morning,
I have two cats and I wanted to find out about veterinary insurance for one of them (Pepita), because my second is too old and I therefore requested quotes online on several insurance sites, including SanteVet.
They sent me my quote by email"&amp;" and called back immediately (August 26 at 3:06 p.m.) 
The advisor on the phone (if you can call her that) told me that if my cat already had health problems he was not eligible for insurance and that I should think about it beforehand, when he has no hea"&amp;"lth problems yet. Which I completely understand.
I just wanted some advice but this woman was horrible! She clearly yelled at me and looked angry. The conversation was cut short. His attitude is disrespectful!
I especially wanted to find out information f"&amp;"or later when I wanted to contract a 
insurance and it's clear that it will never be with them, they are Blacklisted for my part.
It's good, that way they help me sort things out on their own.
")</f>
        <v>Good morning,
I have two cats and I wanted to find out about veterinary insurance for one of them (Pepita), because my second is too old and I therefore requested quotes online on several insurance sites, including SanteVet.
They sent me my quote by email and called back immediately (August 26 at 3:06 p.m.) 
The advisor on the phone (if you can call her that) told me that if my cat already had health problems he was not eligible for insurance and that I should think about it beforehand, when he has no health problems yet. Which I completely understand.
I just wanted some advice but this woman was horrible! She clearly yelled at me and looked angry. The conversation was cut short. His attitude is disrespectful!
I especially wanted to find out information for later when I wanted to contract a 
insurance and it's clear that it will never be with them, they are Blacklisted for my part.
It's good, that way they help me sort things out on their own.
</v>
      </c>
    </row>
    <row r="489" ht="15.75" customHeight="1">
      <c r="A489" s="2">
        <v>2.0</v>
      </c>
      <c r="B489" s="2" t="s">
        <v>1458</v>
      </c>
      <c r="C489" s="2" t="s">
        <v>1459</v>
      </c>
      <c r="D489" s="2" t="s">
        <v>310</v>
      </c>
      <c r="E489" s="2" t="s">
        <v>14</v>
      </c>
      <c r="F489" s="2" t="s">
        <v>15</v>
      </c>
      <c r="G489" s="2" t="s">
        <v>1447</v>
      </c>
      <c r="H489" s="2" t="s">
        <v>385</v>
      </c>
      <c r="I489" s="2" t="str">
        <f>IFERROR(__xludf.DUMMYFUNCTION("GOOGLETRANSLATE(C489,""fr"",""en"")"),"Customer since 2012 with a bonus of 0.54, that is to say 12 years without responsible accidents, but after a broken window last winter, vandalism at the beginning of the year and unfortunately a slight accident this summer (but responsible), I will be not"&amp;"ified of a termination. While I have accumulated several contracts with them over many years without the slightest incident. I would have liked to have been notified to negotiate the termination. I tried to contact customer service by email (email given b"&amp;"y telephone support) and 3 weeks later, I still have no answers.
Now I'm going to be on file and have difficulty getting reinsured. And I'm not even talking about the way my previous claim was handled..
When I think that I have sponsored many friends, I h"&amp;"ope that they will not have any problems...")</f>
        <v>Customer since 2012 with a bonus of 0.54, that is to say 12 years without responsible accidents, but after a broken window last winter, vandalism at the beginning of the year and unfortunately a slight accident this summer (but responsible), I will be notified of a termination. While I have accumulated several contracts with them over many years without the slightest incident. I would have liked to have been notified to negotiate the termination. I tried to contact customer service by email (email given by telephone support) and 3 weeks later, I still have no answers.
Now I'm going to be on file and have difficulty getting reinsured. And I'm not even talking about the way my previous claim was handled..
When I think that I have sponsored many friends, I hope that they will not have any problems...</v>
      </c>
    </row>
    <row r="490" ht="15.75" customHeight="1">
      <c r="A490" s="2">
        <v>2.0</v>
      </c>
      <c r="B490" s="2" t="s">
        <v>1460</v>
      </c>
      <c r="C490" s="2" t="s">
        <v>1461</v>
      </c>
      <c r="D490" s="2" t="s">
        <v>13</v>
      </c>
      <c r="E490" s="2" t="s">
        <v>14</v>
      </c>
      <c r="F490" s="2" t="s">
        <v>15</v>
      </c>
      <c r="G490" s="2" t="s">
        <v>1462</v>
      </c>
      <c r="H490" s="2" t="s">
        <v>414</v>
      </c>
      <c r="I490" s="2" t="str">
        <f>IFERROR(__xludf.DUMMYFUNCTION("GOOGLETRANSLATE(C490,""fr"",""en"")"),"Inadmissible to support an increase on January 1, 2019 of 9.2%.
Interesting subscription rates but we are massacred on the following anniversary dates")</f>
        <v>Inadmissible to support an increase on January 1, 2019 of 9.2%.
Interesting subscription rates but we are massacred on the following anniversary dates</v>
      </c>
    </row>
    <row r="491" ht="15.75" customHeight="1">
      <c r="A491" s="2">
        <v>5.0</v>
      </c>
      <c r="B491" s="2" t="s">
        <v>1463</v>
      </c>
      <c r="C491" s="2" t="s">
        <v>1464</v>
      </c>
      <c r="D491" s="2" t="s">
        <v>13</v>
      </c>
      <c r="E491" s="2" t="s">
        <v>14</v>
      </c>
      <c r="F491" s="2" t="s">
        <v>15</v>
      </c>
      <c r="G491" s="2" t="s">
        <v>1165</v>
      </c>
      <c r="H491" s="2" t="s">
        <v>21</v>
      </c>
      <c r="I491" s="2" t="str">
        <f>IFERROR(__xludf.DUMMYFUNCTION("GOOGLETRANSLATE(C491,""fr"",""en"")"),"I'm good, I find that the price is affordable and that the after-sales service department is very quick to contact and very competent. I'm just waiting for a drop in price given my coefficient and the number of accidents which is 0 ")</f>
        <v>I'm good, I find that the price is affordable and that the after-sales service department is very quick to contact and very competent. I'm just waiting for a drop in price given my coefficient and the number of accidents which is 0 </v>
      </c>
    </row>
    <row r="492" ht="15.75" customHeight="1">
      <c r="A492" s="2">
        <v>5.0</v>
      </c>
      <c r="B492" s="2" t="s">
        <v>1465</v>
      </c>
      <c r="C492" s="2" t="s">
        <v>1466</v>
      </c>
      <c r="D492" s="2" t="s">
        <v>493</v>
      </c>
      <c r="E492" s="2" t="s">
        <v>101</v>
      </c>
      <c r="F492" s="2" t="s">
        <v>15</v>
      </c>
      <c r="G492" s="2" t="s">
        <v>790</v>
      </c>
      <c r="H492" s="2" t="s">
        <v>71</v>
      </c>
      <c r="I492" s="2" t="str">
        <f>IFERROR(__xludf.DUMMYFUNCTION("GOOGLETRANSLATE(C492,""fr"",""en"")"),"Fast and efficient, thank you for the advice and preferential rates. In addition there is a sponsorship system. This is a very good thing. I recommend ")</f>
        <v>Fast and efficient, thank you for the advice and preferential rates. In addition there is a sponsorship system. This is a very good thing. I recommend </v>
      </c>
    </row>
    <row r="493" ht="15.75" customHeight="1">
      <c r="A493" s="2">
        <v>4.0</v>
      </c>
      <c r="B493" s="2" t="s">
        <v>1467</v>
      </c>
      <c r="C493" s="2" t="s">
        <v>1468</v>
      </c>
      <c r="D493" s="2" t="s">
        <v>28</v>
      </c>
      <c r="E493" s="2" t="s">
        <v>14</v>
      </c>
      <c r="F493" s="2" t="s">
        <v>15</v>
      </c>
      <c r="G493" s="2" t="s">
        <v>1117</v>
      </c>
      <c r="H493" s="2" t="s">
        <v>30</v>
      </c>
      <c r="I493" s="2" t="str">
        <f>IFERROR(__xludf.DUMMYFUNCTION("GOOGLETRANSLATE(C493,""fr"",""en"")"),"I quickly received my quote and was able to have someone on the phone to guide me through my steps. I find this insurance very affordable for young drivers.
Fast and efficient service")</f>
        <v>I quickly received my quote and was able to have someone on the phone to guide me through my steps. I find this insurance very affordable for young drivers.
Fast and efficient service</v>
      </c>
    </row>
    <row r="494" ht="15.75" customHeight="1">
      <c r="A494" s="2">
        <v>1.0</v>
      </c>
      <c r="B494" s="2" t="s">
        <v>1469</v>
      </c>
      <c r="C494" s="2" t="s">
        <v>1470</v>
      </c>
      <c r="D494" s="2" t="s">
        <v>601</v>
      </c>
      <c r="E494" s="2" t="s">
        <v>39</v>
      </c>
      <c r="F494" s="2" t="s">
        <v>15</v>
      </c>
      <c r="G494" s="2" t="s">
        <v>615</v>
      </c>
      <c r="H494" s="2" t="s">
        <v>25</v>
      </c>
      <c r="I494" s="2" t="str">
        <f>IFERROR(__xludf.DUMMYFUNCTION("GOOGLETRANSLATE(C494,""fr"",""en"")"),"Génération mutual company lousy I have been contributing for years and for the first time I am calling on them for dental care a bridge of 2000 euros social security reimburses me 209 euros and generation 159 euros never seen before I am forced to take an"&amp;"other mutual outside to have a serious reimbursement but the worst is that generation always takes my contributions from my salary each month while they only reimburse slop so imagine the number of employees who have contributions taken each month for not"&amp;"hing since it is compulsory mutual insurance we have no choice. super well protected by generation a big joke but above all a shame I am also obliged to put a star to make myself heard otherwise you cannot validate ")</f>
        <v>Génération mutual company lousy I have been contributing for years and for the first time I am calling on them for dental care a bridge of 2000 euros social security reimburses me 209 euros and generation 159 euros never seen before I am forced to take another mutual outside to have a serious reimbursement but the worst is that generation always takes my contributions from my salary each month while they only reimburse slop so imagine the number of employees who have contributions taken each month for nothing since it is compulsory mutual insurance we have no choice. super well protected by generation a big joke but above all a shame I am also obliged to put a star to make myself heard otherwise you cannot validate </v>
      </c>
    </row>
    <row r="495" ht="15.75" customHeight="1">
      <c r="A495" s="2">
        <v>5.0</v>
      </c>
      <c r="B495" s="2" t="s">
        <v>1471</v>
      </c>
      <c r="C495" s="2" t="s">
        <v>1472</v>
      </c>
      <c r="D495" s="2" t="s">
        <v>197</v>
      </c>
      <c r="E495" s="2" t="s">
        <v>81</v>
      </c>
      <c r="F495" s="2" t="s">
        <v>15</v>
      </c>
      <c r="G495" s="2" t="s">
        <v>314</v>
      </c>
      <c r="H495" s="2" t="s">
        <v>111</v>
      </c>
      <c r="I495" s="2" t="str">
        <f>IFERROR(__xludf.DUMMYFUNCTION("GOOGLETRANSLATE(C495,""fr"",""en"")"),"I am very satisfied and I find that it is very simple to use, the price is very attractive. Completely satisfied with the ease with which we can insure so quickly")</f>
        <v>I am very satisfied and I find that it is very simple to use, the price is very attractive. Completely satisfied with the ease with which we can insure so quickly</v>
      </c>
    </row>
    <row r="496" ht="15.75" customHeight="1">
      <c r="A496" s="2">
        <v>1.0</v>
      </c>
      <c r="B496" s="2" t="s">
        <v>1473</v>
      </c>
      <c r="C496" s="2" t="s">
        <v>1474</v>
      </c>
      <c r="D496" s="2" t="s">
        <v>13</v>
      </c>
      <c r="E496" s="2" t="s">
        <v>14</v>
      </c>
      <c r="F496" s="2" t="s">
        <v>15</v>
      </c>
      <c r="G496" s="2" t="s">
        <v>1475</v>
      </c>
      <c r="H496" s="2" t="s">
        <v>25</v>
      </c>
      <c r="I496" s="2" t="str">
        <f>IFERROR(__xludf.DUMMYFUNCTION("GOOGLETRANSLATE(C496,""fr"",""en"")"),"More than 20 minutes of waiting without having a customer service advisor, then end of communication.
Request for commercial gesture following increase 4 years in a row -&gt; nothing.
my next step will be termination!")</f>
        <v>More than 20 minutes of waiting without having a customer service advisor, then end of communication.
Request for commercial gesture following increase 4 years in a row -&gt; nothing.
my next step will be termination!</v>
      </c>
    </row>
    <row r="497" ht="15.75" customHeight="1">
      <c r="A497" s="2">
        <v>5.0</v>
      </c>
      <c r="B497" s="2" t="s">
        <v>1476</v>
      </c>
      <c r="C497" s="2" t="s">
        <v>1477</v>
      </c>
      <c r="D497" s="2" t="s">
        <v>13</v>
      </c>
      <c r="E497" s="2" t="s">
        <v>14</v>
      </c>
      <c r="F497" s="2" t="s">
        <v>15</v>
      </c>
      <c r="G497" s="2" t="s">
        <v>161</v>
      </c>
      <c r="H497" s="2" t="s">
        <v>83</v>
      </c>
      <c r="I497" s="2" t="str">
        <f>IFERROR(__xludf.DUMMYFUNCTION("GOOGLETRANSLATE(C497,""fr"",""en"")"),"Very attractive price, speed of execution. Quote received by email on time. On the other hand, the length of the review is a little long for my taste. Sincerely ")</f>
        <v>Very attractive price, speed of execution. Quote received by email on time. On the other hand, the length of the review is a little long for my taste. Sincerely </v>
      </c>
    </row>
    <row r="498" ht="15.75" customHeight="1">
      <c r="A498" s="2">
        <v>1.0</v>
      </c>
      <c r="B498" s="2" t="s">
        <v>1478</v>
      </c>
      <c r="C498" s="2" t="s">
        <v>1479</v>
      </c>
      <c r="D498" s="2" t="s">
        <v>128</v>
      </c>
      <c r="E498" s="2" t="s">
        <v>14</v>
      </c>
      <c r="F498" s="2" t="s">
        <v>15</v>
      </c>
      <c r="G498" s="2" t="s">
        <v>1480</v>
      </c>
      <c r="H498" s="2" t="s">
        <v>46</v>
      </c>
      <c r="I498" s="2" t="str">
        <f>IFERROR(__xludf.DUMMYFUNCTION("GOOGLETRANSLATE(C498,""fr"",""en"")"),"I had a traffic accident I lost my vehicle 2 injured and pacifica does not want to take charge of my claim she had a report issued by the gendarmerie who summoned me to find out how the accident happened I have nothing understood, they found a letter in t"&amp;"he name of my son and asked me who this person I answered c my son yes I have my son's belongings and documents because my husband doesn't want anything at home from him as a result I leave everything in my car. The expert told the car scrapyard that the "&amp;"insurance does not cover it and that I had to recover my vehicle which is out of circulation, but in what world do I live in I am insured for all risks and I must contact my lawyer or how to do it in order to sue pacifica. Thank you for your advice.")</f>
        <v>I had a traffic accident I lost my vehicle 2 injured and pacifica does not want to take charge of my claim she had a report issued by the gendarmerie who summoned me to find out how the accident happened I have nothing understood, they found a letter in the name of my son and asked me who this person I answered c my son yes I have my son's belongings and documents because my husband doesn't want anything at home from him as a result I leave everything in my car. The expert told the car scrapyard that the insurance does not cover it and that I had to recover my vehicle which is out of circulation, but in what world do I live in I am insured for all risks and I must contact my lawyer or how to do it in order to sue pacifica. Thank you for your advice.</v>
      </c>
    </row>
    <row r="499" ht="15.75" customHeight="1">
      <c r="A499" s="2">
        <v>1.0</v>
      </c>
      <c r="B499" s="2" t="s">
        <v>1481</v>
      </c>
      <c r="C499" s="2" t="s">
        <v>1482</v>
      </c>
      <c r="D499" s="2" t="s">
        <v>412</v>
      </c>
      <c r="E499" s="2" t="s">
        <v>39</v>
      </c>
      <c r="F499" s="2" t="s">
        <v>15</v>
      </c>
      <c r="G499" s="2" t="s">
        <v>1483</v>
      </c>
      <c r="H499" s="2" t="s">
        <v>83</v>
      </c>
      <c r="I499" s="2" t="str">
        <f>IFERROR(__xludf.DUMMYFUNCTION("GOOGLETRANSLATE(C499,""fr"",""en"")"),"flee this group, they never respond to emails, employers must choose this mutual for its price, imprisoning employees with a low-end group where you have no one to turn to 
turn in case of problems and I know what I'm talking about 2 months for a simple p"&amp;"roblem and ... I only have: send an email from their site (where they never answer) and the telephone ... where I am said politely
that my concerns are taken care of (which is not the case)
run away!!")</f>
        <v>flee this group, they never respond to emails, employers must choose this mutual for its price, imprisoning employees with a low-end group where you have no one to turn to 
turn in case of problems and I know what I'm talking about 2 months for a simple problem and ... I only have: send an email from their site (where they never answer) and the telephone ... where I am said politely
that my concerns are taken care of (which is not the case)
run away!!</v>
      </c>
    </row>
    <row r="500" ht="15.75" customHeight="1">
      <c r="A500" s="2">
        <v>3.0</v>
      </c>
      <c r="B500" s="2" t="s">
        <v>1484</v>
      </c>
      <c r="C500" s="2" t="s">
        <v>1485</v>
      </c>
      <c r="D500" s="2" t="s">
        <v>190</v>
      </c>
      <c r="E500" s="2" t="s">
        <v>14</v>
      </c>
      <c r="F500" s="2" t="s">
        <v>15</v>
      </c>
      <c r="G500" s="2" t="s">
        <v>1357</v>
      </c>
      <c r="H500" s="2" t="s">
        <v>30</v>
      </c>
      <c r="I500" s="2" t="str">
        <f>IFERROR(__xludf.DUMMYFUNCTION("GOOGLETRANSLATE(C500,""fr"",""en"")"),"I am satisfied with the simple and practical services. Taking into account a request for space is quick and clear on the use of online space.")</f>
        <v>I am satisfied with the simple and practical services. Taking into account a request for space is quick and clear on the use of online space.</v>
      </c>
    </row>
    <row r="501" ht="15.75" customHeight="1">
      <c r="A501" s="2">
        <v>3.0</v>
      </c>
      <c r="B501" s="2" t="s">
        <v>1486</v>
      </c>
      <c r="C501" s="2" t="s">
        <v>1487</v>
      </c>
      <c r="D501" s="2" t="s">
        <v>13</v>
      </c>
      <c r="E501" s="2" t="s">
        <v>14</v>
      </c>
      <c r="F501" s="2" t="s">
        <v>15</v>
      </c>
      <c r="G501" s="2" t="s">
        <v>1488</v>
      </c>
      <c r="H501" s="2" t="s">
        <v>25</v>
      </c>
      <c r="I501" s="2" t="str">
        <f>IFERROR(__xludf.DUMMYFUNCTION("GOOGLETRANSLATE(C501,""fr"",""en"")"),"I am satisfied with the ease of subscription.
Fair price even if very high for a young driver.
.................................................. ...........................
")</f>
        <v>I am satisfied with the ease of subscription.
Fair price even if very high for a young driver.
.................................................. ...........................
</v>
      </c>
    </row>
    <row r="502" ht="15.75" customHeight="1">
      <c r="A502" s="2">
        <v>2.0</v>
      </c>
      <c r="B502" s="2" t="s">
        <v>1489</v>
      </c>
      <c r="C502" s="2" t="s">
        <v>1490</v>
      </c>
      <c r="D502" s="2" t="s">
        <v>281</v>
      </c>
      <c r="E502" s="2" t="s">
        <v>39</v>
      </c>
      <c r="F502" s="2" t="s">
        <v>15</v>
      </c>
      <c r="G502" s="2" t="s">
        <v>346</v>
      </c>
      <c r="H502" s="2" t="s">
        <v>347</v>
      </c>
      <c r="I502" s="2" t="str">
        <f>IFERROR(__xludf.DUMMYFUNCTION("GOOGLETRANSLATE(C502,""fr"",""en"")"),"Despite my efforts with the local agency and the fact that they admitted their error, Harmonie Mutuelle never reimbursed me the 200 Euros of excess contribution that they granted when I terminated at the beginning of 2016. 
The whole file is here:
http:/"&amp;"/jroger.net/harmonie-mutuelle-la-fleche-72200.htm")</f>
        <v>Despite my efforts with the local agency and the fact that they admitted their error, Harmonie Mutuelle never reimbursed me the 200 Euros of excess contribution that they granted when I terminated at the beginning of 2016. 
The whole file is here:
http://jroger.net/harmonie-mutuelle-la-fleche-72200.htm</v>
      </c>
    </row>
    <row r="503" ht="15.75" customHeight="1">
      <c r="A503" s="2">
        <v>5.0</v>
      </c>
      <c r="B503" s="2" t="s">
        <v>1491</v>
      </c>
      <c r="C503" s="2" t="s">
        <v>1492</v>
      </c>
      <c r="D503" s="2" t="s">
        <v>13</v>
      </c>
      <c r="E503" s="2" t="s">
        <v>14</v>
      </c>
      <c r="F503" s="2" t="s">
        <v>15</v>
      </c>
      <c r="G503" s="2" t="s">
        <v>1493</v>
      </c>
      <c r="H503" s="2" t="s">
        <v>71</v>
      </c>
      <c r="I503" s="2" t="str">
        <f>IFERROR(__xludf.DUMMYFUNCTION("GOOGLETRANSLATE(C503,""fr"",""en"")"),"I am satisfied with the price and the ease of registration as well as the guarantees in relation to my contract;
the termination of my old contract happened very quickly.")</f>
        <v>I am satisfied with the price and the ease of registration as well as the guarantees in relation to my contract;
the termination of my old contract happened very quickly.</v>
      </c>
    </row>
    <row r="504" ht="15.75" customHeight="1">
      <c r="A504" s="2">
        <v>1.0</v>
      </c>
      <c r="B504" s="2" t="s">
        <v>1494</v>
      </c>
      <c r="C504" s="2" t="s">
        <v>1495</v>
      </c>
      <c r="D504" s="2" t="s">
        <v>394</v>
      </c>
      <c r="E504" s="2" t="s">
        <v>129</v>
      </c>
      <c r="F504" s="2" t="s">
        <v>15</v>
      </c>
      <c r="G504" s="2" t="s">
        <v>829</v>
      </c>
      <c r="H504" s="2" t="s">
        <v>286</v>
      </c>
      <c r="I504" s="2" t="str">
        <f>IFERROR(__xludf.DUMMYFUNCTION("GOOGLETRANSLATE(C504,""fr"",""en"")"),"Customer service is inaccessible. Having had a claim, I cannot call the claims management service, apparently all the advisors are busy and there is no waiting, the telephone server hangs up. By reporting an incident it goes well but they put me in contac"&amp;"t with the management department and then they hang up on me.
By email, no one responds!
They are good at collecting contributions.")</f>
        <v>Customer service is inaccessible. Having had a claim, I cannot call the claims management service, apparently all the advisors are busy and there is no waiting, the telephone server hangs up. By reporting an incident it goes well but they put me in contact with the management department and then they hang up on me.
By email, no one responds!
They are good at collecting contributions.</v>
      </c>
    </row>
    <row r="505" ht="15.75" customHeight="1">
      <c r="A505" s="2">
        <v>2.0</v>
      </c>
      <c r="B505" s="2" t="s">
        <v>1496</v>
      </c>
      <c r="C505" s="2" t="s">
        <v>1497</v>
      </c>
      <c r="D505" s="2" t="s">
        <v>13</v>
      </c>
      <c r="E505" s="2" t="s">
        <v>14</v>
      </c>
      <c r="F505" s="2" t="s">
        <v>15</v>
      </c>
      <c r="G505" s="2" t="s">
        <v>1005</v>
      </c>
      <c r="H505" s="2" t="s">
        <v>21</v>
      </c>
      <c r="I505" s="2" t="str">
        <f>IFERROR(__xludf.DUMMYFUNCTION("GOOGLETRANSLATE(C505,""fr"",""en"")"),"zero services and practices of the direct insurance insurer bordering on illegality....get insured with direct insurance for 0 claims otherwise you will be ejected....")</f>
        <v>zero services and practices of the direct insurance insurer bordering on illegality....get insured with direct insurance for 0 claims otherwise you will be ejected....</v>
      </c>
    </row>
    <row r="506" ht="15.75" customHeight="1">
      <c r="A506" s="2">
        <v>2.0</v>
      </c>
      <c r="B506" s="2" t="s">
        <v>1498</v>
      </c>
      <c r="C506" s="2" t="s">
        <v>1499</v>
      </c>
      <c r="D506" s="2" t="s">
        <v>13</v>
      </c>
      <c r="E506" s="2" t="s">
        <v>14</v>
      </c>
      <c r="F506" s="2" t="s">
        <v>15</v>
      </c>
      <c r="G506" s="2" t="s">
        <v>719</v>
      </c>
      <c r="H506" s="2" t="s">
        <v>30</v>
      </c>
      <c r="I506" s="2" t="str">
        <f>IFERROR(__xludf.DUMMYFUNCTION("GOOGLETRANSLATE(C506,""fr"",""en"")"),"Customer service easily reachable but sloppy work and deadlines not met. You really have to want to earn a few euros!!! to avoid if you want support worthy of a real insurer.")</f>
        <v>Customer service easily reachable but sloppy work and deadlines not met. You really have to want to earn a few euros!!! to avoid if you want support worthy of a real insurer.</v>
      </c>
    </row>
    <row r="507" ht="15.75" customHeight="1">
      <c r="A507" s="2">
        <v>4.0</v>
      </c>
      <c r="B507" s="2" t="s">
        <v>1500</v>
      </c>
      <c r="C507" s="2" t="s">
        <v>1501</v>
      </c>
      <c r="D507" s="2" t="s">
        <v>28</v>
      </c>
      <c r="E507" s="2" t="s">
        <v>14</v>
      </c>
      <c r="F507" s="2" t="s">
        <v>15</v>
      </c>
      <c r="G507" s="2" t="s">
        <v>260</v>
      </c>
      <c r="H507" s="2" t="s">
        <v>71</v>
      </c>
      <c r="I507" s="2" t="str">
        <f>IFERROR(__xludf.DUMMYFUNCTION("GOOGLETRANSLATE(C507,""fr"",""en"")"),"I am very satisfied with the customer service offered
the prices are satisfactory and attractive
signing is quick and very simple and fast   ")</f>
        <v>I am very satisfied with the customer service offered
the prices are satisfactory and attractive
signing is quick and very simple and fast   </v>
      </c>
    </row>
    <row r="508" ht="15.75" customHeight="1">
      <c r="A508" s="2">
        <v>1.0</v>
      </c>
      <c r="B508" s="2" t="s">
        <v>1502</v>
      </c>
      <c r="C508" s="2" t="s">
        <v>1503</v>
      </c>
      <c r="D508" s="2" t="s">
        <v>13</v>
      </c>
      <c r="E508" s="2" t="s">
        <v>14</v>
      </c>
      <c r="F508" s="2" t="s">
        <v>15</v>
      </c>
      <c r="G508" s="2" t="s">
        <v>1504</v>
      </c>
      <c r="H508" s="2" t="s">
        <v>1022</v>
      </c>
      <c r="I508" s="2" t="str">
        <f>IFERROR(__xludf.DUMMYFUNCTION("GOOGLETRANSLATE(C508,""fr"",""en"")"),"hello I subscribed to youdrive which is with direct insurance I paid by credit card for the two months except I did not receive the papers who had this problem? I'm in stress I need the papers today because the insurance of the previous owner of the car e"&amp;"nds today ")</f>
        <v>hello I subscribed to youdrive which is with direct insurance I paid by credit card for the two months except I did not receive the papers who had this problem? I'm in stress I need the papers today because the insurance of the previous owner of the car ends today </v>
      </c>
    </row>
    <row r="509" ht="15.75" customHeight="1">
      <c r="A509" s="2">
        <v>5.0</v>
      </c>
      <c r="B509" s="2" t="s">
        <v>1505</v>
      </c>
      <c r="C509" s="2" t="s">
        <v>1506</v>
      </c>
      <c r="D509" s="2" t="s">
        <v>664</v>
      </c>
      <c r="E509" s="2" t="s">
        <v>39</v>
      </c>
      <c r="F509" s="2" t="s">
        <v>15</v>
      </c>
      <c r="G509" s="2" t="s">
        <v>1507</v>
      </c>
      <c r="H509" s="2" t="s">
        <v>899</v>
      </c>
      <c r="I509" s="2" t="str">
        <f>IFERROR(__xludf.DUMMYFUNCTION("GOOGLETRANSLATE(C509,""fr"",""en"")"),"PROFESSIONALS, VERY SERIOUS, A CUSTOMIZED APPROACH...RAS!!A SANTIANE.FR ADVISOR MADE ME MAKE A CUSTOMIZED CHOICE...THANK YOU SANTIANE.FR")</f>
        <v>PROFESSIONALS, VERY SERIOUS, A CUSTOMIZED APPROACH...RAS!!A SANTIANE.FR ADVISOR MADE ME MAKE A CUSTOMIZED CHOICE...THANK YOU SANTIANE.FR</v>
      </c>
    </row>
    <row r="510" ht="15.75" customHeight="1">
      <c r="A510" s="2">
        <v>1.0</v>
      </c>
      <c r="B510" s="2" t="s">
        <v>1508</v>
      </c>
      <c r="C510" s="2" t="s">
        <v>1509</v>
      </c>
      <c r="D510" s="2" t="s">
        <v>44</v>
      </c>
      <c r="E510" s="2" t="s">
        <v>39</v>
      </c>
      <c r="F510" s="2" t="s">
        <v>15</v>
      </c>
      <c r="G510" s="2" t="s">
        <v>1510</v>
      </c>
      <c r="H510" s="2" t="s">
        <v>634</v>
      </c>
      <c r="I510" s="2" t="str">
        <f>IFERROR(__xludf.DUMMYFUNCTION("GOOGLETRANSLATE(C510,""fr"",""en"")"),"Incompetent customer service 
Termination request in October 2019 not taken into account for 3 months to subsequently claim future contributions by threatening you. ")</f>
        <v>Incompetent customer service 
Termination request in October 2019 not taken into account for 3 months to subsequently claim future contributions by threatening you. </v>
      </c>
    </row>
    <row r="511" ht="15.75" customHeight="1">
      <c r="A511" s="2">
        <v>3.0</v>
      </c>
      <c r="B511" s="2" t="s">
        <v>1511</v>
      </c>
      <c r="C511" s="2" t="s">
        <v>1512</v>
      </c>
      <c r="D511" s="2" t="s">
        <v>28</v>
      </c>
      <c r="E511" s="2" t="s">
        <v>14</v>
      </c>
      <c r="F511" s="2" t="s">
        <v>15</v>
      </c>
      <c r="G511" s="2" t="s">
        <v>117</v>
      </c>
      <c r="H511" s="2" t="s">
        <v>17</v>
      </c>
      <c r="I511" s="2" t="str">
        <f>IFERROR(__xludf.DUMMYFUNCTION("GOOGLETRANSLATE(C511,""fr"",""en"")"),"The 10% discount on a second contract was made on the cheapest contract. Because of a repeat of the bad online quote. No way to change!! 
")</f>
        <v>The 10% discount on a second contract was made on the cheapest contract. Because of a repeat of the bad online quote. No way to change!! 
</v>
      </c>
    </row>
    <row r="512" ht="15.75" customHeight="1">
      <c r="A512" s="2">
        <v>3.0</v>
      </c>
      <c r="B512" s="2" t="s">
        <v>1513</v>
      </c>
      <c r="C512" s="2" t="s">
        <v>1514</v>
      </c>
      <c r="D512" s="2" t="s">
        <v>13</v>
      </c>
      <c r="E512" s="2" t="s">
        <v>129</v>
      </c>
      <c r="F512" s="2" t="s">
        <v>15</v>
      </c>
      <c r="G512" s="2" t="s">
        <v>1515</v>
      </c>
      <c r="H512" s="2" t="s">
        <v>484</v>
      </c>
      <c r="I512" s="2" t="str">
        <f>IFERROR(__xludf.DUMMYFUNCTION("GOOGLETRANSLATE(C512,""fr"",""en"")"),"I chose Direct Assurances because I wanted to save money. But behind this price lies in reality a total absence of customer service and an impressive number of ""commercial clauses"" which translate concretely into a total absence of insurance coverage. I"&amp;"n short, you are paying for nothing. Furthermore, you will need to be very careful when you wish to separate from this insurer because here again everything is done to continue to make you pay. This is how Direct Assurances made me pay an additional year "&amp;"of contributions while canceling my contract because I had not sent my departure letter at exactly the right time within 1 day. Customer service didn't want to know anything since I was leaving anyway and it's written in one of their countless clauses. Ab"&amp;"solutely avoid.")</f>
        <v>I chose Direct Assurances because I wanted to save money. But behind this price lies in reality a total absence of customer service and an impressive number of "commercial clauses" which translate concretely into a total absence of insurance coverage. In short, you are paying for nothing. Furthermore, you will need to be very careful when you wish to separate from this insurer because here again everything is done to continue to make you pay. This is how Direct Assurances made me pay an additional year of contributions while canceling my contract because I had not sent my departure letter at exactly the right time within 1 day. Customer service didn't want to know anything since I was leaving anyway and it's written in one of their countless clauses. Absolutely avoid.</v>
      </c>
    </row>
    <row r="513" ht="15.75" customHeight="1">
      <c r="A513" s="2">
        <v>4.0</v>
      </c>
      <c r="B513" s="2" t="s">
        <v>1516</v>
      </c>
      <c r="C513" s="2" t="s">
        <v>1517</v>
      </c>
      <c r="D513" s="2" t="s">
        <v>190</v>
      </c>
      <c r="E513" s="2" t="s">
        <v>14</v>
      </c>
      <c r="F513" s="2" t="s">
        <v>15</v>
      </c>
      <c r="G513" s="2" t="s">
        <v>17</v>
      </c>
      <c r="H513" s="2" t="s">
        <v>17</v>
      </c>
      <c r="I513" s="2" t="str">
        <f>IFERROR(__xludf.DUMMYFUNCTION("GOOGLETRANSLATE(C513,""fr"",""en"")"),"I am very satisfied with the services, a team that is attentive and available.
I recommend the GMF in insurance 
In terms of prices, they are affordable and adapt according to your needs.  ")</f>
        <v>I am very satisfied with the services, a team that is attentive and available.
I recommend the GMF in insurance 
In terms of prices, they are affordable and adapt according to your needs.  </v>
      </c>
    </row>
    <row r="514" ht="15.75" customHeight="1">
      <c r="A514" s="2">
        <v>4.0</v>
      </c>
      <c r="B514" s="2" t="s">
        <v>1518</v>
      </c>
      <c r="C514" s="2" t="s">
        <v>1519</v>
      </c>
      <c r="D514" s="2" t="s">
        <v>145</v>
      </c>
      <c r="E514" s="2" t="s">
        <v>14</v>
      </c>
      <c r="F514" s="2" t="s">
        <v>15</v>
      </c>
      <c r="G514" s="2" t="s">
        <v>1520</v>
      </c>
      <c r="H514" s="2" t="s">
        <v>474</v>
      </c>
      <c r="I514" s="2" t="str">
        <f>IFERROR(__xludf.DUMMYFUNCTION("GOOGLETRANSLATE(C514,""fr"",""en"")"),"Super well organized customer service because of the choice of agencies combined with a telephone platform if your agency is not available.")</f>
        <v>Super well organized customer service because of the choice of agencies combined with a telephone platform if your agency is not available.</v>
      </c>
    </row>
    <row r="515" ht="15.75" customHeight="1">
      <c r="A515" s="2">
        <v>2.0</v>
      </c>
      <c r="B515" s="2" t="s">
        <v>1521</v>
      </c>
      <c r="C515" s="2" t="s">
        <v>1522</v>
      </c>
      <c r="D515" s="2" t="s">
        <v>1523</v>
      </c>
      <c r="E515" s="2" t="s">
        <v>101</v>
      </c>
      <c r="F515" s="2" t="s">
        <v>15</v>
      </c>
      <c r="G515" s="2" t="s">
        <v>1524</v>
      </c>
      <c r="H515" s="2" t="s">
        <v>612</v>
      </c>
      <c r="I515" s="2" t="str">
        <f>IFERROR(__xludf.DUMMYFUNCTION("GOOGLETRANSLATE(C515,""fr"",""en"")"),"Life insurance taken out: balance sheet: incompetent salesman and great difficulty in unlocking his assets: to flee. Funds still not released for a year and a half, salesperson who never responds, major difficulties in contacting administrative services 
")</f>
        <v>Life insurance taken out: balance sheet: incompetent salesman and great difficulty in unlocking his assets: to flee. Funds still not released for a year and a half, salesperson who never responds, major difficulties in contacting administrative services 
</v>
      </c>
    </row>
    <row r="516" ht="15.75" customHeight="1">
      <c r="A516" s="2">
        <v>4.0</v>
      </c>
      <c r="B516" s="2" t="s">
        <v>1525</v>
      </c>
      <c r="C516" s="2" t="s">
        <v>1526</v>
      </c>
      <c r="D516" s="2" t="s">
        <v>28</v>
      </c>
      <c r="E516" s="2" t="s">
        <v>14</v>
      </c>
      <c r="F516" s="2" t="s">
        <v>15</v>
      </c>
      <c r="G516" s="2" t="s">
        <v>1527</v>
      </c>
      <c r="H516" s="2" t="s">
        <v>71</v>
      </c>
      <c r="I516" s="2" t="str">
        <f>IFERROR(__xludf.DUMMYFUNCTION("GOOGLETRANSLATE(C516,""fr"",""en"")"),"I am satisfied with the service. The services met my expectations and I hope to be happy with the customer service afterwards. Good car insurance ")</f>
        <v>I am satisfied with the service. The services met my expectations and I hope to be happy with the customer service afterwards. Good car insurance </v>
      </c>
    </row>
    <row r="517" ht="15.75" customHeight="1">
      <c r="A517" s="2">
        <v>2.0</v>
      </c>
      <c r="B517" s="2" t="s">
        <v>1528</v>
      </c>
      <c r="C517" s="2" t="s">
        <v>1529</v>
      </c>
      <c r="D517" s="2" t="s">
        <v>13</v>
      </c>
      <c r="E517" s="2" t="s">
        <v>14</v>
      </c>
      <c r="F517" s="2" t="s">
        <v>15</v>
      </c>
      <c r="G517" s="2" t="s">
        <v>1530</v>
      </c>
      <c r="H517" s="2" t="s">
        <v>17</v>
      </c>
      <c r="I517" s="2" t="str">
        <f>IFERROR(__xludf.DUMMYFUNCTION("GOOGLETRANSLATE(C517,""fr"",""en"")"),"Simple and quick...to see if over time everything goes well and that the conditions of the contract are respected...however it was difficult to contact an advisor ")</f>
        <v>Simple and quick...to see if over time everything goes well and that the conditions of the contract are respected...however it was difficult to contact an advisor </v>
      </c>
    </row>
    <row r="518" ht="15.75" customHeight="1">
      <c r="A518" s="2">
        <v>5.0</v>
      </c>
      <c r="B518" s="2" t="s">
        <v>1531</v>
      </c>
      <c r="C518" s="2" t="s">
        <v>1532</v>
      </c>
      <c r="D518" s="2" t="s">
        <v>13</v>
      </c>
      <c r="E518" s="2" t="s">
        <v>14</v>
      </c>
      <c r="F518" s="2" t="s">
        <v>15</v>
      </c>
      <c r="G518" s="2" t="s">
        <v>1533</v>
      </c>
      <c r="H518" s="2" t="s">
        <v>248</v>
      </c>
      <c r="I518" s="2" t="str">
        <f>IFERROR(__xludf.DUMMYFUNCTION("GOOGLETRANSLATE(C518,""fr"",""en"")"),"Surprised by the prices charged, hyper competitive compared to competitors, I am waiting to be called back so I can compare my other insurance contracts.")</f>
        <v>Surprised by the prices charged, hyper competitive compared to competitors, I am waiting to be called back so I can compare my other insurance contracts.</v>
      </c>
    </row>
    <row r="519" ht="15.75" customHeight="1">
      <c r="A519" s="2">
        <v>5.0</v>
      </c>
      <c r="B519" s="2" t="s">
        <v>1534</v>
      </c>
      <c r="C519" s="2" t="s">
        <v>1535</v>
      </c>
      <c r="D519" s="2" t="s">
        <v>28</v>
      </c>
      <c r="E519" s="2" t="s">
        <v>14</v>
      </c>
      <c r="F519" s="2" t="s">
        <v>15</v>
      </c>
      <c r="G519" s="2" t="s">
        <v>1536</v>
      </c>
      <c r="H519" s="2" t="s">
        <v>83</v>
      </c>
      <c r="I519" s="2" t="str">
        <f>IFERROR(__xludf.DUMMYFUNCTION("GOOGLETRANSLATE(C519,""fr"",""en"")"),"Very satisfied with the prices and also the support on the phone during the first call. We are well advised and the advisor takes our expectations into account.")</f>
        <v>Very satisfied with the prices and also the support on the phone during the first call. We are well advised and the advisor takes our expectations into account.</v>
      </c>
    </row>
    <row r="520" ht="15.75" customHeight="1">
      <c r="A520" s="2">
        <v>1.0</v>
      </c>
      <c r="B520" s="2" t="s">
        <v>1537</v>
      </c>
      <c r="C520" s="2" t="s">
        <v>1538</v>
      </c>
      <c r="D520" s="2" t="s">
        <v>28</v>
      </c>
      <c r="E520" s="2" t="s">
        <v>14</v>
      </c>
      <c r="F520" s="2" t="s">
        <v>15</v>
      </c>
      <c r="G520" s="2" t="s">
        <v>1539</v>
      </c>
      <c r="H520" s="2" t="s">
        <v>1332</v>
      </c>
      <c r="I520" s="2" t="str">
        <f>IFERROR(__xludf.DUMMYFUNCTION("GOOGLETRANSLATE(C520,""fr"",""en"")"),"I put one star because I have to if you want to leave a comment. Insurance to flee urgently (something done for me) Insured with them for 4 years without any problems, 1st non-responsible loss in February. Still no news except the ""it can take time, you "&amp;"had to be insured against all risks..."" from customer service. It's true that we have all the means to insure against all risks of course...The What's worse is that we tell you that it can take from 6 months to 1 year!!!! And during this time I'm driving"&amp;" with an exploded car?? In short they are great as long as nothing happens.....In short I change insurer thanks to the Hamon law ")</f>
        <v>I put one star because I have to if you want to leave a comment. Insurance to flee urgently (something done for me) Insured with them for 4 years without any problems, 1st non-responsible loss in February. Still no news except the "it can take time, you had to be insured against all risks..." from customer service. It's true that we have all the means to insure against all risks of course...The What's worse is that we tell you that it can take from 6 months to 1 year!!!! And during this time I'm driving with an exploded car?? In short they are great as long as nothing happens.....In short I change insurer thanks to the Hamon law </v>
      </c>
    </row>
    <row r="521" ht="15.75" customHeight="1">
      <c r="A521" s="2">
        <v>2.0</v>
      </c>
      <c r="B521" s="2" t="s">
        <v>1540</v>
      </c>
      <c r="C521" s="2" t="s">
        <v>1541</v>
      </c>
      <c r="D521" s="2" t="s">
        <v>281</v>
      </c>
      <c r="E521" s="2" t="s">
        <v>39</v>
      </c>
      <c r="F521" s="2" t="s">
        <v>15</v>
      </c>
      <c r="G521" s="2" t="s">
        <v>943</v>
      </c>
      <c r="H521" s="2" t="s">
        <v>30</v>
      </c>
      <c r="I521" s="2" t="str">
        <f>IFERROR(__xludf.DUMMYFUNCTION("GOOGLETRANSLATE(C521,""fr"",""en"")"),"I realize that I am not the only person to be dissatisfied with this mutual insurance. I have been assured of this for several years. The service is deteriorating. 
Examples: 
1) for months I have been using my internet account to report a change of email"&amp;" address. 
2) I receive a notice that they will reimburse consultations from May 1 until December 31, 2021. I send the invoices via my account. Still nothing received for a good month. I even notice that my invoices have disappeared from my account! Is it"&amp;" possible and yes. So I started again and will not give up. 
3) operation with fee overruns. Return of the quote with what is actually reimbursed. Well, they were wrong and asked me to reimburse even though I have the supporting evidence. 
4) I go to the "&amp;"agency, I wait quietly for someone to call me. The agent answers a phone call, I wait and wait. Finally I'm going to pass. Well no! He picks up his phone and calls. No I wasn't hiding, no I wasn't laughing. I left….
I assure you that I am not making this "&amp;"up. 
I'm going to seriously think about changing health insurance. ")</f>
        <v>I realize that I am not the only person to be dissatisfied with this mutual insurance. I have been assured of this for several years. The service is deteriorating. 
Examples: 
1) for months I have been using my internet account to report a change of email address. 
2) I receive a notice that they will reimburse consultations from May 1 until December 31, 2021. I send the invoices via my account. Still nothing received for a good month. I even notice that my invoices have disappeared from my account! Is it possible and yes. So I started again and will not give up. 
3) operation with fee overruns. Return of the quote with what is actually reimbursed. Well, they were wrong and asked me to reimburse even though I have the supporting evidence. 
4) I go to the agency, I wait quietly for someone to call me. The agent answers a phone call, I wait and wait. Finally I'm going to pass. Well no! He picks up his phone and calls. No I wasn't hiding, no I wasn't laughing. I left….
I assure you that I am not making this up. 
I'm going to seriously think about changing health insurance. </v>
      </c>
    </row>
    <row r="522" ht="15.75" customHeight="1">
      <c r="A522" s="2">
        <v>5.0</v>
      </c>
      <c r="B522" s="2" t="s">
        <v>1542</v>
      </c>
      <c r="C522" s="2" t="s">
        <v>1543</v>
      </c>
      <c r="D522" s="2" t="s">
        <v>28</v>
      </c>
      <c r="E522" s="2" t="s">
        <v>14</v>
      </c>
      <c r="F522" s="2" t="s">
        <v>15</v>
      </c>
      <c r="G522" s="2" t="s">
        <v>1544</v>
      </c>
      <c r="H522" s="2" t="s">
        <v>207</v>
      </c>
      <c r="I522" s="2" t="str">
        <f>IFERROR(__xludf.DUMMYFUNCTION("GOOGLETRANSLATE(C522,""fr"",""en"")"),"Customer service available and very responsive. Friendly staff, Very competitive price of car insurance compared to the guarantees offered. Speed ​​of receipt of the definitive green card.")</f>
        <v>Customer service available and very responsive. Friendly staff, Very competitive price of car insurance compared to the guarantees offered. Speed ​​of receipt of the definitive green card.</v>
      </c>
    </row>
    <row r="523" ht="15.75" customHeight="1">
      <c r="A523" s="2">
        <v>1.0</v>
      </c>
      <c r="B523" s="2" t="s">
        <v>1545</v>
      </c>
      <c r="C523" s="2" t="s">
        <v>1546</v>
      </c>
      <c r="D523" s="2" t="s">
        <v>13</v>
      </c>
      <c r="E523" s="2" t="s">
        <v>14</v>
      </c>
      <c r="F523" s="2" t="s">
        <v>15</v>
      </c>
      <c r="G523" s="2" t="s">
        <v>790</v>
      </c>
      <c r="H523" s="2" t="s">
        <v>71</v>
      </c>
      <c r="I523" s="2" t="str">
        <f>IFERROR(__xludf.DUMMYFUNCTION("GOOGLETRANSLATE(C523,""fr"",""en"")"),"I am very unhappy it has been two years in a row that my insurance has increased even though I have not had any accidents so I am very very dissatisfied with direct insurance ")</f>
        <v>I am very unhappy it has been two years in a row that my insurance has increased even though I have not had any accidents so I am very very dissatisfied with direct insurance </v>
      </c>
    </row>
    <row r="524" ht="15.75" customHeight="1">
      <c r="A524" s="2">
        <v>1.0</v>
      </c>
      <c r="B524" s="2" t="s">
        <v>1547</v>
      </c>
      <c r="C524" s="2" t="s">
        <v>1548</v>
      </c>
      <c r="D524" s="2" t="s">
        <v>28</v>
      </c>
      <c r="E524" s="2" t="s">
        <v>14</v>
      </c>
      <c r="F524" s="2" t="s">
        <v>15</v>
      </c>
      <c r="G524" s="2" t="s">
        <v>1549</v>
      </c>
      <c r="H524" s="2" t="s">
        <v>661</v>
      </c>
      <c r="I524" s="2" t="str">
        <f>IFERROR(__xludf.DUMMYFUNCTION("GOOGLETRANSLATE(C524,""fr"",""en"")"),"Not even able to produce a quote with my correct contact details in one year! 
With several reminders from me (more than ten)
And to top it all off, an insurance price adjustment of more than 700 euros in my last contract without warning me and very littl"&amp;"e in the contract.
Good luck with them!")</f>
        <v>Not even able to produce a quote with my correct contact details in one year! 
With several reminders from me (more than ten)
And to top it all off, an insurance price adjustment of more than 700 euros in my last contract without warning me and very little in the contract.
Good luck with them!</v>
      </c>
    </row>
    <row r="525" ht="15.75" customHeight="1">
      <c r="A525" s="2">
        <v>5.0</v>
      </c>
      <c r="B525" s="2" t="s">
        <v>1550</v>
      </c>
      <c r="C525" s="2" t="s">
        <v>1551</v>
      </c>
      <c r="D525" s="2" t="s">
        <v>80</v>
      </c>
      <c r="E525" s="2" t="s">
        <v>81</v>
      </c>
      <c r="F525" s="2" t="s">
        <v>15</v>
      </c>
      <c r="G525" s="2" t="s">
        <v>1552</v>
      </c>
      <c r="H525" s="2" t="s">
        <v>94</v>
      </c>
      <c r="I525" s="2" t="str">
        <f>IFERROR(__xludf.DUMMYFUNCTION("GOOGLETRANSLATE(C525,""fr"",""en"")"),"Very satisfied with all the options, they offer the amounts very well in the event of death, I hope nothing happens to me because that would annoy me, thank you ")</f>
        <v>Very satisfied with all the options, they offer the amounts very well in the event of death, I hope nothing happens to me because that would annoy me, thank you </v>
      </c>
    </row>
    <row r="526" ht="15.75" customHeight="1">
      <c r="A526" s="2">
        <v>5.0</v>
      </c>
      <c r="B526" s="2" t="s">
        <v>1553</v>
      </c>
      <c r="C526" s="2" t="s">
        <v>1554</v>
      </c>
      <c r="D526" s="2" t="s">
        <v>601</v>
      </c>
      <c r="E526" s="2" t="s">
        <v>39</v>
      </c>
      <c r="F526" s="2" t="s">
        <v>15</v>
      </c>
      <c r="G526" s="2" t="s">
        <v>821</v>
      </c>
      <c r="H526" s="2" t="s">
        <v>71</v>
      </c>
      <c r="I526" s="2" t="str">
        <f>IFERROR(__xludf.DUMMYFUNCTION("GOOGLETRANSLATE(C526,""fr"",""en"")"),"Very limited telephone waiting (max 2/3min), the person we speak to on the phone is very pleasant, polite, and even smiling) and as a bonus immediate processing of the request.")</f>
        <v>Very limited telephone waiting (max 2/3min), the person we speak to on the phone is very pleasant, polite, and even smiling) and as a bonus immediate processing of the request.</v>
      </c>
    </row>
    <row r="527" ht="15.75" customHeight="1">
      <c r="A527" s="2">
        <v>3.0</v>
      </c>
      <c r="B527" s="2" t="s">
        <v>1555</v>
      </c>
      <c r="C527" s="2" t="s">
        <v>1556</v>
      </c>
      <c r="D527" s="2" t="s">
        <v>80</v>
      </c>
      <c r="E527" s="2" t="s">
        <v>81</v>
      </c>
      <c r="F527" s="2" t="s">
        <v>15</v>
      </c>
      <c r="G527" s="2" t="s">
        <v>757</v>
      </c>
      <c r="H527" s="2" t="s">
        <v>21</v>
      </c>
      <c r="I527" s="2" t="str">
        <f>IFERROR(__xludf.DUMMYFUNCTION("GOOGLETRANSLATE(C527,""fr"",""en"")"),"I am satisfied the interlocutor was very kind everything is good from the best of all worlds and long live the deconfinement
It's not nice and I want to take a motorbike ride")</f>
        <v>I am satisfied the interlocutor was very kind everything is good from the best of all worlds and long live the deconfinement
It's not nice and I want to take a motorbike ride</v>
      </c>
    </row>
    <row r="528" ht="15.75" customHeight="1">
      <c r="A528" s="2">
        <v>1.0</v>
      </c>
      <c r="B528" s="2" t="s">
        <v>1557</v>
      </c>
      <c r="C528" s="2" t="s">
        <v>1558</v>
      </c>
      <c r="D528" s="2" t="s">
        <v>254</v>
      </c>
      <c r="E528" s="2" t="s">
        <v>14</v>
      </c>
      <c r="F528" s="2" t="s">
        <v>15</v>
      </c>
      <c r="G528" s="2" t="s">
        <v>247</v>
      </c>
      <c r="H528" s="2" t="s">
        <v>248</v>
      </c>
      <c r="I528" s="2" t="str">
        <f>IFERROR(__xludf.DUMMYFUNCTION("GOOGLETRANSLATE(C528,""fr"",""en"")"),"MAIF member for 33 years (auto + home), completely satisfied until now. I requested a quote in anticipation of a change of vehicle for a BMW330e hybrid model: insurance premium twice as expensive as what I currently pay for a BMW 420d. Reason given: the p"&amp;"ower of the vehicle because the MAIF is based on the cumulative power (electric + thermal = 292hp), in contradiction with the maximum net power indicated on the registration document (P2) which is 135kW, i.e. 184hp. This P2 takes into account the fact tha"&amp;"t these two engines do not operate simultaneously: for urban journeys the electric (113hp) is preferred, and when the battery no longer has autonomy, the thermal engine (184hp) takes over and helps recharge the battery. Of course the cumulative power is i"&amp;"mportant, but can be mobilized in a theoretical or exceptional way.
How is it possible that an “activist insurer” can apply such a prohibitive rate by applying calculation criteria that are unsuitable for the specificities of a hybrid vehicle, even a prem"&amp;"ium brand? We could expect the MAIF to encourage the purchase of hybrid vehicles, which are cleaner and more environmentally friendly, as the government currently does through aid for electric conversion. 
With comparable guarantees, the MXXXX offers me a"&amp;" quote half the price for this same vehicle referenced in 184 hp. “In an approach favorable to environmental protection and taking into account the lower loss rates of clean vehicles, insurers apply lower rates for these cars. They are generally 10 to 30%"&amp;" cheaper than those of traditional car insurance, while MAIF does not hesitate to offer me a rate 62% higher! I am shocked and disappointed, and I will therefore have to change insurer….")</f>
        <v>MAIF member for 33 years (auto + home), completely satisfied until now. I requested a quote in anticipation of a change of vehicle for a BMW330e hybrid model: insurance premium twice as expensive as what I currently pay for a BMW 420d. Reason given: the power of the vehicle because the MAIF is based on the cumulative power (electric + thermal = 292hp), in contradiction with the maximum net power indicated on the registration document (P2) which is 135kW, i.e. 184hp. This P2 takes into account the fact that these two engines do not operate simultaneously: for urban journeys the electric (113hp) is preferred, and when the battery no longer has autonomy, the thermal engine (184hp) takes over and helps recharge the battery. Of course the cumulative power is important, but can be mobilized in a theoretical or exceptional way.
How is it possible that an “activist insurer” can apply such a prohibitive rate by applying calculation criteria that are unsuitable for the specificities of a hybrid vehicle, even a premium brand? We could expect the MAIF to encourage the purchase of hybrid vehicles, which are cleaner and more environmentally friendly, as the government currently does through aid for electric conversion. 
With comparable guarantees, the MXXXX offers me a quote half the price for this same vehicle referenced in 184 hp. “In an approach favorable to environmental protection and taking into account the lower loss rates of clean vehicles, insurers apply lower rates for these cars. They are generally 10 to 30% cheaper than those of traditional car insurance, while MAIF does not hesitate to offer me a rate 62% higher! I am shocked and disappointed, and I will therefore have to change insurer….</v>
      </c>
    </row>
    <row r="529" ht="15.75" customHeight="1">
      <c r="A529" s="2">
        <v>1.0</v>
      </c>
      <c r="B529" s="2" t="s">
        <v>1559</v>
      </c>
      <c r="C529" s="2" t="s">
        <v>1560</v>
      </c>
      <c r="D529" s="2" t="s">
        <v>13</v>
      </c>
      <c r="E529" s="2" t="s">
        <v>14</v>
      </c>
      <c r="F529" s="2" t="s">
        <v>15</v>
      </c>
      <c r="G529" s="2" t="s">
        <v>1561</v>
      </c>
      <c r="H529" s="2" t="s">
        <v>343</v>
      </c>
      <c r="I529" s="2" t="str">
        <f>IFERROR(__xludf.DUMMYFUNCTION("GOOGLETRANSLATE(C529,""fr"",""en"")"),"IT WAS GOOD...unfortunately, things have changed a lot! I did a test with a simulator on the internet to find out the price of my insurance with them... 295 instead of 400 euros... I call them by phone, in fact, it's a preferential rate for new customers!"&amp;"! for those who are already customers, it is better to cancel.... yes, I am 38 years old, the license is 18 years old the first time. 0 accidents; 0 license withdrawal; 0 cancellation of insurance (same for my wife) and I pay 400 euros to the third party "&amp;"minimum without broken glass on a 2009 Sandero (without power steering or central locking which represents 20% of the price of the car) with 50 km for an intervention on a breakdown.... well done, you will earn money... or not... ")</f>
        <v>IT WAS GOOD...unfortunately, things have changed a lot! I did a test with a simulator on the internet to find out the price of my insurance with them... 295 instead of 400 euros... I call them by phone, in fact, it's a preferential rate for new customers!! for those who are already customers, it is better to cancel.... yes, I am 38 years old, the license is 18 years old the first time. 0 accidents; 0 license withdrawal; 0 cancellation of insurance (same for my wife) and I pay 400 euros to the third party minimum without broken glass on a 2009 Sandero (without power steering or central locking which represents 20% of the price of the car) with 50 km for an intervention on a breakdown.... well done, you will earn money... or not... </v>
      </c>
    </row>
    <row r="530" ht="15.75" customHeight="1">
      <c r="A530" s="2">
        <v>1.0</v>
      </c>
      <c r="B530" s="2" t="s">
        <v>1562</v>
      </c>
      <c r="C530" s="2" t="s">
        <v>1563</v>
      </c>
      <c r="D530" s="2" t="s">
        <v>145</v>
      </c>
      <c r="E530" s="2" t="s">
        <v>14</v>
      </c>
      <c r="F530" s="2" t="s">
        <v>15</v>
      </c>
      <c r="G530" s="2" t="s">
        <v>1564</v>
      </c>
      <c r="H530" s="2" t="s">
        <v>67</v>
      </c>
      <c r="I530" s="2" t="str">
        <f>IFERROR(__xludf.DUMMYFUNCTION("GOOGLETRANSLATE(C530,""fr"",""en"")"),"Be careful, even if you cancel your contract, be aware that Maaf continues to charge you! Customer service informed me that I would no longer be charged, I received a sheet which informed me of the termination of my contract by the Hamon Law as of April. "&amp;"Problem: it's May and I've still been charged €50.66!
I do not recommend this insurance which, on top of that, makes us pay a lot for not much. ")</f>
        <v>Be careful, even if you cancel your contract, be aware that Maaf continues to charge you! Customer service informed me that I would no longer be charged, I received a sheet which informed me of the termination of my contract by the Hamon Law as of April. Problem: it's May and I've still been charged €50.66!
I do not recommend this insurance which, on top of that, makes us pay a lot for not much. </v>
      </c>
    </row>
    <row r="531" ht="15.75" customHeight="1">
      <c r="A531" s="2">
        <v>3.0</v>
      </c>
      <c r="B531" s="2" t="s">
        <v>1565</v>
      </c>
      <c r="C531" s="2" t="s">
        <v>1566</v>
      </c>
      <c r="D531" s="2" t="s">
        <v>664</v>
      </c>
      <c r="E531" s="2" t="s">
        <v>39</v>
      </c>
      <c r="F531" s="2" t="s">
        <v>15</v>
      </c>
      <c r="G531" s="2" t="s">
        <v>1567</v>
      </c>
      <c r="H531" s="2" t="s">
        <v>467</v>
      </c>
      <c r="I531" s="2" t="str">
        <f>IFERROR(__xludf.DUMMYFUNCTION("GOOGLETRANSLATE(C531,""fr"",""en"")"),"Future client, if the contract goes as well as its development with Anthony and the follow-up with Nadège, I will be delighted.")</f>
        <v>Future client, if the contract goes as well as its development with Anthony and the follow-up with Nadège, I will be delighted.</v>
      </c>
    </row>
    <row r="532" ht="15.75" customHeight="1">
      <c r="A532" s="2">
        <v>4.0</v>
      </c>
      <c r="B532" s="2" t="s">
        <v>1568</v>
      </c>
      <c r="C532" s="2" t="s">
        <v>1569</v>
      </c>
      <c r="D532" s="2" t="s">
        <v>664</v>
      </c>
      <c r="E532" s="2" t="s">
        <v>39</v>
      </c>
      <c r="F532" s="2" t="s">
        <v>15</v>
      </c>
      <c r="G532" s="2" t="s">
        <v>167</v>
      </c>
      <c r="H532" s="2" t="s">
        <v>17</v>
      </c>
      <c r="I532" s="2" t="str">
        <f>IFERROR(__xludf.DUMMYFUNCTION("GOOGLETRANSLATE(C532,""fr"",""en"")"),"I needed additional information on Ophthalmology-Optics. Very basic guarantees... offset by the welcome from Khadidiatou, a very friendly interlocutor and very precise in her information. Thanks to her. ")</f>
        <v>I needed additional information on Ophthalmology-Optics. Very basic guarantees... offset by the welcome from Khadidiatou, a very friendly interlocutor and very precise in her information. Thanks to her. </v>
      </c>
    </row>
    <row r="533" ht="15.75" customHeight="1">
      <c r="A533" s="2">
        <v>2.0</v>
      </c>
      <c r="B533" s="2" t="s">
        <v>1570</v>
      </c>
      <c r="C533" s="2" t="s">
        <v>1571</v>
      </c>
      <c r="D533" s="2" t="s">
        <v>38</v>
      </c>
      <c r="E533" s="2" t="s">
        <v>39</v>
      </c>
      <c r="F533" s="2" t="s">
        <v>15</v>
      </c>
      <c r="G533" s="2" t="s">
        <v>1572</v>
      </c>
      <c r="H533" s="2" t="s">
        <v>634</v>
      </c>
      <c r="I533" s="2" t="str">
        <f>IFERROR(__xludf.DUMMYFUNCTION("GOOGLETRANSLATE(C533,""fr"",""en"")"),"I have dental treatment dating from January 21 for 700 euros which has still not been reimbursed despite several calls and messages on the members' area remaining unanswered. To get them on the phone, you have to wait almost 40 minutes, and when you get t"&amp;"hem, you are asked to be patient!!! To this day, still nothing in sight.")</f>
        <v>I have dental treatment dating from January 21 for 700 euros which has still not been reimbursed despite several calls and messages on the members' area remaining unanswered. To get them on the phone, you have to wait almost 40 minutes, and when you get them, you are asked to be patient!!! To this day, still nothing in sight.</v>
      </c>
    </row>
    <row r="534" ht="15.75" customHeight="1">
      <c r="A534" s="2">
        <v>1.0</v>
      </c>
      <c r="B534" s="2" t="s">
        <v>1573</v>
      </c>
      <c r="C534" s="2" t="s">
        <v>1574</v>
      </c>
      <c r="D534" s="2" t="s">
        <v>38</v>
      </c>
      <c r="E534" s="2" t="s">
        <v>39</v>
      </c>
      <c r="F534" s="2" t="s">
        <v>15</v>
      </c>
      <c r="G534" s="2" t="s">
        <v>51</v>
      </c>
      <c r="H534" s="2" t="s">
        <v>52</v>
      </c>
      <c r="I534" s="2" t="str">
        <f>IFERROR(__xludf.DUMMYFUNCTION("GOOGLETRANSLATE(C534,""fr"",""en"")"),"Abusive canvassing. Call from a pseudo broker. Who had everything except my bank details. Wanted to force me to contract while pretending to ""verify information"". These people should be the subject of a trial. (the company and the touts who agree to pra"&amp;"ctice these methods ")</f>
        <v>Abusive canvassing. Call from a pseudo broker. Who had everything except my bank details. Wanted to force me to contract while pretending to "verify information". These people should be the subject of a trial. (the company and the touts who agree to practice these methods </v>
      </c>
    </row>
    <row r="535" ht="15.75" customHeight="1">
      <c r="A535" s="2">
        <v>4.0</v>
      </c>
      <c r="B535" s="2" t="s">
        <v>1575</v>
      </c>
      <c r="C535" s="2" t="s">
        <v>1576</v>
      </c>
      <c r="D535" s="2" t="s">
        <v>28</v>
      </c>
      <c r="E535" s="2" t="s">
        <v>14</v>
      </c>
      <c r="F535" s="2" t="s">
        <v>15</v>
      </c>
      <c r="G535" s="2" t="s">
        <v>1114</v>
      </c>
      <c r="H535" s="2" t="s">
        <v>17</v>
      </c>
      <c r="I535" s="2" t="str">
        <f>IFERROR(__xludf.DUMMYFUNCTION("GOOGLETRANSLATE(C535,""fr"",""en"")"),"For the moment very satisfied with the service, provided very quickly, very good price.
Intuitive approach, I highly recommend.
To see over time")</f>
        <v>For the moment very satisfied with the service, provided very quickly, very good price.
Intuitive approach, I highly recommend.
To see over time</v>
      </c>
    </row>
    <row r="536" ht="15.75" customHeight="1">
      <c r="A536" s="2">
        <v>4.0</v>
      </c>
      <c r="B536" s="2" t="s">
        <v>1577</v>
      </c>
      <c r="C536" s="2" t="s">
        <v>1578</v>
      </c>
      <c r="D536" s="2" t="s">
        <v>197</v>
      </c>
      <c r="E536" s="2" t="s">
        <v>81</v>
      </c>
      <c r="F536" s="2" t="s">
        <v>15</v>
      </c>
      <c r="G536" s="2" t="s">
        <v>667</v>
      </c>
      <c r="H536" s="2" t="s">
        <v>83</v>
      </c>
      <c r="I536" s="2" t="str">
        <f>IFERROR(__xludf.DUMMYFUNCTION("GOOGLETRANSLATE(C536,""fr"",""en"")"),"I am satisfied with the service that AMV offered, fast, the price reasonable, and the ease of execution is super fast. I highly recommend AMV to my friends")</f>
        <v>I am satisfied with the service that AMV offered, fast, the price reasonable, and the ease of execution is super fast. I highly recommend AMV to my friends</v>
      </c>
    </row>
    <row r="537" ht="15.75" customHeight="1">
      <c r="A537" s="2">
        <v>2.0</v>
      </c>
      <c r="B537" s="2" t="s">
        <v>1579</v>
      </c>
      <c r="C537" s="2" t="s">
        <v>1580</v>
      </c>
      <c r="D537" s="2" t="s">
        <v>13</v>
      </c>
      <c r="E537" s="2" t="s">
        <v>14</v>
      </c>
      <c r="F537" s="2" t="s">
        <v>15</v>
      </c>
      <c r="G537" s="2" t="s">
        <v>793</v>
      </c>
      <c r="H537" s="2" t="s">
        <v>111</v>
      </c>
      <c r="I537" s="2" t="str">
        <f>IFERROR(__xludf.DUMMYFUNCTION("GOOGLETRANSLATE(C537,""fr"",""en"")"),"Prices for young licenses are expensive. But no choice to insure. Otherwise for the other licenses very good and the relationship on social network very good. THANKS ")</f>
        <v>Prices for young licenses are expensive. But no choice to insure. Otherwise for the other licenses very good and the relationship on social network very good. THANKS </v>
      </c>
    </row>
    <row r="538" ht="15.75" customHeight="1">
      <c r="A538" s="2">
        <v>4.0</v>
      </c>
      <c r="B538" s="2" t="s">
        <v>1581</v>
      </c>
      <c r="C538" s="2" t="s">
        <v>1582</v>
      </c>
      <c r="D538" s="2" t="s">
        <v>28</v>
      </c>
      <c r="E538" s="2" t="s">
        <v>14</v>
      </c>
      <c r="F538" s="2" t="s">
        <v>15</v>
      </c>
      <c r="G538" s="2" t="s">
        <v>314</v>
      </c>
      <c r="H538" s="2" t="s">
        <v>111</v>
      </c>
      <c r="I538" s="2" t="str">
        <f>IFERROR(__xludf.DUMMYFUNCTION("GOOGLETRANSLATE(C538,""fr"",""en"")"),"At the top the advisor was friendly and understanding correct and fair price and I would like to go with you to ensure other values ​​I hope it will last a long time")</f>
        <v>At the top the advisor was friendly and understanding correct and fair price and I would like to go with you to ensure other values ​​I hope it will last a long time</v>
      </c>
    </row>
    <row r="539" ht="15.75" customHeight="1">
      <c r="A539" s="2">
        <v>4.0</v>
      </c>
      <c r="B539" s="2" t="s">
        <v>1583</v>
      </c>
      <c r="C539" s="2" t="s">
        <v>1584</v>
      </c>
      <c r="D539" s="2" t="s">
        <v>13</v>
      </c>
      <c r="E539" s="2" t="s">
        <v>14</v>
      </c>
      <c r="F539" s="2" t="s">
        <v>15</v>
      </c>
      <c r="G539" s="2" t="s">
        <v>1233</v>
      </c>
      <c r="H539" s="2" t="s">
        <v>17</v>
      </c>
      <c r="I539" s="2" t="str">
        <f>IFERROR(__xludf.DUMMYFUNCTION("GOOGLETRANSLATE(C539,""fr"",""en"")"),"Very good telephone reception 
Very good advice 
Pricing that defies all competition 
Start of contract hoping that this satisfaction will last in the long term ")</f>
        <v>Very good telephone reception 
Very good advice 
Pricing that defies all competition 
Start of contract hoping that this satisfaction will last in the long term </v>
      </c>
    </row>
    <row r="540" ht="15.75" customHeight="1">
      <c r="A540" s="2">
        <v>2.0</v>
      </c>
      <c r="B540" s="2" t="s">
        <v>1585</v>
      </c>
      <c r="C540" s="2" t="s">
        <v>1586</v>
      </c>
      <c r="D540" s="2" t="s">
        <v>197</v>
      </c>
      <c r="E540" s="2" t="s">
        <v>81</v>
      </c>
      <c r="F540" s="2" t="s">
        <v>15</v>
      </c>
      <c r="G540" s="2" t="s">
        <v>1587</v>
      </c>
      <c r="H540" s="2" t="s">
        <v>328</v>
      </c>
      <c r="I540" s="2" t="str">
        <f>IFERROR(__xludf.DUMMYFUNCTION("GOOGLETRANSLATE(C540,""fr"",""en"")"),"After many years of carelessness, it is when we have a disaster that we notice the deplorable follow-up, the contradictory letters, the total absence of customer follow-up, relationship, advice, information and of course, compensation. ")</f>
        <v>After many years of carelessness, it is when we have a disaster that we notice the deplorable follow-up, the contradictory letters, the total absence of customer follow-up, relationship, advice, information and of course, compensation. </v>
      </c>
    </row>
    <row r="541" ht="15.75" customHeight="1">
      <c r="A541" s="2">
        <v>5.0</v>
      </c>
      <c r="B541" s="2" t="s">
        <v>1588</v>
      </c>
      <c r="C541" s="2" t="s">
        <v>1589</v>
      </c>
      <c r="D541" s="2" t="s">
        <v>13</v>
      </c>
      <c r="E541" s="2" t="s">
        <v>14</v>
      </c>
      <c r="F541" s="2" t="s">
        <v>15</v>
      </c>
      <c r="G541" s="2" t="s">
        <v>738</v>
      </c>
      <c r="H541" s="2" t="s">
        <v>46</v>
      </c>
      <c r="I541" s="2" t="str">
        <f>IFERROR(__xludf.DUMMYFUNCTION("GOOGLETRANSLATE(C541,""fr"",""en"")"),"This is my first experience with online insurance.
Very good experience! 
My advisor explained the different contracts to me very well and suggested the one best suited to my situation.
The Youdrive offer is great for anyone who wants to significantly "&amp;"reduce the cost of their car insurance.
Online registration and signing of documents is simple! 
I can't wait to receive my box and start making money!
")</f>
        <v>This is my first experience with online insurance.
Very good experience! 
My advisor explained the different contracts to me very well and suggested the one best suited to my situation.
The Youdrive offer is great for anyone who wants to significantly reduce the cost of their car insurance.
Online registration and signing of documents is simple! 
I can't wait to receive my box and start making money!
</v>
      </c>
    </row>
    <row r="542" ht="15.75" customHeight="1">
      <c r="A542" s="2">
        <v>1.0</v>
      </c>
      <c r="B542" s="2" t="s">
        <v>1590</v>
      </c>
      <c r="C542" s="2" t="s">
        <v>1591</v>
      </c>
      <c r="D542" s="2" t="s">
        <v>13</v>
      </c>
      <c r="E542" s="2" t="s">
        <v>14</v>
      </c>
      <c r="F542" s="2" t="s">
        <v>15</v>
      </c>
      <c r="G542" s="2" t="s">
        <v>751</v>
      </c>
      <c r="H542" s="2" t="s">
        <v>125</v>
      </c>
      <c r="I542" s="2" t="str">
        <f>IFERROR(__xludf.DUMMYFUNCTION("GOOGLETRANSLATE(C542,""fr"",""en"")"),"To escape my daughter had a not too serious collision two years ago she accepted that we put a resprayed shock on her, no more accidents since... only a small impact on her windshield which required a small repair from carglass there is 1 Me... and yester"&amp;"day he told her that he no longer wanted her!!! ejected swept.. I find this scandalous and I will never come to their house!! here it is ")</f>
        <v>To escape my daughter had a not too serious collision two years ago she accepted that we put a resprayed shock on her, no more accidents since... only a small impact on her windshield which required a small repair from carglass there is 1 Me... and yesterday he told her that he no longer wanted her!!! ejected swept.. I find this scandalous and I will never come to their house!! here it is </v>
      </c>
    </row>
    <row r="543" ht="15.75" customHeight="1">
      <c r="A543" s="2">
        <v>2.0</v>
      </c>
      <c r="B543" s="2" t="s">
        <v>1592</v>
      </c>
      <c r="C543" s="2" t="s">
        <v>1593</v>
      </c>
      <c r="D543" s="2" t="s">
        <v>1594</v>
      </c>
      <c r="E543" s="2" t="s">
        <v>137</v>
      </c>
      <c r="F543" s="2" t="s">
        <v>15</v>
      </c>
      <c r="G543" s="2" t="s">
        <v>1595</v>
      </c>
      <c r="H543" s="2" t="s">
        <v>474</v>
      </c>
      <c r="I543" s="2" t="str">
        <f>IFERROR(__xludf.DUMMYFUNCTION("GOOGLETRANSLATE(C543,""fr"",""en"")")," very poorly managing a waiting period of 2 months what is unacceptable is that in addition to calling and having advice on the phone who tells us to manage our files when to call you back a week later they tell you I I will process your file it is in the"&amp;" archives incomprehensible 5 months of perpetual combat called every week to get a poor transfer of €200")</f>
        <v> very poorly managing a waiting period of 2 months what is unacceptable is that in addition to calling and having advice on the phone who tells us to manage our files when to call you back a week later they tell you I I will process your file it is in the archives incomprehensible 5 months of perpetual combat called every week to get a poor transfer of €200</v>
      </c>
    </row>
    <row r="544" ht="15.75" customHeight="1">
      <c r="A544" s="2">
        <v>1.0</v>
      </c>
      <c r="B544" s="2" t="s">
        <v>1596</v>
      </c>
      <c r="C544" s="2" t="s">
        <v>1597</v>
      </c>
      <c r="D544" s="2" t="s">
        <v>412</v>
      </c>
      <c r="E544" s="2" t="s">
        <v>39</v>
      </c>
      <c r="F544" s="2" t="s">
        <v>15</v>
      </c>
      <c r="G544" s="2" t="s">
        <v>1598</v>
      </c>
      <c r="H544" s="2" t="s">
        <v>41</v>
      </c>
      <c r="I544" s="2" t="str">
        <f>IFERROR(__xludf.DUMMYFUNCTION("GOOGLETRANSLATE(C544,""fr"",""en"")"),"It's now been 2 months since my son was born and after sending the papers as planned, the file is not processed, nothing is done, and the customer service doesn't care and tells us to wait. but it's been 2 month ! So no reimbursement for my son. On the ot"&amp;"her hand, we recover the contributions without any problem. As a result, I will be forced to cancel, and in this case I will cite the lack of service on their part (case of force majeure) and if necessary, we can go to court without problem.")</f>
        <v>It's now been 2 months since my son was born and after sending the papers as planned, the file is not processed, nothing is done, and the customer service doesn't care and tells us to wait. but it's been 2 month ! So no reimbursement for my son. On the other hand, we recover the contributions without any problem. As a result, I will be forced to cancel, and in this case I will cite the lack of service on their part (case of force majeure) and if necessary, we can go to court without problem.</v>
      </c>
    </row>
    <row r="545" ht="15.75" customHeight="1">
      <c r="A545" s="2">
        <v>2.0</v>
      </c>
      <c r="B545" s="2" t="s">
        <v>1599</v>
      </c>
      <c r="C545" s="2" t="s">
        <v>1600</v>
      </c>
      <c r="D545" s="2" t="s">
        <v>322</v>
      </c>
      <c r="E545" s="2" t="s">
        <v>14</v>
      </c>
      <c r="F545" s="2" t="s">
        <v>15</v>
      </c>
      <c r="G545" s="2" t="s">
        <v>1601</v>
      </c>
      <c r="H545" s="2" t="s">
        <v>612</v>
      </c>
      <c r="I545" s="2" t="str">
        <f>IFERROR(__xludf.DUMMYFUNCTION("GOOGLETRANSLATE(C545,""fr"",""en"")"),"Absolutely avoid this insurance!!!!!!!
I have currently had car insurance with them for over a year, I made my request for a statement of information, with no response. 
In addition, I wanted to take out a contract for another vehicle, I paid the applicat"&amp;"ion fees as well as two months of insurance. I never received the provisional insurance paper, and when I wanted to connect to the site to send my documents, it was impossible. So I called customer service (surcharged) several times. I sent my documents b"&amp;"y mail, still without response. And now when I call them they tell me that I didn't submit my documents on time.
So I find myself without insurance without having to pay, and I cannot retrieve my information statement for a change...
Absolutely avoid this"&amp;" insurance!!!!!!")</f>
        <v>Absolutely avoid this insurance!!!!!!!
I have currently had car insurance with them for over a year, I made my request for a statement of information, with no response. 
In addition, I wanted to take out a contract for another vehicle, I paid the application fees as well as two months of insurance. I never received the provisional insurance paper, and when I wanted to connect to the site to send my documents, it was impossible. So I called customer service (surcharged) several times. I sent my documents by mail, still without response. And now when I call them they tell me that I didn't submit my documents on time.
So I find myself without insurance without having to pay, and I cannot retrieve my information statement for a change...
Absolutely avoid this insurance!!!!!!</v>
      </c>
    </row>
    <row r="546" ht="15.75" customHeight="1">
      <c r="A546" s="2">
        <v>5.0</v>
      </c>
      <c r="B546" s="2" t="s">
        <v>1602</v>
      </c>
      <c r="C546" s="2" t="s">
        <v>1603</v>
      </c>
      <c r="D546" s="2" t="s">
        <v>80</v>
      </c>
      <c r="E546" s="2" t="s">
        <v>81</v>
      </c>
      <c r="F546" s="2" t="s">
        <v>15</v>
      </c>
      <c r="G546" s="2" t="s">
        <v>1536</v>
      </c>
      <c r="H546" s="2" t="s">
        <v>83</v>
      </c>
      <c r="I546" s="2" t="str">
        <f>IFERROR(__xludf.DUMMYFUNCTION("GOOGLETRANSLATE(C546,""fr"",""en"")"),"Very satisfied with the price, service and ease of subscribing online, nothing else to say, welcome and super guarantee, recommended to those around me")</f>
        <v>Very satisfied with the price, service and ease of subscribing online, nothing else to say, welcome and super guarantee, recommended to those around me</v>
      </c>
    </row>
    <row r="547" ht="15.75" customHeight="1">
      <c r="A547" s="2">
        <v>1.0</v>
      </c>
      <c r="B547" s="2" t="s">
        <v>1604</v>
      </c>
      <c r="C547" s="2" t="s">
        <v>1605</v>
      </c>
      <c r="D547" s="2" t="s">
        <v>565</v>
      </c>
      <c r="E547" s="2" t="s">
        <v>137</v>
      </c>
      <c r="F547" s="2" t="s">
        <v>15</v>
      </c>
      <c r="G547" s="2" t="s">
        <v>1606</v>
      </c>
      <c r="H547" s="2" t="s">
        <v>30</v>
      </c>
      <c r="I547" s="2" t="str">
        <f>IFERROR(__xludf.DUMMYFUNCTION("GOOGLETRANSLATE(C547,""fr"",""en"")"),"Very unhappy.
Advisors unable to respond to requests.
Processing of loss of premiums and half treatment completely out of time even though the files are complete.
Forced to constantly follow up with them by email or telephone.
I do not recommend interior."&amp;"
I would change mutual insurance as soon as I could.")</f>
        <v>Very unhappy.
Advisors unable to respond to requests.
Processing of loss of premiums and half treatment completely out of time even though the files are complete.
Forced to constantly follow up with them by email or telephone.
I do not recommend interior.
I would change mutual insurance as soon as I could.</v>
      </c>
    </row>
    <row r="548" ht="15.75" customHeight="1">
      <c r="A548" s="2">
        <v>5.0</v>
      </c>
      <c r="B548" s="2" t="s">
        <v>1607</v>
      </c>
      <c r="C548" s="2" t="s">
        <v>1608</v>
      </c>
      <c r="D548" s="2" t="s">
        <v>28</v>
      </c>
      <c r="E548" s="2" t="s">
        <v>14</v>
      </c>
      <c r="F548" s="2" t="s">
        <v>15</v>
      </c>
      <c r="G548" s="2" t="s">
        <v>1190</v>
      </c>
      <c r="H548" s="2" t="s">
        <v>21</v>
      </c>
      <c r="I548" s="2" t="str">
        <f>IFERROR(__xludf.DUMMYFUNCTION("GOOGLETRANSLATE(C548,""fr"",""en"")"),"Everything is perfect for the moment, the customer service is attentive and patient, the prices are ultra competitive compared to other insurance companies ")</f>
        <v>Everything is perfect for the moment, the customer service is attentive and patient, the prices are ultra competitive compared to other insurance companies </v>
      </c>
    </row>
    <row r="549" ht="15.75" customHeight="1">
      <c r="A549" s="2">
        <v>3.0</v>
      </c>
      <c r="B549" s="2" t="s">
        <v>1609</v>
      </c>
      <c r="C549" s="2" t="s">
        <v>1610</v>
      </c>
      <c r="D549" s="2" t="s">
        <v>28</v>
      </c>
      <c r="E549" s="2" t="s">
        <v>14</v>
      </c>
      <c r="F549" s="2" t="s">
        <v>15</v>
      </c>
      <c r="G549" s="2" t="s">
        <v>637</v>
      </c>
      <c r="H549" s="2" t="s">
        <v>25</v>
      </c>
      <c r="I549" s="2" t="str">
        <f>IFERROR(__xludf.DUMMYFUNCTION("GOOGLETRANSLATE(C549,""fr"",""en"")"),"I am satisfied with the responsiveness
I had a good advisor who listened to me 
                                                                                                           ")</f>
        <v>I am satisfied with the responsiveness
I had a good advisor who listened to me 
                                                                                                           </v>
      </c>
    </row>
    <row r="550" ht="15.75" customHeight="1">
      <c r="A550" s="2">
        <v>1.0</v>
      </c>
      <c r="B550" s="2" t="s">
        <v>1611</v>
      </c>
      <c r="C550" s="2" t="s">
        <v>1612</v>
      </c>
      <c r="D550" s="2" t="s">
        <v>303</v>
      </c>
      <c r="E550" s="2" t="s">
        <v>14</v>
      </c>
      <c r="F550" s="2" t="s">
        <v>15</v>
      </c>
      <c r="G550" s="2" t="s">
        <v>1613</v>
      </c>
      <c r="H550" s="2" t="s">
        <v>1034</v>
      </c>
      <c r="I550" s="2" t="str">
        <f>IFERROR(__xludf.DUMMYFUNCTION("GOOGLETRANSLATE(C550,""fr"",""en"")"),"Hello, I came to this forum today because I am very unhappy with MACIF. I had a problem with an awning on my camper van which I found torn off and distorted one morning when I woke up, I deduced from this without being an expert that the disaster had been"&amp;" caused by the wind, so my declaration made in this direction, therefore no storm warning no compensation (without expertise) my declaration was enough for them of course because he did not have to 'compensate, but my dealer sees the matter otherwise, so "&amp;"mail, mediation, appeals commission they don't want to know anything the head of department said no so we leave it there there is no point in sending letters they don't care, it's very serious I'm not going to stop there, I'm going to take advantage of my"&amp;" legal protection, which is not MACIF, and we'll see, in all cases motorhome drivers be careful, avoid this company")</f>
        <v>Hello, I came to this forum today because I am very unhappy with MACIF. I had a problem with an awning on my camper van which I found torn off and distorted one morning when I woke up, I deduced from this without being an expert that the disaster had been caused by the wind, so my declaration made in this direction, therefore no storm warning no compensation (without expertise) my declaration was enough for them of course because he did not have to 'compensate, but my dealer sees the matter otherwise, so mail, mediation, appeals commission they don't want to know anything the head of department said no so we leave it there there is no point in sending letters they don't care, it's very serious I'm not going to stop there, I'm going to take advantage of my legal protection, which is not MACIF, and we'll see, in all cases motorhome drivers be careful, avoid this company</v>
      </c>
    </row>
    <row r="551" ht="15.75" customHeight="1">
      <c r="A551" s="2">
        <v>2.0</v>
      </c>
      <c r="B551" s="2" t="s">
        <v>1614</v>
      </c>
      <c r="C551" s="2" t="s">
        <v>1615</v>
      </c>
      <c r="D551" s="2" t="s">
        <v>281</v>
      </c>
      <c r="E551" s="2" t="s">
        <v>39</v>
      </c>
      <c r="F551" s="2" t="s">
        <v>15</v>
      </c>
      <c r="G551" s="2" t="s">
        <v>1616</v>
      </c>
      <c r="H551" s="2" t="s">
        <v>111</v>
      </c>
      <c r="I551" s="2" t="str">
        <f>IFERROR(__xludf.DUMMYFUNCTION("GOOGLETRANSLATE(C551,""fr"",""en"")"),"It starts very badly!  After 2 years of hesitation, I left the ACM for Harmonie Mutuelle, where I spoke at length by email and telephone with an advisor,
by emphasizing my needs, and asking what the reimbursements were.
In the end, I'm getting started, at"&amp;" the end of spring 2021...
Result, I come back from spa treatment, I ask for my package: I am told that I am not entitled to it, even though I thought I would receive €400! it's not nothing, and that's what motivated me to change mutual insurance. I had a"&amp;" package of €200 before.
Podiatrist and insoles reimbursement: similarly, I was 100% reimbursed before, and there is €40 left in my pocket.
Osteodensitometry: I was unable to get the information...
In short, I'm not going to stay with this mutual fund for"&amp;" long if I don't get better reimbursed than that, option 3 I specify!!
Easy to make nice promises to attract customers, if the unreimbursed amounts exceed the contribution income, I would have been better off keeping my old mutual fund!
")</f>
        <v>It starts very badly!  After 2 years of hesitation, I left the ACM for Harmonie Mutuelle, where I spoke at length by email and telephone with an advisor,
by emphasizing my needs, and asking what the reimbursements were.
In the end, I'm getting started, at the end of spring 2021...
Result, I come back from spa treatment, I ask for my package: I am told that I am not entitled to it, even though I thought I would receive €400! it's not nothing, and that's what motivated me to change mutual insurance. I had a package of €200 before.
Podiatrist and insoles reimbursement: similarly, I was 100% reimbursed before, and there is €40 left in my pocket.
Osteodensitometry: I was unable to get the information...
In short, I'm not going to stay with this mutual fund for long if I don't get better reimbursed than that, option 3 I specify!!
Easy to make nice promises to attract customers, if the unreimbursed amounts exceed the contribution income, I would have been better off keeping my old mutual fund!
</v>
      </c>
    </row>
    <row r="552" ht="15.75" customHeight="1">
      <c r="A552" s="2">
        <v>2.0</v>
      </c>
      <c r="B552" s="2" t="s">
        <v>1617</v>
      </c>
      <c r="C552" s="2" t="s">
        <v>1618</v>
      </c>
      <c r="D552" s="2" t="s">
        <v>310</v>
      </c>
      <c r="E552" s="2" t="s">
        <v>14</v>
      </c>
      <c r="F552" s="2" t="s">
        <v>15</v>
      </c>
      <c r="G552" s="2" t="s">
        <v>1619</v>
      </c>
      <c r="H552" s="2" t="s">
        <v>661</v>
      </c>
      <c r="I552" s="2" t="str">
        <f>IFERROR(__xludf.DUMMYFUNCTION("GOOGLETRANSLATE(C552,""fr"",""en"")"),"My 2017 car price: bad surprise!! + 15.4% for one and +6.24% for the other. customer for more than 5 years, 50% bonus")</f>
        <v>My 2017 car price: bad surprise!! + 15.4% for one and +6.24% for the other. customer for more than 5 years, 50% bonus</v>
      </c>
    </row>
    <row r="553" ht="15.75" customHeight="1">
      <c r="A553" s="2">
        <v>4.0</v>
      </c>
      <c r="B553" s="2" t="s">
        <v>1620</v>
      </c>
      <c r="C553" s="2" t="s">
        <v>1621</v>
      </c>
      <c r="D553" s="2" t="s">
        <v>13</v>
      </c>
      <c r="E553" s="2" t="s">
        <v>14</v>
      </c>
      <c r="F553" s="2" t="s">
        <v>15</v>
      </c>
      <c r="G553" s="2" t="s">
        <v>1271</v>
      </c>
      <c r="H553" s="2" t="s">
        <v>71</v>
      </c>
      <c r="I553" s="2" t="str">
        <f>IFERROR(__xludf.DUMMYFUNCTION("GOOGLETRANSLATE(C553,""fr"",""en"")"),"Very practical insurance company in its operation. I am discovering and therefore have no opinion on the after-sales service. But the feedback I received encouraged me to subscribe to Direct Assurance. ")</f>
        <v>Very practical insurance company in its operation. I am discovering and therefore have no opinion on the after-sales service. But the feedback I received encouraged me to subscribe to Direct Assurance. </v>
      </c>
    </row>
    <row r="554" ht="15.75" customHeight="1">
      <c r="A554" s="2">
        <v>1.0</v>
      </c>
      <c r="B554" s="2" t="s">
        <v>1622</v>
      </c>
      <c r="C554" s="2" t="s">
        <v>1623</v>
      </c>
      <c r="D554" s="2" t="s">
        <v>412</v>
      </c>
      <c r="E554" s="2" t="s">
        <v>137</v>
      </c>
      <c r="F554" s="2" t="s">
        <v>15</v>
      </c>
      <c r="G554" s="2" t="s">
        <v>676</v>
      </c>
      <c r="H554" s="2" t="s">
        <v>111</v>
      </c>
      <c r="I554" s="2" t="str">
        <f>IFERROR(__xludf.DUMMYFUNCTION("GOOGLETRANSLATE(C554,""fr"",""en"")"),"Having been injured at work since January, I still haven't been paid, it's incredible I call every day but nothing changes yet they told me that all the administration was done perfectly by me and that of my employer , even the ag2r advisors don't underst"&amp;"and why I haven't paid yet. I won't let go, I see my du.  Because every month has taken a toll on me.   ")</f>
        <v>Having been injured at work since January, I still haven't been paid, it's incredible I call every day but nothing changes yet they told me that all the administration was done perfectly by me and that of my employer , even the ag2r advisors don't understand why I haven't paid yet. I won't let go, I see my du.  Because every month has taken a toll on me.   </v>
      </c>
    </row>
    <row r="555" ht="15.75" customHeight="1">
      <c r="A555" s="2">
        <v>3.0</v>
      </c>
      <c r="B555" s="2" t="s">
        <v>1624</v>
      </c>
      <c r="C555" s="2" t="s">
        <v>1625</v>
      </c>
      <c r="D555" s="2" t="s">
        <v>80</v>
      </c>
      <c r="E555" s="2" t="s">
        <v>81</v>
      </c>
      <c r="F555" s="2" t="s">
        <v>15</v>
      </c>
      <c r="G555" s="2" t="s">
        <v>1626</v>
      </c>
      <c r="H555" s="2" t="s">
        <v>94</v>
      </c>
      <c r="I555" s="2" t="str">
        <f>IFERROR(__xludf.DUMMYFUNCTION("GOOGLETRANSLATE(C555,""fr"",""en"")"),"Despite already being a customer
Too much information requested 
And especially the 2 months to be paid in advance 
And what's more you ask for 150 characters which forces me to write ")</f>
        <v>Despite already being a customer
Too much information requested 
And especially the 2 months to be paid in advance 
And what's more you ask for 150 characters which forces me to write </v>
      </c>
    </row>
    <row r="556" ht="15.75" customHeight="1">
      <c r="A556" s="2">
        <v>4.0</v>
      </c>
      <c r="B556" s="2" t="s">
        <v>1627</v>
      </c>
      <c r="C556" s="2" t="s">
        <v>1628</v>
      </c>
      <c r="D556" s="2" t="s">
        <v>28</v>
      </c>
      <c r="E556" s="2" t="s">
        <v>14</v>
      </c>
      <c r="F556" s="2" t="s">
        <v>15</v>
      </c>
      <c r="G556" s="2" t="s">
        <v>948</v>
      </c>
      <c r="H556" s="2" t="s">
        <v>25</v>
      </c>
      <c r="I556" s="2" t="str">
        <f>IFERROR(__xludf.DUMMYFUNCTION("GOOGLETRANSLATE(C556,""fr"",""en"")"),"Difficult to give notice when signing a contract. It is in difficult times and/or in monitoring its customers that a service provider can possibly be evaluated.")</f>
        <v>Difficult to give notice when signing a contract. It is in difficult times and/or in monitoring its customers that a service provider can possibly be evaluated.</v>
      </c>
    </row>
    <row r="557" ht="15.75" customHeight="1">
      <c r="A557" s="2">
        <v>5.0</v>
      </c>
      <c r="B557" s="2" t="s">
        <v>1629</v>
      </c>
      <c r="C557" s="2" t="s">
        <v>1630</v>
      </c>
      <c r="D557" s="2" t="s">
        <v>28</v>
      </c>
      <c r="E557" s="2" t="s">
        <v>14</v>
      </c>
      <c r="F557" s="2" t="s">
        <v>15</v>
      </c>
      <c r="G557" s="2" t="s">
        <v>260</v>
      </c>
      <c r="H557" s="2" t="s">
        <v>71</v>
      </c>
      <c r="I557" s="2" t="str">
        <f>IFERROR(__xludf.DUMMYFUNCTION("GOOGLETRANSLATE(C557,""fr"",""en"")"),"I am satisfied, it's quick and inexpensive, the advice is very professional and I finally managed to insure my car even as a young driver. ")</f>
        <v>I am satisfied, it's quick and inexpensive, the advice is very professional and I finally managed to insure my car even as a young driver. </v>
      </c>
    </row>
    <row r="558" ht="15.75" customHeight="1">
      <c r="A558" s="2">
        <v>1.0</v>
      </c>
      <c r="B558" s="2" t="s">
        <v>1631</v>
      </c>
      <c r="C558" s="2" t="s">
        <v>1632</v>
      </c>
      <c r="D558" s="2" t="s">
        <v>65</v>
      </c>
      <c r="E558" s="2" t="s">
        <v>14</v>
      </c>
      <c r="F558" s="2" t="s">
        <v>15</v>
      </c>
      <c r="G558" s="2" t="s">
        <v>884</v>
      </c>
      <c r="H558" s="2" t="s">
        <v>67</v>
      </c>
      <c r="I558" s="2" t="str">
        <f>IFERROR(__xludf.DUMMYFUNCTION("GOOGLETRANSLATE(C558,""fr"",""en"")"),"trader, I suspended a deadline following covid and therefore the closure. the following month, after obtaining a pge loan, I want to regularize but no one works at ALLIANZ! not even teleworking and impossible to pay online..
today I want to settle, and I "&amp;"am (punished)! recovery costs and 4 months of contributions to be paid immediately, otherwise written off! Ans: This is the procedure!
shame on them!!!")</f>
        <v>trader, I suspended a deadline following covid and therefore the closure. the following month, after obtaining a pge loan, I want to regularize but no one works at ALLIANZ! not even teleworking and impossible to pay online..
today I want to settle, and I am (punished)! recovery costs and 4 months of contributions to be paid immediately, otherwise written off! Ans: This is the procedure!
shame on them!!!</v>
      </c>
    </row>
    <row r="559" ht="15.75" customHeight="1">
      <c r="A559" s="2">
        <v>2.0</v>
      </c>
      <c r="B559" s="2" t="s">
        <v>1633</v>
      </c>
      <c r="C559" s="2" t="s">
        <v>1634</v>
      </c>
      <c r="D559" s="2" t="s">
        <v>13</v>
      </c>
      <c r="E559" s="2" t="s">
        <v>14</v>
      </c>
      <c r="F559" s="2" t="s">
        <v>15</v>
      </c>
      <c r="G559" s="2" t="s">
        <v>1635</v>
      </c>
      <c r="H559" s="2" t="s">
        <v>30</v>
      </c>
      <c r="I559" s="2" t="str">
        <f>IFERROR(__xludf.DUMMYFUNCTION("GOOGLETRANSLATE(C559,""fr"",""en"")"),"When I first contacted him on the phone, the person assured me that when my son Thomas had his car license his motorcycle bonus would be taken into account when calculating the price. License since 01/23/2020.
Apart from its registration on the car, this "&amp;"is not the case, and my interlocutor tells me that nothing can be done.")</f>
        <v>When I first contacted him on the phone, the person assured me that when my son Thomas had his car license his motorcycle bonus would be taken into account when calculating the price. License since 01/23/2020.
Apart from its registration on the car, this is not the case, and my interlocutor tells me that nothing can be done.</v>
      </c>
    </row>
    <row r="560" ht="15.75" customHeight="1">
      <c r="A560" s="2">
        <v>1.0</v>
      </c>
      <c r="B560" s="2" t="s">
        <v>1636</v>
      </c>
      <c r="C560" s="2" t="s">
        <v>1637</v>
      </c>
      <c r="D560" s="2" t="s">
        <v>322</v>
      </c>
      <c r="E560" s="2" t="s">
        <v>14</v>
      </c>
      <c r="F560" s="2" t="s">
        <v>15</v>
      </c>
      <c r="G560" s="2" t="s">
        <v>1638</v>
      </c>
      <c r="H560" s="2" t="s">
        <v>414</v>
      </c>
      <c r="I560" s="2" t="str">
        <f>IFERROR(__xludf.DUMMYFUNCTION("GOOGLETRANSLATE(C560,""fr"",""en"")"),"I still don't believe what I'm experiencing. 200 euros for a 1 month provisional certificate. it is rather a big lie well organized to extract money from honest citizens ")</f>
        <v>I still don't believe what I'm experiencing. 200 euros for a 1 month provisional certificate. it is rather a big lie well organized to extract money from honest citizens </v>
      </c>
    </row>
    <row r="561" ht="15.75" customHeight="1">
      <c r="A561" s="2">
        <v>2.0</v>
      </c>
      <c r="B561" s="2" t="s">
        <v>1639</v>
      </c>
      <c r="C561" s="2" t="s">
        <v>1640</v>
      </c>
      <c r="D561" s="2" t="s">
        <v>254</v>
      </c>
      <c r="E561" s="2" t="s">
        <v>14</v>
      </c>
      <c r="F561" s="2" t="s">
        <v>15</v>
      </c>
      <c r="G561" s="2" t="s">
        <v>1552</v>
      </c>
      <c r="H561" s="2" t="s">
        <v>94</v>
      </c>
      <c r="I561" s="2" t="str">
        <f>IFERROR(__xludf.DUMMYFUNCTION("GOOGLETRANSLATE(C561,""fr"",""en"")"),"Terminated after five years with them. Pattern? Commercial alteration according to them.
In 2016, I became a school teacher and the MAIF offered me specialized legal protection for teaching professions, a contract including independent secular solidarity."&amp;" After a few months they offered me a car contract then very quickly a home contract. In three years I am fully insured with them.
Unfortunately in 2019, circumstances will decide my fate. I have had to deal with two at-fault claims with my car in the spa"&amp;"ce of four months. Then a few months later, I suffered a verbal attack and de facto vandalism to my vehicle. 
No words of sympathy. No empathy. The threat falls.
An activist assured me that no termination was planned if I was careful in the future. It did"&amp;"n't happen. I received a termination letter in November 2020. Commercial alteration. I only expected to lose my auto contract. No, these are all of my contracts. So no more professional legal protection! 
I tried to negotiate a compromise, they don't want"&amp;" to know anything! Completely narrow-minded.
Always the same speech: relations have deteriorated and we prefer to end the contracts. 
In fact, when my car was repaired in February 2020, breakdowns occurred in May 2020. The bodybuilder had incorrectly repa"&amp;"ired the engine part and my garage wanted to charge me for the repairs even though my insurance was supposed to pay (all-risks contract! ) I had to insist with MAIF to have the repairs covered and to provide me with a vehicle loan. I think they just didn'"&amp;"t like it. It seems that they don't like it when we moan or complain. 
The most serious was undoubtedly my aggression, they had no words of kindness. Is it my fault if I get attacked? Is it my fault if a half-frozen person kicks my car until he damages it"&amp;"? Filing a complaint was not enough and I was thrown out like a trash. When I talk to advisors about it, I always get the same contempt on the other end of the line. 
This lack of humanity on their part disgusts me and I can only advise avoiding this assu"&amp;"rance. My mistake was believing them. ")</f>
        <v>Terminated after five years with them. Pattern? Commercial alteration according to them.
In 2016, I became a school teacher and the MAIF offered me specialized legal protection for teaching professions, a contract including independent secular solidarity. After a few months they offered me a car contract then very quickly a home contract. In three years I am fully insured with them.
Unfortunately in 2019, circumstances will decide my fate. I have had to deal with two at-fault claims with my car in the space of four months. Then a few months later, I suffered a verbal attack and de facto vandalism to my vehicle. 
No words of sympathy. No empathy. The threat falls.
An activist assured me that no termination was planned if I was careful in the future. It didn't happen. I received a termination letter in November 2020. Commercial alteration. I only expected to lose my auto contract. No, these are all of my contracts. So no more professional legal protection! 
I tried to negotiate a compromise, they don't want to know anything! Completely narrow-minded.
Always the same speech: relations have deteriorated and we prefer to end the contracts. 
In fact, when my car was repaired in February 2020, breakdowns occurred in May 2020. The bodybuilder had incorrectly repaired the engine part and my garage wanted to charge me for the repairs even though my insurance was supposed to pay (all-risks contract! ) I had to insist with MAIF to have the repairs covered and to provide me with a vehicle loan. I think they just didn't like it. It seems that they don't like it when we moan or complain. 
The most serious was undoubtedly my aggression, they had no words of kindness. Is it my fault if I get attacked? Is it my fault if a half-frozen person kicks my car until he damages it? Filing a complaint was not enough and I was thrown out like a trash. When I talk to advisors about it, I always get the same contempt on the other end of the line. 
This lack of humanity on their part disgusts me and I can only advise avoiding this assurance. My mistake was believing them. </v>
      </c>
    </row>
    <row r="562" ht="15.75" customHeight="1">
      <c r="A562" s="2">
        <v>1.0</v>
      </c>
      <c r="B562" s="2" t="s">
        <v>1641</v>
      </c>
      <c r="C562" s="2" t="s">
        <v>1642</v>
      </c>
      <c r="D562" s="2" t="s">
        <v>65</v>
      </c>
      <c r="E562" s="2" t="s">
        <v>61</v>
      </c>
      <c r="F562" s="2" t="s">
        <v>15</v>
      </c>
      <c r="G562" s="2" t="s">
        <v>690</v>
      </c>
      <c r="H562" s="2" t="s">
        <v>634</v>
      </c>
      <c r="I562" s="2" t="str">
        <f>IFERROR(__xludf.DUMMYFUNCTION("GOOGLETRANSLATE(C562,""fr"",""en"")"),"INADMISSIBLE I am a beneficiary of contracts, I am still waiting for the summary of the sums despite the reminder to the former Lyon advisor. It's been over a month since I sent the obituary. To get you to sign contracts first to pay I think it will be co"&amp;"mplicated")</f>
        <v>INADMISSIBLE I am a beneficiary of contracts, I am still waiting for the summary of the sums despite the reminder to the former Lyon advisor. It's been over a month since I sent the obituary. To get you to sign contracts first to pay I think it will be complicated</v>
      </c>
    </row>
    <row r="563" ht="15.75" customHeight="1">
      <c r="A563" s="2">
        <v>2.0</v>
      </c>
      <c r="B563" s="2" t="s">
        <v>1643</v>
      </c>
      <c r="C563" s="2" t="s">
        <v>1644</v>
      </c>
      <c r="D563" s="2" t="s">
        <v>254</v>
      </c>
      <c r="E563" s="2" t="s">
        <v>14</v>
      </c>
      <c r="F563" s="2" t="s">
        <v>15</v>
      </c>
      <c r="G563" s="2" t="s">
        <v>702</v>
      </c>
      <c r="H563" s="2" t="s">
        <v>286</v>
      </c>
      <c r="I563" s="2" t="str">
        <f>IFERROR(__xludf.DUMMYFUNCTION("GOOGLETRANSLATE(C563,""fr"",""en"")"),"Hello, I am posting on this forum because I am not satisfied with this organization. After having accepted 2 exemptions to insure myself on a sports vehicle since I did not have 5 years of license (first agreement in February 2020 then stolen vehicle and "&amp;"again an agreement on 05/22/2020) I have a car quote which proves it. I contacted customer service again today to insure the same car but less powerful (fewer tax horsepower) and I was told that the exemption was refused because my file was studied in dep"&amp;"th (as if this had not not been the case the previous times) telling me that my claims and my license date were in the balance (I have never had a claim and I almost have 5 years of license). The advisor, short of arguments, tells me that in February when"&amp;" the exemption was granted I was made an offer for home insurance which I refused since I already have one that suits me. Basically this amounts to blackmail since I have not taken out this insurance. You cannot impose insurance in exchange for something."&amp;" I am waiting for feedback from you and I hope that you will reconsider this absurd decision!!! ")</f>
        <v>Hello, I am posting on this forum because I am not satisfied with this organization. After having accepted 2 exemptions to insure myself on a sports vehicle since I did not have 5 years of license (first agreement in February 2020 then stolen vehicle and again an agreement on 05/22/2020) I have a car quote which proves it. I contacted customer service again today to insure the same car but less powerful (fewer tax horsepower) and I was told that the exemption was refused because my file was studied in depth (as if this had not not been the case the previous times) telling me that my claims and my license date were in the balance (I have never had a claim and I almost have 5 years of license). The advisor, short of arguments, tells me that in February when the exemption was granted I was made an offer for home insurance which I refused since I already have one that suits me. Basically this amounts to blackmail since I have not taken out this insurance. You cannot impose insurance in exchange for something. I am waiting for feedback from you and I hope that you will reconsider this absurd decision!!! </v>
      </c>
    </row>
    <row r="564" ht="15.75" customHeight="1">
      <c r="A564" s="2">
        <v>1.0</v>
      </c>
      <c r="B564" s="2" t="s">
        <v>1645</v>
      </c>
      <c r="C564" s="2" t="s">
        <v>1646</v>
      </c>
      <c r="D564" s="2" t="s">
        <v>13</v>
      </c>
      <c r="E564" s="2" t="s">
        <v>14</v>
      </c>
      <c r="F564" s="2" t="s">
        <v>15</v>
      </c>
      <c r="G564" s="2" t="s">
        <v>1647</v>
      </c>
      <c r="H564" s="2" t="s">
        <v>612</v>
      </c>
      <c r="I564" s="2" t="str">
        <f>IFERROR(__xludf.DUMMYFUNCTION("GOOGLETRANSLATE(C564,""fr"",""en"")"),"A company far below their advertising 
Having two vehicles, one at their place and one elsewhere, I wish to repatriate the second to them, they give me a quote I specify that I had a broken glass plus 3 repairs, I am told no worries they are initiating th"&amp;"e Hamon law termination with my other insurer
1 month and 1 week after the day of final termination they left me a message saying in the end that they could not insure me following the broken glass and repairs.... I found myself without insurance!!! Final"&amp;"ly they give me 20 days to return it as they say.... of course they will withhold €45 processing fees from the reimbursement! Fortunately my other (ex) insurer agrees to take me back, conclusion I will remove my other vehicle from this insurance which is "&amp;"bad faith ")</f>
        <v>A company far below their advertising 
Having two vehicles, one at their place and one elsewhere, I wish to repatriate the second to them, they give me a quote I specify that I had a broken glass plus 3 repairs, I am told no worries they are initiating the Hamon law termination with my other insurer
1 month and 1 week after the day of final termination they left me a message saying in the end that they could not insure me following the broken glass and repairs.... I found myself without insurance!!! Finally they give me 20 days to return it as they say.... of course they will withhold €45 processing fees from the reimbursement! Fortunately my other (ex) insurer agrees to take me back, conclusion I will remove my other vehicle from this insurance which is bad faith </v>
      </c>
    </row>
    <row r="565" ht="15.75" customHeight="1">
      <c r="A565" s="2">
        <v>3.0</v>
      </c>
      <c r="B565" s="2" t="s">
        <v>1648</v>
      </c>
      <c r="C565" s="2" t="s">
        <v>1649</v>
      </c>
      <c r="D565" s="2" t="s">
        <v>219</v>
      </c>
      <c r="E565" s="2" t="s">
        <v>137</v>
      </c>
      <c r="F565" s="2" t="s">
        <v>15</v>
      </c>
      <c r="G565" s="2" t="s">
        <v>1650</v>
      </c>
      <c r="H565" s="2" t="s">
        <v>74</v>
      </c>
      <c r="I565" s="2" t="str">
        <f>IFERROR(__xludf.DUMMYFUNCTION("GOOGLETRANSLATE(C565,""fr"",""en"")"),"death benefit file settled in less than a month even though there were tax duties due. I was kept informed of the progress of the file without any problem.")</f>
        <v>death benefit file settled in less than a month even though there were tax duties due. I was kept informed of the progress of the file without any problem.</v>
      </c>
    </row>
    <row r="566" ht="15.75" customHeight="1">
      <c r="A566" s="2">
        <v>5.0</v>
      </c>
      <c r="B566" s="2" t="s">
        <v>1651</v>
      </c>
      <c r="C566" s="2" t="s">
        <v>1652</v>
      </c>
      <c r="D566" s="2" t="s">
        <v>493</v>
      </c>
      <c r="E566" s="2" t="s">
        <v>101</v>
      </c>
      <c r="F566" s="2" t="s">
        <v>15</v>
      </c>
      <c r="G566" s="2" t="s">
        <v>1635</v>
      </c>
      <c r="H566" s="2" t="s">
        <v>30</v>
      </c>
      <c r="I566" s="2" t="str">
        <f>IFERROR(__xludf.DUMMYFUNCTION("GOOGLETRANSLATE(C566,""fr"",""en"")"),"EASE OF USE
COMPETITIVE PRICE 
QUICK TO SET UP VIA THE INTERNET 
HOPING THAT EVERYTHING WILL GO WELL AND THAT THIS INSURANCE WILL NOT BE NECESSARY.....")</f>
        <v>EASE OF USE
COMPETITIVE PRICE 
QUICK TO SET UP VIA THE INTERNET 
HOPING THAT EVERYTHING WILL GO WELL AND THAT THIS INSURANCE WILL NOT BE NECESSARY.....</v>
      </c>
    </row>
    <row r="567" ht="15.75" customHeight="1">
      <c r="A567" s="2">
        <v>2.0</v>
      </c>
      <c r="B567" s="2" t="s">
        <v>1653</v>
      </c>
      <c r="C567" s="2" t="s">
        <v>1654</v>
      </c>
      <c r="D567" s="2" t="s">
        <v>1242</v>
      </c>
      <c r="E567" s="2" t="s">
        <v>129</v>
      </c>
      <c r="F567" s="2" t="s">
        <v>15</v>
      </c>
      <c r="G567" s="2" t="s">
        <v>1655</v>
      </c>
      <c r="H567" s="2" t="s">
        <v>361</v>
      </c>
      <c r="I567" s="2" t="str">
        <f>IFERROR(__xludf.DUMMYFUNCTION("GOOGLETRANSLATE(C567,""fr"",""en"")"),"for a water damage incident on July 1st which affected several apartments I am still waiting for the expert who has already postponed his appointment several times. next date end of September noted: zero points 
a company came after a month to clean up: c"&amp;"lean and dry (because mold in the rooms is not good for your health) but only the upholstery was removed... absurd!
I told them that my wife can no longer work because she is a childminder and works at home and that is detrimental to us.. but again no rea"&amp;"ction 
my neighbor had a visit from the expert very quickly and the following week the work began and today it is already finished and forgotten. I would ask him the name of his insurance for sure! 
 ")</f>
        <v>for a water damage incident on July 1st which affected several apartments I am still waiting for the expert who has already postponed his appointment several times. next date end of September noted: zero points 
a company came after a month to clean up: clean and dry (because mold in the rooms is not good for your health) but only the upholstery was removed... absurd!
I told them that my wife can no longer work because she is a childminder and works at home and that is detrimental to us.. but again no reaction 
my neighbor had a visit from the expert very quickly and the following week the work began and today it is already finished and forgotten. I would ask him the name of his insurance for sure! 
 </v>
      </c>
    </row>
    <row r="568" ht="15.75" customHeight="1">
      <c r="A568" s="2">
        <v>2.0</v>
      </c>
      <c r="B568" s="2" t="s">
        <v>1656</v>
      </c>
      <c r="C568" s="2" t="s">
        <v>1657</v>
      </c>
      <c r="D568" s="2" t="s">
        <v>197</v>
      </c>
      <c r="E568" s="2" t="s">
        <v>81</v>
      </c>
      <c r="F568" s="2" t="s">
        <v>15</v>
      </c>
      <c r="G568" s="2" t="s">
        <v>1658</v>
      </c>
      <c r="H568" s="2" t="s">
        <v>474</v>
      </c>
      <c r="I568" s="2" t="str">
        <f>IFERROR(__xludf.DUMMYFUNCTION("GOOGLETRANSLATE(C568,""fr"",""en"")"),"On February 17, 2018 I was involved in an accident. I was driving my motorcycle and as I was taking a right turn I was hit by a young driver who was coming in the opposite direction while cutting his turn. Luckily the damage was only material. On the repo"&amp;"rt it was clearly established that I was turning right and that the other vehicle was traveling in the opposite direction, turning left and encroaching on my lane.
The file was opened quickly but to date I have still not received any compensation after tw"&amp;"o months of proceedings.
The expert concluded that my motorcycle is financially irreparable and I was subsequently asked to make the decision either to keep it for parts, or to have it repaired under the expert's supervision at my expense, or to sell it. "&amp;"to the company. This was carried out without providing me with confirmation of my non-responsibility in the incident. Being assured that this third party confirmation was essential for me to make my decision. Despite everything, after reflection and the r"&amp;"eservation of the motorcycle which will replace this one, I sent all the documents to sell it.
All my conversations with my designated interlocutor have always concluded that she is awaiting the conclusions of the opposing party on liability.
Being insure"&amp;"d for two cars with the opposing company, I managed to have a conversation with their file manager. He assured me that he had not opposed the liability of his member from the beginning and that he was waiting for the quantified report from AMV to pay my c"&amp;"ompensation. 
On March 10, 2018, I had to incur personal expenses to transport my non-running motorcycle to a dealership for expertise and on March 24, 2018, I had to carry out the opposite operation to repatriate it to my home. I immediately transmitted "&amp;"the request for compensation to my manager who took care of transmitting it to the expert only this Tuesday, April 10, 2018 so that he could add it to my file.
To date, my vehicle has been removed by a wrecker and all transfer documents have been sent. I "&amp;"wonder how long my case will last before being compensated for this accident in which I am a victim.
")</f>
        <v>On February 17, 2018 I was involved in an accident. I was driving my motorcycle and as I was taking a right turn I was hit by a young driver who was coming in the opposite direction while cutting his turn. Luckily the damage was only material. On the report it was clearly established that I was turning right and that the other vehicle was traveling in the opposite direction, turning left and encroaching on my lane.
The file was opened quickly but to date I have still not received any compensation after two months of proceedings.
The expert concluded that my motorcycle is financially irreparable and I was subsequently asked to make the decision either to keep it for parts, or to have it repaired under the expert's supervision at my expense, or to sell it. to the company. This was carried out without providing me with confirmation of my non-responsibility in the incident. Being assured that this third party confirmation was essential for me to make my decision. Despite everything, after reflection and the reservation of the motorcycle which will replace this one, I sent all the documents to sell it.
All my conversations with my designated interlocutor have always concluded that she is awaiting the conclusions of the opposing party on liability.
Being insured for two cars with the opposing company, I managed to have a conversation with their file manager. He assured me that he had not opposed the liability of his member from the beginning and that he was waiting for the quantified report from AMV to pay my compensation. 
On March 10, 2018, I had to incur personal expenses to transport my non-running motorcycle to a dealership for expertise and on March 24, 2018, I had to carry out the opposite operation to repatriate it to my home. I immediately transmitted the request for compensation to my manager who took care of transmitting it to the expert only this Tuesday, April 10, 2018 so that he could add it to my file.
To date, my vehicle has been removed by a wrecker and all transfer documents have been sent. I wonder how long my case will last before being compensated for this accident in which I am a victim.
</v>
      </c>
    </row>
    <row r="569" ht="15.75" customHeight="1">
      <c r="A569" s="2">
        <v>4.0</v>
      </c>
      <c r="B569" s="2" t="s">
        <v>1659</v>
      </c>
      <c r="C569" s="2" t="s">
        <v>1660</v>
      </c>
      <c r="D569" s="2" t="s">
        <v>530</v>
      </c>
      <c r="E569" s="2" t="s">
        <v>39</v>
      </c>
      <c r="F569" s="2" t="s">
        <v>15</v>
      </c>
      <c r="G569" s="2" t="s">
        <v>1661</v>
      </c>
      <c r="H569" s="2" t="s">
        <v>108</v>
      </c>
      <c r="I569" s="2" t="str">
        <f>IFERROR(__xludf.DUMMYFUNCTION("GOOGLETRANSLATE(C569,""fr"",""en"")"),"Compared to other mutuals, the rates could be more competitive. However, due to certain very specific services, the high prices have an explanation. 
What a shame that our local correspondents are no longer as available as they were 20 years ago!!! Thank "&amp;"you Europe...")</f>
        <v>Compared to other mutuals, the rates could be more competitive. However, due to certain very specific services, the high prices have an explanation. 
What a shame that our local correspondents are no longer as available as they were 20 years ago!!! Thank you Europe...</v>
      </c>
    </row>
    <row r="570" ht="15.75" customHeight="1">
      <c r="A570" s="2">
        <v>5.0</v>
      </c>
      <c r="B570" s="2" t="s">
        <v>1662</v>
      </c>
      <c r="C570" s="2" t="s">
        <v>1663</v>
      </c>
      <c r="D570" s="2" t="s">
        <v>1523</v>
      </c>
      <c r="E570" s="2" t="s">
        <v>101</v>
      </c>
      <c r="F570" s="2" t="s">
        <v>15</v>
      </c>
      <c r="G570" s="2" t="s">
        <v>477</v>
      </c>
      <c r="H570" s="2" t="s">
        <v>125</v>
      </c>
      <c r="I570" s="2" t="str">
        <f>IFERROR(__xludf.DUMMYFUNCTION("GOOGLETRANSLATE(C570,""fr"",""en"")"),"I took out my loan insurance several months ago with Afi Esca, no complaints, insurer which offers good services, the advice is personalized and their team is very responsive. I recommend.")</f>
        <v>I took out my loan insurance several months ago with Afi Esca, no complaints, insurer which offers good services, the advice is personalized and their team is very responsive. I recommend.</v>
      </c>
    </row>
    <row r="571" ht="15.75" customHeight="1">
      <c r="A571" s="2">
        <v>4.0</v>
      </c>
      <c r="B571" s="2" t="s">
        <v>1664</v>
      </c>
      <c r="C571" s="2" t="s">
        <v>1665</v>
      </c>
      <c r="D571" s="2" t="s">
        <v>13</v>
      </c>
      <c r="E571" s="2" t="s">
        <v>14</v>
      </c>
      <c r="F571" s="2" t="s">
        <v>15</v>
      </c>
      <c r="G571" s="2" t="s">
        <v>97</v>
      </c>
      <c r="H571" s="2" t="s">
        <v>25</v>
      </c>
      <c r="I571" s="2" t="str">
        <f>IFERROR(__xludf.DUMMYFUNCTION("GOOGLETRANSLATE(C571,""fr"",""en"")"),"the prices are competitive, the welcome is friendly and efficient.
the site is easy to use and well done.
I recommend it to everyone I know.
")</f>
        <v>the prices are competitive, the welcome is friendly and efficient.
the site is easy to use and well done.
I recommend it to everyone I know.
</v>
      </c>
    </row>
    <row r="572" ht="15.75" customHeight="1">
      <c r="A572" s="2">
        <v>1.0</v>
      </c>
      <c r="B572" s="2" t="s">
        <v>1666</v>
      </c>
      <c r="C572" s="2" t="s">
        <v>1667</v>
      </c>
      <c r="D572" s="2" t="s">
        <v>13</v>
      </c>
      <c r="E572" s="2" t="s">
        <v>14</v>
      </c>
      <c r="F572" s="2" t="s">
        <v>15</v>
      </c>
      <c r="G572" s="2" t="s">
        <v>70</v>
      </c>
      <c r="H572" s="2" t="s">
        <v>71</v>
      </c>
      <c r="I572" s="2" t="str">
        <f>IFERROR(__xludf.DUMMYFUNCTION("GOOGLETRANSLATE(C572,""fr"",""en"")"),"I tried to call to understand the details of this new amount after tens of minutes of waiting you did not take my call and told me to call back later")</f>
        <v>I tried to call to understand the details of this new amount after tens of minutes of waiting you did not take my call and told me to call back later</v>
      </c>
    </row>
    <row r="573" ht="15.75" customHeight="1">
      <c r="A573" s="2">
        <v>5.0</v>
      </c>
      <c r="B573" s="2" t="s">
        <v>1668</v>
      </c>
      <c r="C573" s="2" t="s">
        <v>1669</v>
      </c>
      <c r="D573" s="2" t="s">
        <v>89</v>
      </c>
      <c r="E573" s="2" t="s">
        <v>39</v>
      </c>
      <c r="F573" s="2" t="s">
        <v>15</v>
      </c>
      <c r="G573" s="2" t="s">
        <v>1670</v>
      </c>
      <c r="H573" s="2" t="s">
        <v>634</v>
      </c>
      <c r="I573" s="2" t="str">
        <f>IFERROR(__xludf.DUMMYFUNCTION("GOOGLETRANSLATE(C573,""fr"",""en"")"),"After a bad experience using Santiane's services, I decided to trust an online comparator again and I came across a Lyon firm and I was very satisfied with the quality of the advice and the offers.Today I am a member of CEGEMA and everything is going well"&amp;" ")</f>
        <v>After a bad experience using Santiane's services, I decided to trust an online comparator again and I came across a Lyon firm and I was very satisfied with the quality of the advice and the offers.Today I am a member of CEGEMA and everything is going well </v>
      </c>
    </row>
    <row r="574" ht="15.75" customHeight="1">
      <c r="A574" s="2">
        <v>4.0</v>
      </c>
      <c r="B574" s="2" t="s">
        <v>1671</v>
      </c>
      <c r="C574" s="2" t="s">
        <v>1672</v>
      </c>
      <c r="D574" s="2" t="s">
        <v>28</v>
      </c>
      <c r="E574" s="2" t="s">
        <v>14</v>
      </c>
      <c r="F574" s="2" t="s">
        <v>15</v>
      </c>
      <c r="G574" s="2" t="s">
        <v>673</v>
      </c>
      <c r="H574" s="2" t="s">
        <v>111</v>
      </c>
      <c r="I574" s="2" t="str">
        <f>IFERROR(__xludf.DUMMYFUNCTION("GOOGLETRANSLATE(C574,""fr"",""en"")"),"I have not yet been able to take full advantage of your offer, but your website and your responsiveness meet my expectations.
To see later")</f>
        <v>I have not yet been able to take full advantage of your offer, but your website and your responsiveness meet my expectations.
To see later</v>
      </c>
    </row>
    <row r="575" ht="15.75" customHeight="1">
      <c r="A575" s="2">
        <v>5.0</v>
      </c>
      <c r="B575" s="2" t="s">
        <v>1673</v>
      </c>
      <c r="C575" s="2" t="s">
        <v>1674</v>
      </c>
      <c r="D575" s="2" t="s">
        <v>80</v>
      </c>
      <c r="E575" s="2" t="s">
        <v>81</v>
      </c>
      <c r="F575" s="2" t="s">
        <v>15</v>
      </c>
      <c r="G575" s="2" t="s">
        <v>654</v>
      </c>
      <c r="H575" s="2" t="s">
        <v>83</v>
      </c>
      <c r="I575" s="2" t="str">
        <f>IFERROR(__xludf.DUMMYFUNCTION("GOOGLETRANSLATE(C575,""fr"",""en"")"),"I am satisfied with the price and the speed of the service received. I am even thinking of spreading your ad to everyone I know, so that they can see that you have affordable and interesting prices. ")</f>
        <v>I am satisfied with the price and the speed of the service received. I am even thinking of spreading your ad to everyone I know, so that they can see that you have affordable and interesting prices. </v>
      </c>
    </row>
    <row r="576" ht="15.75" customHeight="1">
      <c r="A576" s="2">
        <v>1.0</v>
      </c>
      <c r="B576" s="2" t="s">
        <v>1675</v>
      </c>
      <c r="C576" s="2" t="s">
        <v>1676</v>
      </c>
      <c r="D576" s="2" t="s">
        <v>530</v>
      </c>
      <c r="E576" s="2" t="s">
        <v>39</v>
      </c>
      <c r="F576" s="2" t="s">
        <v>15</v>
      </c>
      <c r="G576" s="2" t="s">
        <v>494</v>
      </c>
      <c r="H576" s="2" t="s">
        <v>83</v>
      </c>
      <c r="I576" s="2" t="str">
        <f>IFERROR(__xludf.DUMMYFUNCTION("GOOGLETRANSLATE(C576,""fr"",""en"")"),"2016 MGP membership before retirement. I knew MGP was expensive but it manages our AMELI accounts so it seemed logical to me. On May 3, 2021 I submit a sickness form + invoice for my daughter's glasses (part of the 100% health offer). To date, the MGP, wh"&amp;"ich has still not reimbursed, has lost the sickness form but received the invoice... The advisor recommended that I, to save time, request a duplicate and return it myself.
Conclusion: I cancel")</f>
        <v>2016 MGP membership before retirement. I knew MGP was expensive but it manages our AMELI accounts so it seemed logical to me. On May 3, 2021 I submit a sickness form + invoice for my daughter's glasses (part of the 100% health offer). To date, the MGP, which has still not reimbursed, has lost the sickness form but received the invoice... The advisor recommended that I, to save time, request a duplicate and return it myself.
Conclusion: I cancel</v>
      </c>
    </row>
    <row r="577" ht="15.75" customHeight="1">
      <c r="A577" s="2">
        <v>1.0</v>
      </c>
      <c r="B577" s="2" t="s">
        <v>1677</v>
      </c>
      <c r="C577" s="2" t="s">
        <v>1678</v>
      </c>
      <c r="D577" s="2" t="s">
        <v>322</v>
      </c>
      <c r="E577" s="2" t="s">
        <v>14</v>
      </c>
      <c r="F577" s="2" t="s">
        <v>15</v>
      </c>
      <c r="G577" s="2" t="s">
        <v>1679</v>
      </c>
      <c r="H577" s="2" t="s">
        <v>448</v>
      </c>
      <c r="I577" s="2" t="str">
        <f>IFERROR(__xludf.DUMMYFUNCTION("GOOGLETRANSLATE(C577,""fr"",""en"")"),"hello to you,
if I had known that I would have so many problems with car insurance!!!
sometimes to make attractive savings we would do better to think!!
do not sign a quote because you are committed!!
I lost more than 300 euros!!
without being insured (ne"&amp;"ver a green card)")</f>
        <v>hello to you,
if I had known that I would have so many problems with car insurance!!!
sometimes to make attractive savings we would do better to think!!
do not sign a quote because you are committed!!
I lost more than 300 euros!!
without being insured (never a green card)</v>
      </c>
    </row>
    <row r="578" ht="15.75" customHeight="1">
      <c r="A578" s="2">
        <v>2.0</v>
      </c>
      <c r="B578" s="2" t="s">
        <v>1680</v>
      </c>
      <c r="C578" s="2" t="s">
        <v>1681</v>
      </c>
      <c r="D578" s="2" t="s">
        <v>80</v>
      </c>
      <c r="E578" s="2" t="s">
        <v>81</v>
      </c>
      <c r="F578" s="2" t="s">
        <v>15</v>
      </c>
      <c r="G578" s="2" t="s">
        <v>1682</v>
      </c>
      <c r="H578" s="2" t="s">
        <v>41</v>
      </c>
      <c r="I578" s="2" t="str">
        <f>IFERROR(__xludf.DUMMYFUNCTION("GOOGLETRANSLATE(C578,""fr"",""en"")"),"my insurer demands the premium from me, has me sued by collection companies and bailiffs, even though it is taken by him and duly paid, how can I get rid of these incompetent people?")</f>
        <v>my insurer demands the premium from me, has me sued by collection companies and bailiffs, even though it is taken by him and duly paid, how can I get rid of these incompetent people?</v>
      </c>
    </row>
    <row r="579" ht="15.75" customHeight="1">
      <c r="A579" s="2">
        <v>1.0</v>
      </c>
      <c r="B579" s="2" t="s">
        <v>1683</v>
      </c>
      <c r="C579" s="2" t="s">
        <v>1684</v>
      </c>
      <c r="D579" s="2" t="s">
        <v>281</v>
      </c>
      <c r="E579" s="2" t="s">
        <v>39</v>
      </c>
      <c r="F579" s="2" t="s">
        <v>15</v>
      </c>
      <c r="G579" s="2" t="s">
        <v>1685</v>
      </c>
      <c r="H579" s="2" t="s">
        <v>41</v>
      </c>
      <c r="I579" s="2" t="str">
        <f>IFERROR(__xludf.DUMMYFUNCTION("GOOGLETRANSLATE(C579,""fr"",""en"")"),"To flee!!!!!!!!!!!!!!!!!!!!!!!!!!!!!!!!!!!!!!!!!!!!!!!!!!! !!!!!!!!!!!!!!!!!!!!!!!!!!!!!!!!!!!!!!!!!!!!!!!!!!!! !!!!!!!!!!!!!!!!!!!!!!!!!!!!!!!!!!!!!!!!!!!!!!!!!!!! !!!!!!!!!!!!!!!!!!!!!!!!!!!!!!!!!!!!!!!!!!!!!!!!!!!! !!")</f>
        <v>To flee!!!!!!!!!!!!!!!!!!!!!!!!!!!!!!!!!!!!!!!!!!!!!!!!!!! !!!!!!!!!!!!!!!!!!!!!!!!!!!!!!!!!!!!!!!!!!!!!!!!!!!! !!!!!!!!!!!!!!!!!!!!!!!!!!!!!!!!!!!!!!!!!!!!!!!!!!!! !!!!!!!!!!!!!!!!!!!!!!!!!!!!!!!!!!!!!!!!!!!!!!!!!!!! !!</v>
      </c>
    </row>
    <row r="580" ht="15.75" customHeight="1">
      <c r="A580" s="2">
        <v>1.0</v>
      </c>
      <c r="B580" s="2" t="s">
        <v>1686</v>
      </c>
      <c r="C580" s="2" t="s">
        <v>1687</v>
      </c>
      <c r="D580" s="2" t="s">
        <v>326</v>
      </c>
      <c r="E580" s="2" t="s">
        <v>61</v>
      </c>
      <c r="F580" s="2" t="s">
        <v>15</v>
      </c>
      <c r="G580" s="2" t="s">
        <v>1688</v>
      </c>
      <c r="H580" s="2" t="s">
        <v>347</v>
      </c>
      <c r="I580" s="2" t="str">
        <f>IFERROR(__xludf.DUMMYFUNCTION("GOOGLETRANSLATE(C580,""fr"",""en"")"),"Lack of transparency when signing contracts which are difficult to consult except on a tablet and when signing + lack of seriousness in terms of managed management
Actual information received only with the membership certificate received 15 days after sig"&amp;"nature")</f>
        <v>Lack of transparency when signing contracts which are difficult to consult except on a tablet and when signing + lack of seriousness in terms of managed management
Actual information received only with the membership certificate received 15 days after signature</v>
      </c>
    </row>
    <row r="581" ht="15.75" customHeight="1">
      <c r="A581" s="2">
        <v>3.0</v>
      </c>
      <c r="B581" s="2" t="s">
        <v>1689</v>
      </c>
      <c r="C581" s="2" t="s">
        <v>1690</v>
      </c>
      <c r="D581" s="2" t="s">
        <v>65</v>
      </c>
      <c r="E581" s="2" t="s">
        <v>14</v>
      </c>
      <c r="F581" s="2" t="s">
        <v>15</v>
      </c>
      <c r="G581" s="2" t="s">
        <v>1691</v>
      </c>
      <c r="H581" s="2" t="s">
        <v>256</v>
      </c>
      <c r="I581" s="2" t="str">
        <f>IFERROR(__xludf.DUMMYFUNCTION("GOOGLETRANSLATE(C581,""fr"",""en"")"),"Rats: because I had not had a car for 7 years and therefore no longer had insurance, the ALLIANZ salesperson told me that he was not only going to put me at the ""Increased rate for new young drivers"" (so very expensive...) and this despite my 35 years o"&amp;"f license without any responsible accident, without suspension of license, nor any problem, but in addition to the fact that I had not driven according to him for 7 years (despite the fact that I rent vans and a car during the holidays on a private basis)"&amp;" he told me that he was going to add an additional 25% surcharge on the ""young driver rate"" this despite the fact that I have had my license for 35 years, that I am considerate and that I drive seriously and without any problems. Rats who only think abo"&amp;"ut making numbers and financial returns, they literally trample on and despise their customers... ")</f>
        <v>Rats: because I had not had a car for 7 years and therefore no longer had insurance, the ALLIANZ salesperson told me that he was not only going to put me at the "Increased rate for new young drivers" (so very expensive...) and this despite my 35 years of license without any responsible accident, without suspension of license, nor any problem, but in addition to the fact that I had not driven according to him for 7 years (despite the fact that I rent vans and a car during the holidays on a private basis) he told me that he was going to add an additional 25% surcharge on the "young driver rate" this despite the fact that I have had my license for 35 years, that I am considerate and that I drive seriously and without any problems. Rats who only think about making numbers and financial returns, they literally trample on and despise their customers... </v>
      </c>
    </row>
    <row r="582" ht="15.75" customHeight="1">
      <c r="A582" s="2">
        <v>1.0</v>
      </c>
      <c r="B582" s="2" t="s">
        <v>1692</v>
      </c>
      <c r="C582" s="2" t="s">
        <v>1693</v>
      </c>
      <c r="D582" s="2" t="s">
        <v>80</v>
      </c>
      <c r="E582" s="2" t="s">
        <v>81</v>
      </c>
      <c r="F582" s="2" t="s">
        <v>15</v>
      </c>
      <c r="G582" s="2" t="s">
        <v>1694</v>
      </c>
      <c r="H582" s="2" t="s">
        <v>139</v>
      </c>
      <c r="I582" s="2" t="str">
        <f>IFERROR(__xludf.DUMMYFUNCTION("GOOGLETRANSLATE(C582,""fr"",""en"")"),"Attention total disorganization, 4 months of waiting unable to dispatch an expert correctly. When I call my file doesn't move forward, they don't know anything, the documents are lost, you have to get angry to win your case. The comments are fake, avoid t"&amp;"his service, the competition is much better. ")</f>
        <v>Attention total disorganization, 4 months of waiting unable to dispatch an expert correctly. When I call my file doesn't move forward, they don't know anything, the documents are lost, you have to get angry to win your case. The comments are fake, avoid this service, the competition is much better. </v>
      </c>
    </row>
    <row r="583" ht="15.75" customHeight="1">
      <c r="A583" s="2">
        <v>4.0</v>
      </c>
      <c r="B583" s="2" t="s">
        <v>1695</v>
      </c>
      <c r="C583" s="2" t="s">
        <v>1696</v>
      </c>
      <c r="D583" s="2" t="s">
        <v>530</v>
      </c>
      <c r="E583" s="2" t="s">
        <v>39</v>
      </c>
      <c r="F583" s="2" t="s">
        <v>15</v>
      </c>
      <c r="G583" s="2" t="s">
        <v>462</v>
      </c>
      <c r="H583" s="2" t="s">
        <v>25</v>
      </c>
      <c r="I583" s="2" t="str">
        <f>IFERROR(__xludf.DUMMYFUNCTION("GOOGLETRANSLATE(C583,""fr"",""en"")"),"Very good mutual insurance, always available with a downside on phone calls a little long on waiting but the advisors are very professional ")</f>
        <v>Very good mutual insurance, always available with a downside on phone calls a little long on waiting but the advisors are very professional </v>
      </c>
    </row>
    <row r="584" ht="15.75" customHeight="1">
      <c r="A584" s="2">
        <v>2.0</v>
      </c>
      <c r="B584" s="2" t="s">
        <v>1697</v>
      </c>
      <c r="C584" s="2" t="s">
        <v>1698</v>
      </c>
      <c r="D584" s="2" t="s">
        <v>33</v>
      </c>
      <c r="E584" s="2" t="s">
        <v>14</v>
      </c>
      <c r="F584" s="2" t="s">
        <v>15</v>
      </c>
      <c r="G584" s="2" t="s">
        <v>918</v>
      </c>
      <c r="H584" s="2" t="s">
        <v>17</v>
      </c>
      <c r="I584" s="2" t="str">
        <f>IFERROR(__xludf.DUMMYFUNCTION("GOOGLETRANSLATE(C584,""fr"",""en"")"),"My son had 3 claims, 2 not responsible and 1 50/50 when we thought he would not be responsible (otherwise we would not have used the insurance given the low costs) we were not kept informed that it was our surprise when we wanted to insure a new car we le"&amp;"arned that it was going to be reduced and that they no longer insure it. Impossible to get a manager on the phone, we are simply told to change insurance or go through Matmut nco, which is horribly expensive. Knowing that we have all our contracts with th"&amp;"em for years (all insurances combined, even mutual insurance for me and my three children) in fact as long as we have nothing everything is fine and at the slightest problem we are thrown out. So I'm going to take everything off and go to another insuranc"&amp;"e company, taken by surprise, they don't give us a choice since today I called them one last time to ask them if I had several claims beyond my control or I was not responsible would they do the same to me I could potentially be fired they told me yes (In"&amp;"credible!!!!!!) I am disgusted ")</f>
        <v>My son had 3 claims, 2 not responsible and 1 50/50 when we thought he would not be responsible (otherwise we would not have used the insurance given the low costs) we were not kept informed that it was our surprise when we wanted to insure a new car we learned that it was going to be reduced and that they no longer insure it. Impossible to get a manager on the phone, we are simply told to change insurance or go through Matmut nco, which is horribly expensive. Knowing that we have all our contracts with them for years (all insurances combined, even mutual insurance for me and my three children) in fact as long as we have nothing everything is fine and at the slightest problem we are thrown out. So I'm going to take everything off and go to another insurance company, taken by surprise, they don't give us a choice since today I called them one last time to ask them if I had several claims beyond my control or I was not responsible would they do the same to me I could potentially be fired they told me yes (Incredible!!!!!!) I am disgusted </v>
      </c>
    </row>
    <row r="585" ht="15.75" customHeight="1">
      <c r="A585" s="2">
        <v>2.0</v>
      </c>
      <c r="B585" s="2" t="s">
        <v>1699</v>
      </c>
      <c r="C585" s="2" t="s">
        <v>1700</v>
      </c>
      <c r="D585" s="2" t="s">
        <v>190</v>
      </c>
      <c r="E585" s="2" t="s">
        <v>14</v>
      </c>
      <c r="F585" s="2" t="s">
        <v>15</v>
      </c>
      <c r="G585" s="2" t="s">
        <v>1701</v>
      </c>
      <c r="H585" s="2" t="s">
        <v>133</v>
      </c>
      <c r="I585" s="2" t="str">
        <f>IFERROR(__xludf.DUMMYFUNCTION("GOOGLETRANSLATE(C585,""fr"",""en"")"),"after 41 years of insurance for all my contracts I was canceled following 3 broken windows in the garage of my building; although these were acts of vandalism on all the vehicles I was considered a person at risk and removed without taking into account my"&amp;" seniority  ")</f>
        <v>after 41 years of insurance for all my contracts I was canceled following 3 broken windows in the garage of my building; although these were acts of vandalism on all the vehicles I was considered a person at risk and removed without taking into account my seniority  </v>
      </c>
    </row>
    <row r="586" ht="15.75" customHeight="1">
      <c r="A586" s="2">
        <v>3.0</v>
      </c>
      <c r="B586" s="2" t="s">
        <v>1702</v>
      </c>
      <c r="C586" s="2" t="s">
        <v>1703</v>
      </c>
      <c r="D586" s="2" t="s">
        <v>303</v>
      </c>
      <c r="E586" s="2" t="s">
        <v>129</v>
      </c>
      <c r="F586" s="2" t="s">
        <v>15</v>
      </c>
      <c r="G586" s="2" t="s">
        <v>1290</v>
      </c>
      <c r="H586" s="2" t="s">
        <v>181</v>
      </c>
      <c r="I586" s="2" t="str">
        <f>IFERROR(__xludf.DUMMYFUNCTION("GOOGLETRANSLATE(C586,""fr"",""en"")"),"More than 30 years at the macif few claims declared in October following bad weather in our village which was recognized as a natural disaster by prefectural decree we had the visit of an expert who noted the damage walls garden appliances destroyed chain"&amp;"saw picks up tele plasma hedge cutting leaf
Following this bad weather we have leaks at the request of the insurance we made an estimate concerning our roof where the roofer stipulates that the damage occurred following bad weather, but here is the expert"&amp;" and Macif refuses us to take into account responsible for the work stipulating to us that it was not due to bad weather And this damage is on part of our most recent roof, and that these leaks did indeed occur following bad weather, otherwise we would ha"&amp;"ve declared a disaster every time it rained 
In addition the sum allocated by our devices which is more than derisory will be released to us only for the repair of the roof, we contested and Macif told me to call your own expert, of course at our expense "&amp;"what is the point of pay insurance 
I am going to end all contracts at Macif, no dialogue and an expert who orally announces to me a certain amount which is obviously not the same as on paper
We have another claim concerning a collapsing wall involving th"&amp;"e developer who touched our foundations during the asphalting of our path, they have to wait for the wall to fall on people 
A shame, I'm scandalized, flee the Macif, as long as you don't have problems everything is fine but at the first disaster it quick"&amp;"ly becomes hell 
")</f>
        <v>More than 30 years at the macif few claims declared in October following bad weather in our village which was recognized as a natural disaster by prefectural decree we had the visit of an expert who noted the damage walls garden appliances destroyed chainsaw picks up tele plasma hedge cutting leaf
Following this bad weather we have leaks at the request of the insurance we made an estimate concerning our roof where the roofer stipulates that the damage occurred following bad weather, but here is the expert and Macif refuses us to take into account responsible for the work stipulating to us that it was not due to bad weather And this damage is on part of our most recent roof, and that these leaks did indeed occur following bad weather, otherwise we would have declared a disaster every time it rained 
In addition the sum allocated by our devices which is more than derisory will be released to us only for the repair of the roof, we contested and Macif told me to call your own expert, of course at our expense what is the point of pay insurance 
I am going to end all contracts at Macif, no dialogue and an expert who orally announces to me a certain amount which is obviously not the same as on paper
We have another claim concerning a collapsing wall involving the developer who touched our foundations during the asphalting of our path, they have to wait for the wall to fall on people 
A shame, I'm scandalized, flee the Macif, as long as you don't have problems everything is fine but at the first disaster it quickly becomes hell 
</v>
      </c>
    </row>
    <row r="587" ht="15.75" customHeight="1">
      <c r="A587" s="2">
        <v>3.0</v>
      </c>
      <c r="B587" s="2" t="s">
        <v>1704</v>
      </c>
      <c r="C587" s="2" t="s">
        <v>1705</v>
      </c>
      <c r="D587" s="2" t="s">
        <v>13</v>
      </c>
      <c r="E587" s="2" t="s">
        <v>14</v>
      </c>
      <c r="F587" s="2" t="s">
        <v>15</v>
      </c>
      <c r="G587" s="2" t="s">
        <v>754</v>
      </c>
      <c r="H587" s="2" t="s">
        <v>30</v>
      </c>
      <c r="I587" s="2" t="str">
        <f>IFERROR(__xludf.DUMMYFUNCTION("GOOGLETRANSLATE(C587,""fr"",""en"")"),"the prices are starting to not be very attractive!!! It's a shame because since I have been insured with you not a single commercial gesture, next year I risk calling on other insurers!")</f>
        <v>the prices are starting to not be very attractive!!! It's a shame because since I have been insured with you not a single commercial gesture, next year I risk calling on other insurers!</v>
      </c>
    </row>
    <row r="588" ht="15.75" customHeight="1">
      <c r="A588" s="2">
        <v>5.0</v>
      </c>
      <c r="B588" s="2" t="s">
        <v>1706</v>
      </c>
      <c r="C588" s="2" t="s">
        <v>1707</v>
      </c>
      <c r="D588" s="2" t="s">
        <v>13</v>
      </c>
      <c r="E588" s="2" t="s">
        <v>14</v>
      </c>
      <c r="F588" s="2" t="s">
        <v>15</v>
      </c>
      <c r="G588" s="2" t="s">
        <v>111</v>
      </c>
      <c r="H588" s="2" t="s">
        <v>111</v>
      </c>
      <c r="I588" s="2" t="str">
        <f>IFERROR(__xludf.DUMMYFUNCTION("GOOGLETRANSLATE(C588,""fr"",""en"")"),"I am satisfied the price suits me perfectly I think you can give me the best price for my Mercedes thank you very much for your speed ")</f>
        <v>I am satisfied the price suits me perfectly I think you can give me the best price for my Mercedes thank you very much for your speed </v>
      </c>
    </row>
    <row r="589" ht="15.75" customHeight="1">
      <c r="A589" s="2">
        <v>3.0</v>
      </c>
      <c r="B589" s="2" t="s">
        <v>1708</v>
      </c>
      <c r="C589" s="2" t="s">
        <v>1709</v>
      </c>
      <c r="D589" s="2" t="s">
        <v>303</v>
      </c>
      <c r="E589" s="2" t="s">
        <v>81</v>
      </c>
      <c r="F589" s="2" t="s">
        <v>15</v>
      </c>
      <c r="G589" s="2" t="s">
        <v>1710</v>
      </c>
      <c r="H589" s="2" t="s">
        <v>224</v>
      </c>
      <c r="I589" s="2" t="str">
        <f>IFERROR(__xludf.DUMMYFUNCTION("GOOGLETRANSLATE(C589,""fr"",""en"")"),"Ineligible, customer for 17 years with this company, perfect settlement, no claims, neither by car nor by motorcycle.
I ask this company to insure a small 125 motorcycle, telling them that I have just repaired it and that to sell it, I would like to insur"&amp;"e it but I also specify that I am selling it because its power is too low for me, I I had a new 1000 insured with them until the end of 2015, no claims of course.
I also point out that the sale of this vehicle is also made to purchase a larger engine capa"&amp;"city which of course will be guaranteed to last.
Well, they consider this contract to be a provisional contract and refuse to insure me.
so what can I say, if customers who have 17 years of contributions without worries and without claims are refused insu"&amp;"rance, where is the trust and service of this company?
So I think the best solution is to take your time and look elsewhere for a more understanding and commercial insurer or I would move my current Macif contracts.
")</f>
        <v>Ineligible, customer for 17 years with this company, perfect settlement, no claims, neither by car nor by motorcycle.
I ask this company to insure a small 125 motorcycle, telling them that I have just repaired it and that to sell it, I would like to insure it but I also specify that I am selling it because its power is too low for me, I I had a new 1000 insured with them until the end of 2015, no claims of course.
I also point out that the sale of this vehicle is also made to purchase a larger engine capacity which of course will be guaranteed to last.
Well, they consider this contract to be a provisional contract and refuse to insure me.
so what can I say, if customers who have 17 years of contributions without worries and without claims are refused insurance, where is the trust and service of this company?
So I think the best solution is to take your time and look elsewhere for a more understanding and commercial insurer or I would move my current Macif contracts.
</v>
      </c>
    </row>
    <row r="590" ht="15.75" customHeight="1">
      <c r="A590" s="2">
        <v>1.0</v>
      </c>
      <c r="B590" s="2" t="s">
        <v>1711</v>
      </c>
      <c r="C590" s="2" t="s">
        <v>1712</v>
      </c>
      <c r="D590" s="2" t="s">
        <v>65</v>
      </c>
      <c r="E590" s="2" t="s">
        <v>61</v>
      </c>
      <c r="F590" s="2" t="s">
        <v>15</v>
      </c>
      <c r="G590" s="2" t="s">
        <v>1713</v>
      </c>
      <c r="H590" s="2" t="s">
        <v>216</v>
      </c>
      <c r="I590" s="2" t="str">
        <f>IFERROR(__xludf.DUMMYFUNCTION("GOOGLETRANSLATE(C590,""fr"",""en"")"),"Bank to flee!!!
My life insurance taken out with Allianz caused me to lose 2% of my capital. It was supposedly a ""defensive"" CAP30 product whose yield was estimated at 2% except that it is the opposite, it is a yield of -2%! Thank you for the good advic"&amp;"e before subscription and thank you to the group of traders who seem totally incompetent to me... I am waiting for February to close this big one..... and recover my marbles.")</f>
        <v>Bank to flee!!!
My life insurance taken out with Allianz caused me to lose 2% of my capital. It was supposedly a "defensive" CAP30 product whose yield was estimated at 2% except that it is the opposite, it is a yield of -2%! Thank you for the good advice before subscription and thank you to the group of traders who seem totally incompetent to me... I am waiting for February to close this big one..... and recover my marbles.</v>
      </c>
    </row>
    <row r="591" ht="15.75" customHeight="1">
      <c r="A591" s="2">
        <v>4.0</v>
      </c>
      <c r="B591" s="2" t="s">
        <v>1714</v>
      </c>
      <c r="C591" s="2" t="s">
        <v>1715</v>
      </c>
      <c r="D591" s="2" t="s">
        <v>28</v>
      </c>
      <c r="E591" s="2" t="s">
        <v>14</v>
      </c>
      <c r="F591" s="2" t="s">
        <v>15</v>
      </c>
      <c r="G591" s="2" t="s">
        <v>1716</v>
      </c>
      <c r="H591" s="2" t="s">
        <v>83</v>
      </c>
      <c r="I591" s="2" t="str">
        <f>IFERROR(__xludf.DUMMYFUNCTION("GOOGLETRANSLATE(C591,""fr"",""en"")"),"So far I am very satisfied, I was advised and informed very quickly and very efficiently, I see no fault at the moment.")</f>
        <v>So far I am very satisfied, I was advised and informed very quickly and very efficiently, I see no fault at the moment.</v>
      </c>
    </row>
    <row r="592" ht="15.75" customHeight="1">
      <c r="A592" s="2">
        <v>1.0</v>
      </c>
      <c r="B592" s="2" t="s">
        <v>1717</v>
      </c>
      <c r="C592" s="2" t="s">
        <v>1718</v>
      </c>
      <c r="D592" s="2" t="s">
        <v>281</v>
      </c>
      <c r="E592" s="2" t="s">
        <v>39</v>
      </c>
      <c r="F592" s="2" t="s">
        <v>15</v>
      </c>
      <c r="G592" s="2" t="s">
        <v>1719</v>
      </c>
      <c r="H592" s="2" t="s">
        <v>1720</v>
      </c>
      <c r="I592" s="2" t="str">
        <f>IFERROR(__xludf.DUMMYFUNCTION("GOOGLETRANSLATE(C592,""fr"",""en"")"),"+ 17% for 2017 contributions compared to 2016!
This was already the case the previous year with + 17% from 2015 to 2016, it's scandalous.
Consequently we had to take a formula which costs less and therefore is less well reimbursed! and it will be the same"&amp;" in the coming weeks")</f>
        <v>+ 17% for 2017 contributions compared to 2016!
This was already the case the previous year with + 17% from 2015 to 2016, it's scandalous.
Consequently we had to take a formula which costs less and therefore is less well reimbursed! and it will be the same in the coming weeks</v>
      </c>
    </row>
    <row r="593" ht="15.75" customHeight="1">
      <c r="A593" s="2">
        <v>1.0</v>
      </c>
      <c r="B593" s="2" t="s">
        <v>1721</v>
      </c>
      <c r="C593" s="2" t="s">
        <v>1722</v>
      </c>
      <c r="D593" s="2" t="s">
        <v>197</v>
      </c>
      <c r="E593" s="2" t="s">
        <v>81</v>
      </c>
      <c r="F593" s="2" t="s">
        <v>15</v>
      </c>
      <c r="G593" s="2" t="s">
        <v>164</v>
      </c>
      <c r="H593" s="2" t="s">
        <v>30</v>
      </c>
      <c r="I593" s="2" t="str">
        <f>IFERROR(__xludf.DUMMYFUNCTION("GOOGLETRANSLATE(C593,""fr"",""en"")"),"I am trying to withdraw within 14 days for a sale via the internet for a motorcycle insurance contract that I no longer want because you played a trick on me by raising the price compared to the initial quote due to an incident dating back 30 months. We w"&amp;"ill be able to use my legal protection. Deplorable communication question, impossible to get a human on the phone. Avoid this insurance at all costs. ")</f>
        <v>I am trying to withdraw within 14 days for a sale via the internet for a motorcycle insurance contract that I no longer want because you played a trick on me by raising the price compared to the initial quote due to an incident dating back 30 months. We will be able to use my legal protection. Deplorable communication question, impossible to get a human on the phone. Avoid this insurance at all costs. </v>
      </c>
    </row>
    <row r="594" ht="15.75" customHeight="1">
      <c r="A594" s="2">
        <v>1.0</v>
      </c>
      <c r="B594" s="2" t="s">
        <v>1723</v>
      </c>
      <c r="C594" s="2" t="s">
        <v>1724</v>
      </c>
      <c r="D594" s="2" t="s">
        <v>65</v>
      </c>
      <c r="E594" s="2" t="s">
        <v>129</v>
      </c>
      <c r="F594" s="2" t="s">
        <v>15</v>
      </c>
      <c r="G594" s="2" t="s">
        <v>1230</v>
      </c>
      <c r="H594" s="2" t="s">
        <v>21</v>
      </c>
      <c r="I594" s="2" t="str">
        <f>IFERROR(__xludf.DUMMYFUNCTION("GOOGLETRANSLATE(C594,""fr"",""en"")"),"After more than 25 years of contributions without any damage, we had a small incident during our move and damaged the stairwell of our building.
Even though the amount at stake is not significant, ALLIANZ discarded for a completely illegitimate reason, it"&amp;"s refusal of guarantee being perfectly questionable, which was confirmed to us by our broker himself!
This positioning of ALLIANZ is UNACCEPTABLE and contributes, if necessary, to the bad reputation of insurers.")</f>
        <v>After more than 25 years of contributions without any damage, we had a small incident during our move and damaged the stairwell of our building.
Even though the amount at stake is not significant, ALLIANZ discarded for a completely illegitimate reason, its refusal of guarantee being perfectly questionable, which was confirmed to us by our broker himself!
This positioning of ALLIANZ is UNACCEPTABLE and contributes, if necessary, to the bad reputation of insurers.</v>
      </c>
    </row>
    <row r="595" ht="15.75" customHeight="1">
      <c r="A595" s="2">
        <v>5.0</v>
      </c>
      <c r="B595" s="2" t="s">
        <v>1725</v>
      </c>
      <c r="C595" s="2" t="s">
        <v>1726</v>
      </c>
      <c r="D595" s="2" t="s">
        <v>1727</v>
      </c>
      <c r="E595" s="2" t="s">
        <v>101</v>
      </c>
      <c r="F595" s="2" t="s">
        <v>15</v>
      </c>
      <c r="G595" s="2" t="s">
        <v>1728</v>
      </c>
      <c r="H595" s="2" t="s">
        <v>389</v>
      </c>
      <c r="I595" s="2" t="str">
        <f>IFERROR(__xludf.DUMMYFUNCTION("GOOGLETRANSLATE(C595,""fr"",""en"")"),"Very happy with the service offered. The advisor I had was friendly and professional. I was able to quickly change my insurance, without any problems. I recommend.")</f>
        <v>Very happy with the service offered. The advisor I had was friendly and professional. I was able to quickly change my insurance, without any problems. I recommend.</v>
      </c>
    </row>
    <row r="596" ht="15.75" customHeight="1">
      <c r="A596" s="2">
        <v>4.0</v>
      </c>
      <c r="B596" s="2" t="s">
        <v>1729</v>
      </c>
      <c r="C596" s="2" t="s">
        <v>1730</v>
      </c>
      <c r="D596" s="2" t="s">
        <v>28</v>
      </c>
      <c r="E596" s="2" t="s">
        <v>14</v>
      </c>
      <c r="F596" s="2" t="s">
        <v>15</v>
      </c>
      <c r="G596" s="2" t="s">
        <v>212</v>
      </c>
      <c r="H596" s="2" t="s">
        <v>30</v>
      </c>
      <c r="I596" s="2" t="str">
        <f>IFERROR(__xludf.DUMMYFUNCTION("GOOGLETRANSLATE(C596,""fr"",""en"")"),"Taken a student compared to some designed, but I am already a customer and prefer to keep my vehicles with the same insurer. So I still subscribed to Olivier ")</f>
        <v>Taken a student compared to some designed, but I am already a customer and prefer to keep my vehicles with the same insurer. So I still subscribed to Olivier </v>
      </c>
    </row>
    <row r="597" ht="15.75" customHeight="1">
      <c r="A597" s="2">
        <v>3.0</v>
      </c>
      <c r="B597" s="2" t="s">
        <v>1731</v>
      </c>
      <c r="C597" s="2" t="s">
        <v>1732</v>
      </c>
      <c r="D597" s="2" t="s">
        <v>13</v>
      </c>
      <c r="E597" s="2" t="s">
        <v>14</v>
      </c>
      <c r="F597" s="2" t="s">
        <v>15</v>
      </c>
      <c r="G597" s="2" t="s">
        <v>702</v>
      </c>
      <c r="H597" s="2" t="s">
        <v>286</v>
      </c>
      <c r="I597" s="2" t="str">
        <f>IFERROR(__xludf.DUMMYFUNCTION("GOOGLETRANSLATE(C597,""fr"",""en"")"),"I am satisfied with this service, simple and fast, easy to access. Prices are low and advantageous for young drivers. I recommend for speed. ")</f>
        <v>I am satisfied with this service, simple and fast, easy to access. Prices are low and advantageous for young drivers. I recommend for speed. </v>
      </c>
    </row>
    <row r="598" ht="15.75" customHeight="1">
      <c r="A598" s="2">
        <v>5.0</v>
      </c>
      <c r="B598" s="2" t="s">
        <v>1733</v>
      </c>
      <c r="C598" s="2" t="s">
        <v>1734</v>
      </c>
      <c r="D598" s="2" t="s">
        <v>13</v>
      </c>
      <c r="E598" s="2" t="s">
        <v>14</v>
      </c>
      <c r="F598" s="2" t="s">
        <v>15</v>
      </c>
      <c r="G598" s="2" t="s">
        <v>864</v>
      </c>
      <c r="H598" s="2" t="s">
        <v>248</v>
      </c>
      <c r="I598" s="2" t="str">
        <f>IFERROR(__xludf.DUMMYFUNCTION("GOOGLETRANSLATE(C598,""fr"",""en"")"),"Satisfied customer. The prices are affordable and suit me. I'm happy to be able to find insurance that suits me. I recommend 100%")</f>
        <v>Satisfied customer. The prices are affordable and suit me. I'm happy to be able to find insurance that suits me. I recommend 100%</v>
      </c>
    </row>
    <row r="599" ht="15.75" customHeight="1">
      <c r="A599" s="2">
        <v>4.0</v>
      </c>
      <c r="B599" s="2" t="s">
        <v>1735</v>
      </c>
      <c r="C599" s="2" t="s">
        <v>1736</v>
      </c>
      <c r="D599" s="2" t="s">
        <v>80</v>
      </c>
      <c r="E599" s="2" t="s">
        <v>81</v>
      </c>
      <c r="F599" s="2" t="s">
        <v>15</v>
      </c>
      <c r="G599" s="2" t="s">
        <v>1493</v>
      </c>
      <c r="H599" s="2" t="s">
        <v>71</v>
      </c>
      <c r="I599" s="2" t="str">
        <f>IFERROR(__xludf.DUMMYFUNCTION("GOOGLETRANSLATE(C599,""fr"",""en"")"),"Nothing to complain about the prices and services offered by April Moto. Probably the best value for money on two wheels.
Thanks in advance.")</f>
        <v>Nothing to complain about the prices and services offered by April Moto. Probably the best value for money on two wheels.
Thanks in advance.</v>
      </c>
    </row>
    <row r="600" ht="15.75" customHeight="1">
      <c r="A600" s="2">
        <v>1.0</v>
      </c>
      <c r="B600" s="2" t="s">
        <v>1737</v>
      </c>
      <c r="C600" s="2" t="s">
        <v>1738</v>
      </c>
      <c r="D600" s="2" t="s">
        <v>145</v>
      </c>
      <c r="E600" s="2" t="s">
        <v>14</v>
      </c>
      <c r="F600" s="2" t="s">
        <v>15</v>
      </c>
      <c r="G600" s="2" t="s">
        <v>1739</v>
      </c>
      <c r="H600" s="2" t="s">
        <v>207</v>
      </c>
      <c r="I600" s="2" t="str">
        <f>IFERROR(__xludf.DUMMYFUNCTION("GOOGLETRANSLATE(C600,""fr"",""en"")"),"A shame this for-profit company! the insurer makes you pay for contracts and options, but when you have to do the work of an insurer (not harass a witness, defend your client and assert your rights) they are not there! Following an accident, I had to do t"&amp;"heir work (contacting authorities, witnesses, following up with their staff in different departments, monitoring deadlines) and when they finally recognized non-responsibility, they terminated my employment. for sinister... Whaooo, I can't find words for "&amp;"civilized to describe their conduct and their incompetence! 
For your information, with them a declared windshield impact equals a claim and a reason for termination... a company to flee, less advertising and more insurance work that would be a little bet"&amp;"ter... Since they don't have no shareholders, we can ask ourselves the question where all this money from insurance premiums is going? 
")</f>
        <v>A shame this for-profit company! the insurer makes you pay for contracts and options, but when you have to do the work of an insurer (not harass a witness, defend your client and assert your rights) they are not there! Following an accident, I had to do their work (contacting authorities, witnesses, following up with their staff in different departments, monitoring deadlines) and when they finally recognized non-responsibility, they terminated my employment. for sinister... Whaooo, I can't find words for civilized to describe their conduct and their incompetence! 
For your information, with them a declared windshield impact equals a claim and a reason for termination... a company to flee, less advertising and more insurance work that would be a little better... Since they don't have no shareholders, we can ask ourselves the question where all this money from insurance premiums is going? 
</v>
      </c>
    </row>
    <row r="601" ht="15.75" customHeight="1">
      <c r="A601" s="2">
        <v>2.0</v>
      </c>
      <c r="B601" s="2" t="s">
        <v>1740</v>
      </c>
      <c r="C601" s="2" t="s">
        <v>1741</v>
      </c>
      <c r="D601" s="2" t="s">
        <v>13</v>
      </c>
      <c r="E601" s="2" t="s">
        <v>14</v>
      </c>
      <c r="F601" s="2" t="s">
        <v>15</v>
      </c>
      <c r="G601" s="2" t="s">
        <v>547</v>
      </c>
      <c r="H601" s="2" t="s">
        <v>25</v>
      </c>
      <c r="I601" s="2" t="str">
        <f>IFERROR(__xludf.DUMMYFUNCTION("GOOGLETRANSLATE(C601,""fr"",""en"")"),"the annual rate increases significantly compared to the cost of life and government recommendations.
for the moment, we have not used your services so average opinion")</f>
        <v>the annual rate increases significantly compared to the cost of life and government recommendations.
for the moment, we have not used your services so average opinion</v>
      </c>
    </row>
    <row r="602" ht="15.75" customHeight="1">
      <c r="A602" s="2">
        <v>3.0</v>
      </c>
      <c r="B602" s="2" t="s">
        <v>1742</v>
      </c>
      <c r="C602" s="2" t="s">
        <v>1743</v>
      </c>
      <c r="D602" s="2" t="s">
        <v>13</v>
      </c>
      <c r="E602" s="2" t="s">
        <v>14</v>
      </c>
      <c r="F602" s="2" t="s">
        <v>15</v>
      </c>
      <c r="G602" s="2" t="s">
        <v>1744</v>
      </c>
      <c r="H602" s="2" t="s">
        <v>286</v>
      </c>
      <c r="I602" s="2" t="str">
        <f>IFERROR(__xludf.DUMMYFUNCTION("GOOGLETRANSLATE(C602,""fr"",""en"")"),"The price is expensive. The guarantees are satisfactory. 
You could make a reduction for 1 person who is already a customer.               
                    ")</f>
        <v>The price is expensive. The guarantees are satisfactory. 
You could make a reduction for 1 person who is already a customer.               
                    </v>
      </c>
    </row>
    <row r="603" ht="15.75" customHeight="1">
      <c r="A603" s="2">
        <v>4.0</v>
      </c>
      <c r="B603" s="2" t="s">
        <v>1745</v>
      </c>
      <c r="C603" s="2" t="s">
        <v>1746</v>
      </c>
      <c r="D603" s="2" t="s">
        <v>28</v>
      </c>
      <c r="E603" s="2" t="s">
        <v>14</v>
      </c>
      <c r="F603" s="2" t="s">
        <v>15</v>
      </c>
      <c r="G603" s="2" t="s">
        <v>1747</v>
      </c>
      <c r="H603" s="2" t="s">
        <v>21</v>
      </c>
      <c r="I603" s="2" t="str">
        <f>IFERROR(__xludf.DUMMYFUNCTION("GOOGLETRANSLATE(C603,""fr"",""en"")"),"Good morning 
Thank you to the telephone advisor this morning who advised me to finalize the contract 
My good advice regarding the steps to be taken and the documents to be provided...")</f>
        <v>Good morning 
Thank you to the telephone advisor this morning who advised me to finalize the contract 
My good advice regarding the steps to be taken and the documents to be provided...</v>
      </c>
    </row>
    <row r="604" ht="15.75" customHeight="1">
      <c r="A604" s="2">
        <v>5.0</v>
      </c>
      <c r="B604" s="2" t="s">
        <v>1748</v>
      </c>
      <c r="C604" s="2" t="s">
        <v>1749</v>
      </c>
      <c r="D604" s="2" t="s">
        <v>38</v>
      </c>
      <c r="E604" s="2" t="s">
        <v>39</v>
      </c>
      <c r="F604" s="2" t="s">
        <v>15</v>
      </c>
      <c r="G604" s="2" t="s">
        <v>1750</v>
      </c>
      <c r="H604" s="2" t="s">
        <v>21</v>
      </c>
      <c r="I604" s="2" t="str">
        <f>IFERROR(__xludf.DUMMYFUNCTION("GOOGLETRANSLATE(C604,""fr"",""en"")"),"Néoliane is a very good quality/price/service ratio as long as you have a good broker who takes care of you, which is my case. 
I recommend. ")</f>
        <v>Néoliane is a very good quality/price/service ratio as long as you have a good broker who takes care of you, which is my case. 
I recommend. </v>
      </c>
    </row>
    <row r="605" ht="15.75" customHeight="1">
      <c r="A605" s="2">
        <v>3.0</v>
      </c>
      <c r="B605" s="2" t="s">
        <v>1751</v>
      </c>
      <c r="C605" s="2" t="s">
        <v>1752</v>
      </c>
      <c r="D605" s="2" t="s">
        <v>13</v>
      </c>
      <c r="E605" s="2" t="s">
        <v>14</v>
      </c>
      <c r="F605" s="2" t="s">
        <v>15</v>
      </c>
      <c r="G605" s="2" t="s">
        <v>1753</v>
      </c>
      <c r="H605" s="2" t="s">
        <v>21</v>
      </c>
      <c r="I605" s="2" t="str">
        <f>IFERROR(__xludf.DUMMYFUNCTION("GOOGLETRANSLATE(C605,""fr"",""en"")"),"Expensive and no discount if you insure several cars. It's a shame ! I have yet to have an incident to judge the coverage. (knock on wood). ")</f>
        <v>Expensive and no discount if you insure several cars. It's a shame ! I have yet to have an incident to judge the coverage. (knock on wood). </v>
      </c>
    </row>
    <row r="606" ht="15.75" customHeight="1">
      <c r="A606" s="2">
        <v>1.0</v>
      </c>
      <c r="B606" s="2" t="s">
        <v>1754</v>
      </c>
      <c r="C606" s="2" t="s">
        <v>1755</v>
      </c>
      <c r="D606" s="2" t="s">
        <v>65</v>
      </c>
      <c r="E606" s="2" t="s">
        <v>14</v>
      </c>
      <c r="F606" s="2" t="s">
        <v>15</v>
      </c>
      <c r="G606" s="2" t="s">
        <v>985</v>
      </c>
      <c r="H606" s="2" t="s">
        <v>21</v>
      </c>
      <c r="I606" s="2" t="str">
        <f>IFERROR(__xludf.DUMMYFUNCTION("GOOGLETRANSLATE(C606,""fr"",""en"")"),"Insurance to avoid, in fact I have my exterior blind which on the day of April 16, 2021, broke, I bought it for €3,800 and the repair is €500, no support from Alianz, refusal because that day there was no hail!...
I recommend MACIF where I was before and"&amp;" where I am going to return to help!! all the people who want to be insured with Alianz are preparing to beg!...
RUN WHO CAN")</f>
        <v>Insurance to avoid, in fact I have my exterior blind which on the day of April 16, 2021, broke, I bought it for €3,800 and the repair is €500, no support from Alianz, refusal because that day there was no hail!...
I recommend MACIF where I was before and where I am going to return to help!! all the people who want to be insured with Alianz are preparing to beg!...
RUN WHO CAN</v>
      </c>
    </row>
    <row r="607" ht="15.75" customHeight="1">
      <c r="A607" s="2">
        <v>4.0</v>
      </c>
      <c r="B607" s="2" t="s">
        <v>1756</v>
      </c>
      <c r="C607" s="2" t="s">
        <v>1757</v>
      </c>
      <c r="D607" s="2" t="s">
        <v>28</v>
      </c>
      <c r="E607" s="2" t="s">
        <v>14</v>
      </c>
      <c r="F607" s="2" t="s">
        <v>15</v>
      </c>
      <c r="G607" s="2" t="s">
        <v>149</v>
      </c>
      <c r="H607" s="2" t="s">
        <v>111</v>
      </c>
      <c r="I607" s="2" t="str">
        <f>IFERROR(__xludf.DUMMYFUNCTION("GOOGLETRANSLATE(C607,""fr"",""en"")"),"I am satisfied with the price and hope that the insurance services are of good quality. 
I hope to receive my green card fairly soon.")</f>
        <v>I am satisfied with the price and hope that the insurance services are of good quality. 
I hope to receive my green card fairly soon.</v>
      </c>
    </row>
    <row r="608" ht="15.75" customHeight="1">
      <c r="A608" s="2">
        <v>1.0</v>
      </c>
      <c r="B608" s="2" t="s">
        <v>1758</v>
      </c>
      <c r="C608" s="2" t="s">
        <v>1759</v>
      </c>
      <c r="D608" s="2" t="s">
        <v>695</v>
      </c>
      <c r="E608" s="2" t="s">
        <v>50</v>
      </c>
      <c r="F608" s="2" t="s">
        <v>15</v>
      </c>
      <c r="G608" s="2" t="s">
        <v>1760</v>
      </c>
      <c r="H608" s="2" t="s">
        <v>256</v>
      </c>
      <c r="I608" s="2" t="str">
        <f>IFERROR(__xludf.DUMMYFUNCTION("GOOGLETRANSLATE(C608,""fr"",""en"")"),"TO RUN AWAY!!!!!!!!!!!!!! EVERYTHING IS GOOD NOT TO REFUND! Go on your way, there are much better insurances")</f>
        <v>TO RUN AWAY!!!!!!!!!!!!!! EVERYTHING IS GOOD NOT TO REFUND! Go on your way, there are much better insurances</v>
      </c>
    </row>
    <row r="609" ht="15.75" customHeight="1">
      <c r="A609" s="2">
        <v>1.0</v>
      </c>
      <c r="B609" s="2" t="s">
        <v>1761</v>
      </c>
      <c r="C609" s="2" t="s">
        <v>1762</v>
      </c>
      <c r="D609" s="2" t="s">
        <v>254</v>
      </c>
      <c r="E609" s="2" t="s">
        <v>14</v>
      </c>
      <c r="F609" s="2" t="s">
        <v>15</v>
      </c>
      <c r="G609" s="2" t="s">
        <v>1763</v>
      </c>
      <c r="H609" s="2" t="s">
        <v>46</v>
      </c>
      <c r="I609" s="2" t="str">
        <f>IFERROR(__xludf.DUMMYFUNCTION("GOOGLETRANSLATE(C609,""fr"",""en"")"),"Insurance not recommended to pay you 250 euros per month (Porsche Cayenne) and not able to reimburse you for the theft of my car it was 7 months ago because I had a probe to change I had to pass the technical inspection inspection I did not have due to co"&amp;"nfinement so they don't take me into account thank you maif ")</f>
        <v>Insurance not recommended to pay you 250 euros per month (Porsche Cayenne) and not able to reimburse you for the theft of my car it was 7 months ago because I had a probe to change I had to pass the technical inspection inspection I did not have due to confinement so they don't take me into account thank you maif </v>
      </c>
    </row>
    <row r="610" ht="15.75" customHeight="1">
      <c r="A610" s="2">
        <v>2.0</v>
      </c>
      <c r="B610" s="2" t="s">
        <v>1764</v>
      </c>
      <c r="C610" s="2" t="s">
        <v>1765</v>
      </c>
      <c r="D610" s="2" t="s">
        <v>13</v>
      </c>
      <c r="E610" s="2" t="s">
        <v>14</v>
      </c>
      <c r="F610" s="2" t="s">
        <v>15</v>
      </c>
      <c r="G610" s="2" t="s">
        <v>1766</v>
      </c>
      <c r="H610" s="2" t="s">
        <v>745</v>
      </c>
      <c r="I610" s="2" t="str">
        <f>IFERROR(__xludf.DUMMYFUNCTION("GOOGLETRANSLATE(C610,""fr"",""en"")"),"Insurance for the incompetent. I have been waiting for my reimbursement for over two years for a non-fault accident. It also took me more than 1 year to obtain a situation report..."" don't worry, we'll send it to you tomorrow "" I still haven't had it..."&amp;" In short, avoid it!")</f>
        <v>Insurance for the incompetent. I have been waiting for my reimbursement for over two years for a non-fault accident. It also took me more than 1 year to obtain a situation report..." don't worry, we'll send it to you tomorrow " I still haven't had it... In short, avoid it!</v>
      </c>
    </row>
    <row r="611" ht="15.75" customHeight="1">
      <c r="A611" s="2">
        <v>5.0</v>
      </c>
      <c r="B611" s="2" t="s">
        <v>1767</v>
      </c>
      <c r="C611" s="2" t="s">
        <v>1768</v>
      </c>
      <c r="D611" s="2" t="s">
        <v>28</v>
      </c>
      <c r="E611" s="2" t="s">
        <v>14</v>
      </c>
      <c r="F611" s="2" t="s">
        <v>15</v>
      </c>
      <c r="G611" s="2" t="s">
        <v>790</v>
      </c>
      <c r="H611" s="2" t="s">
        <v>71</v>
      </c>
      <c r="I611" s="2" t="str">
        <f>IFERROR(__xludf.DUMMYFUNCTION("GOOGLETRANSLATE(C611,""fr"",""en"")"),"I am very satisfied with the friendliness of the advisors and their efficiency. Very attractive price. Thank you. I would happily recommend this insurance ")</f>
        <v>I am very satisfied with the friendliness of the advisors and their efficiency. Very attractive price. Thank you. I would happily recommend this insurance </v>
      </c>
    </row>
    <row r="612" ht="15.75" customHeight="1">
      <c r="A612" s="2">
        <v>1.0</v>
      </c>
      <c r="B612" s="2" t="s">
        <v>1769</v>
      </c>
      <c r="C612" s="2" t="s">
        <v>1770</v>
      </c>
      <c r="D612" s="2" t="s">
        <v>254</v>
      </c>
      <c r="E612" s="2" t="s">
        <v>14</v>
      </c>
      <c r="F612" s="2" t="s">
        <v>15</v>
      </c>
      <c r="G612" s="2" t="s">
        <v>462</v>
      </c>
      <c r="H612" s="2" t="s">
        <v>25</v>
      </c>
      <c r="I612" s="2" t="str">
        <f>IFERROR(__xludf.DUMMYFUNCTION("GOOGLETRANSLATE(C612,""fr"",""en"")"),"Good morning,
I was rear-ended on the highway and the vehicle fled.  The MAIF informed me that I was going to receive a penalty because the third party is not identified and I cannot prove that I am not responsible. I think that on the highway you rarely "&amp;"put reverse to hit the car behind you... I read on certain sites that ""Just as for a non-fault accident with an identified third party, if your car was damaged by a driver responsible having fled, you will not be subject to a penalty. » There I find that"&amp;" the MAIF could consider that the fault does not fall on me in any case and not apply a penalty to me. The conversation with an advisor who was not at all conciliatory and unfriendly ended in a categorical and definitive refusal. I am really disappointed "&amp;"by MAIF.
")</f>
        <v>Good morning,
I was rear-ended on the highway and the vehicle fled.  The MAIF informed me that I was going to receive a penalty because the third party is not identified and I cannot prove that I am not responsible. I think that on the highway you rarely put reverse to hit the car behind you... I read on certain sites that "Just as for a non-fault accident with an identified third party, if your car was damaged by a driver responsible having fled, you will not be subject to a penalty. » There I find that the MAIF could consider that the fault does not fall on me in any case and not apply a penalty to me. The conversation with an advisor who was not at all conciliatory and unfriendly ended in a categorical and definitive refusal. I am really disappointed by MAIF.
</v>
      </c>
    </row>
    <row r="613" ht="15.75" customHeight="1">
      <c r="A613" s="2">
        <v>4.0</v>
      </c>
      <c r="B613" s="2" t="s">
        <v>1771</v>
      </c>
      <c r="C613" s="2" t="s">
        <v>1772</v>
      </c>
      <c r="D613" s="2" t="s">
        <v>13</v>
      </c>
      <c r="E613" s="2" t="s">
        <v>14</v>
      </c>
      <c r="F613" s="2" t="s">
        <v>15</v>
      </c>
      <c r="G613" s="2" t="s">
        <v>142</v>
      </c>
      <c r="H613" s="2" t="s">
        <v>111</v>
      </c>
      <c r="I613" s="2" t="str">
        <f>IFERROR(__xludf.DUMMYFUNCTION("GOOGLETRANSLATE(C613,""fr"",""en"")"),"I am satisfied with the price level, moreover, see the reaction time if necessary on their part.
And see the ease of the process in the event of a problem")</f>
        <v>I am satisfied with the price level, moreover, see the reaction time if necessary on their part.
And see the ease of the process in the event of a problem</v>
      </c>
    </row>
    <row r="614" ht="15.75" customHeight="1">
      <c r="A614" s="2">
        <v>3.0</v>
      </c>
      <c r="B614" s="2" t="s">
        <v>1773</v>
      </c>
      <c r="C614" s="2" t="s">
        <v>1774</v>
      </c>
      <c r="D614" s="2" t="s">
        <v>281</v>
      </c>
      <c r="E614" s="2" t="s">
        <v>39</v>
      </c>
      <c r="F614" s="2" t="s">
        <v>15</v>
      </c>
      <c r="G614" s="2" t="s">
        <v>1775</v>
      </c>
      <c r="H614" s="2" t="s">
        <v>442</v>
      </c>
      <c r="I614" s="2" t="str">
        <f>IFERROR(__xludf.DUMMYFUNCTION("GOOGLETRANSLATE(C614,""fr"",""en"")"),"Deplorable full of care not covered while the contribution is very expensive, worst of mutual insurance! No sense of humanity and health. Super expensive mutual insurance and zero guarantees.")</f>
        <v>Deplorable full of care not covered while the contribution is very expensive, worst of mutual insurance! No sense of humanity and health. Super expensive mutual insurance and zero guarantees.</v>
      </c>
    </row>
    <row r="615" ht="15.75" customHeight="1">
      <c r="A615" s="2">
        <v>5.0</v>
      </c>
      <c r="B615" s="2" t="s">
        <v>1776</v>
      </c>
      <c r="C615" s="2" t="s">
        <v>1777</v>
      </c>
      <c r="D615" s="2" t="s">
        <v>197</v>
      </c>
      <c r="E615" s="2" t="s">
        <v>81</v>
      </c>
      <c r="F615" s="2" t="s">
        <v>15</v>
      </c>
      <c r="G615" s="2" t="s">
        <v>1075</v>
      </c>
      <c r="H615" s="2" t="s">
        <v>71</v>
      </c>
      <c r="I615" s="2" t="str">
        <f>IFERROR(__xludf.DUMMYFUNCTION("GOOGLETRANSLATE(C615,""fr"",""en"")"),"Very satisfied with this insurer, I would certainly recommend this insurance and if I had to drive a motorcycle again (not given my age of 79) I would take AMV again. Ease of contact and listening. Thanks AMV;")</f>
        <v>Very satisfied with this insurer, I would certainly recommend this insurance and if I had to drive a motorcycle again (not given my age of 79) I would take AMV again. Ease of contact and listening. Thanks AMV;</v>
      </c>
    </row>
    <row r="616" ht="15.75" customHeight="1">
      <c r="A616" s="2">
        <v>1.0</v>
      </c>
      <c r="B616" s="2" t="s">
        <v>1778</v>
      </c>
      <c r="C616" s="2" t="s">
        <v>1779</v>
      </c>
      <c r="D616" s="2" t="s">
        <v>412</v>
      </c>
      <c r="E616" s="2" t="s">
        <v>39</v>
      </c>
      <c r="F616" s="2" t="s">
        <v>15</v>
      </c>
      <c r="G616" s="2" t="s">
        <v>1780</v>
      </c>
      <c r="H616" s="2" t="s">
        <v>139</v>
      </c>
      <c r="I616" s="2" t="str">
        <f>IFERROR(__xludf.DUMMYFUNCTION("GOOGLETRANSLATE(C616,""fr"",""en"")"),"no customer service, reimbursement in more than 1 month, interest-free website, we wonder how such a mutual fund can exist!!!")</f>
        <v>no customer service, reimbursement in more than 1 month, interest-free website, we wonder how such a mutual fund can exist!!!</v>
      </c>
    </row>
    <row r="617" ht="15.75" customHeight="1">
      <c r="A617" s="2">
        <v>1.0</v>
      </c>
      <c r="B617" s="2" t="s">
        <v>1781</v>
      </c>
      <c r="C617" s="2" t="s">
        <v>1782</v>
      </c>
      <c r="D617" s="2" t="s">
        <v>128</v>
      </c>
      <c r="E617" s="2" t="s">
        <v>14</v>
      </c>
      <c r="F617" s="2" t="s">
        <v>15</v>
      </c>
      <c r="G617" s="2" t="s">
        <v>1783</v>
      </c>
      <c r="H617" s="2" t="s">
        <v>467</v>
      </c>
      <c r="I617" s="2" t="str">
        <f>IFERROR(__xludf.DUMMYFUNCTION("GOOGLETRANSLATE(C617,""fr"",""en"")"),"Insurance to ban and flee, I subscribed to this insurance as an individual after insuring my business, the first contact and perfect an advisor who knows her job made us subscribe, after a year my car was set on fire and then the ordeal begins, interlocut"&amp;"or only by telephone, no human sense, after an undervaluation of my vehicle by the expert I indicate that I refuse the offer and that I wish to have the expert for explanation, the next day I receive an email For sold my vehicle, if I refuse I have to pay"&amp;" 20 incl. tax per day for the safekeeping of the car, I report it to the legal protection of pacifica their answer it is up to you to prove that the vehicle is worth more, out of fear I give up the vehicle, 15 days late and after having transferred the ve"&amp;"hicle I receive the expert report, the mileage and on evaluated proof supporting the invoice, I report it, I am finally taken seriously, the service must call you back tomorrow and of course that has not been done so email and call for almost two months. "&amp;"Needless to say, I took out this insurance because it was much more expensive than the competition, which made me doubt other insurers. I can't wait for all the contracts to leave with me.        ")</f>
        <v>Insurance to ban and flee, I subscribed to this insurance as an individual after insuring my business, the first contact and perfect an advisor who knows her job made us subscribe, after a year my car was set on fire and then the ordeal begins, interlocutor only by telephone, no human sense, after an undervaluation of my vehicle by the expert I indicate that I refuse the offer and that I wish to have the expert for explanation, the next day I receive an email For sold my vehicle, if I refuse I have to pay 20 incl. tax per day for the safekeeping of the car, I report it to the legal protection of pacifica their answer it is up to you to prove that the vehicle is worth more, out of fear I give up the vehicle, 15 days late and after having transferred the vehicle I receive the expert report, the mileage and on evaluated proof supporting the invoice, I report it, I am finally taken seriously, the service must call you back tomorrow and of course that has not been done so email and call for almost two months. Needless to say, I took out this insurance because it was much more expensive than the competition, which made me doubt other insurers. I can't wait for all the contracts to leave with me.        </v>
      </c>
    </row>
    <row r="618" ht="15.75" customHeight="1">
      <c r="A618" s="2">
        <v>1.0</v>
      </c>
      <c r="B618" s="2" t="s">
        <v>1784</v>
      </c>
      <c r="C618" s="2" t="s">
        <v>1785</v>
      </c>
      <c r="D618" s="2" t="s">
        <v>412</v>
      </c>
      <c r="E618" s="2" t="s">
        <v>137</v>
      </c>
      <c r="F618" s="2" t="s">
        <v>15</v>
      </c>
      <c r="G618" s="2" t="s">
        <v>1786</v>
      </c>
      <c r="H618" s="2" t="s">
        <v>1332</v>
      </c>
      <c r="I618" s="2" t="str">
        <f>IFERROR(__xludf.DUMMYFUNCTION("GOOGLETRANSLATE(C618,""fr"",""en"")"),"hello, as far as I am concerned I must say that I am extremely disappointed by this insurance group; my mother, who was a cleaning lady, took out funeral insurance a long time before her death... what was my surprise to find that she had been paying out o"&amp;"f pocket for years without ever having been informed, I really find that shameful. .
I wrote them a letter and they replied that his contract was part of random contracts and therefore that it is a reciprocal agreement whose effects as to the advantages a"&amp;"nd losses, either for all the parties, or for one or several of them depend on an uncertain event. Even if death is an event whose future occurrence is beyond doubt, the date of occurrence of this event establishes the random nature and the qualification "&amp;"of the insurance contract...
I don't really understand what that means!!
Anyway, I don't advise anyone to have anything to do with this company and that they check their contract carefully so as not to pay for nothing! a shame")</f>
        <v>hello, as far as I am concerned I must say that I am extremely disappointed by this insurance group; my mother, who was a cleaning lady, took out funeral insurance a long time before her death... what was my surprise to find that she had been paying out of pocket for years without ever having been informed, I really find that shameful. .
I wrote them a letter and they replied that his contract was part of random contracts and therefore that it is a reciprocal agreement whose effects as to the advantages and losses, either for all the parties, or for one or several of them depend on an uncertain event. Even if death is an event whose future occurrence is beyond doubt, the date of occurrence of this event establishes the random nature and the qualification of the insurance contract...
I don't really understand what that means!!
Anyway, I don't advise anyone to have anything to do with this company and that they check their contract carefully so as not to pay for nothing! a shame</v>
      </c>
    </row>
    <row r="619" ht="15.75" customHeight="1">
      <c r="A619" s="2">
        <v>5.0</v>
      </c>
      <c r="B619" s="2" t="s">
        <v>1787</v>
      </c>
      <c r="C619" s="2" t="s">
        <v>1788</v>
      </c>
      <c r="D619" s="2" t="s">
        <v>664</v>
      </c>
      <c r="E619" s="2" t="s">
        <v>39</v>
      </c>
      <c r="F619" s="2" t="s">
        <v>15</v>
      </c>
      <c r="G619" s="2" t="s">
        <v>1789</v>
      </c>
      <c r="H619" s="2" t="s">
        <v>381</v>
      </c>
      <c r="I619" s="2" t="str">
        <f>IFERROR(__xludf.DUMMYFUNCTION("GOOGLETRANSLATE(C619,""fr"",""en"")"),"I am very satisfied with the Santiane services 
I have been with them for 4 years I highly recommend this comparator
Reimbursements are very quick.")</f>
        <v>I am very satisfied with the Santiane services 
I have been with them for 4 years I highly recommend this comparator
Reimbursements are very quick.</v>
      </c>
    </row>
    <row r="620" ht="15.75" customHeight="1">
      <c r="A620" s="2">
        <v>1.0</v>
      </c>
      <c r="B620" s="2" t="s">
        <v>1790</v>
      </c>
      <c r="C620" s="2" t="s">
        <v>1791</v>
      </c>
      <c r="D620" s="2" t="s">
        <v>13</v>
      </c>
      <c r="E620" s="2" t="s">
        <v>14</v>
      </c>
      <c r="F620" s="2" t="s">
        <v>15</v>
      </c>
      <c r="G620" s="2" t="s">
        <v>1792</v>
      </c>
      <c r="H620" s="2" t="s">
        <v>236</v>
      </c>
      <c r="I620" s="2" t="str">
        <f>IFERROR(__xludf.DUMMYFUNCTION("GOOGLETRANSLATE(C620,""fr"",""en"")"),"In 4 years I have only had one non-fault accident which dates back 1 and a half years. 3 months ago, I had my vehicle destroyed. Today I received an internal (arbitrary) decision from direct assurance which tells me that my contract will be terminated on "&amp;"the anniversary date. However, when I had my vehicle destroyed, I informed an advisor who asked me to send the documents by email. And so following the mail I received today and checking my accounts, it appears that direct insurance continues to quietly u"&amp;"se my account... SCANDALOUS.
I'm calling on a consumer association because this is too much! ")</f>
        <v>In 4 years I have only had one non-fault accident which dates back 1 and a half years. 3 months ago, I had my vehicle destroyed. Today I received an internal (arbitrary) decision from direct assurance which tells me that my contract will be terminated on the anniversary date. However, when I had my vehicle destroyed, I informed an advisor who asked me to send the documents by email. And so following the mail I received today and checking my accounts, it appears that direct insurance continues to quietly use my account... SCANDALOUS.
I'm calling on a consumer association because this is too much! </v>
      </c>
    </row>
    <row r="621" ht="15.75" customHeight="1">
      <c r="A621" s="2">
        <v>5.0</v>
      </c>
      <c r="B621" s="2" t="s">
        <v>1793</v>
      </c>
      <c r="C621" s="2" t="s">
        <v>1794</v>
      </c>
      <c r="D621" s="2" t="s">
        <v>80</v>
      </c>
      <c r="E621" s="2" t="s">
        <v>81</v>
      </c>
      <c r="F621" s="2" t="s">
        <v>15</v>
      </c>
      <c r="G621" s="2" t="s">
        <v>1795</v>
      </c>
      <c r="H621" s="2" t="s">
        <v>111</v>
      </c>
      <c r="I621" s="2" t="str">
        <f>IFERROR(__xludf.DUMMYFUNCTION("GOOGLETRANSLATE(C621,""fr"",""en"")"),"Very good and very active as good quality price assurance and very available for any information. 
Insurance is really a shame that the agencies in Paris have closed ")</f>
        <v>Very good and very active as good quality price assurance and very available for any information. 
Insurance is really a shame that the agencies in Paris have closed </v>
      </c>
    </row>
    <row r="622" ht="15.75" customHeight="1">
      <c r="A622" s="2">
        <v>3.0</v>
      </c>
      <c r="B622" s="2" t="s">
        <v>1796</v>
      </c>
      <c r="C622" s="2" t="s">
        <v>1797</v>
      </c>
      <c r="D622" s="2" t="s">
        <v>80</v>
      </c>
      <c r="E622" s="2" t="s">
        <v>81</v>
      </c>
      <c r="F622" s="2" t="s">
        <v>15</v>
      </c>
      <c r="G622" s="2" t="s">
        <v>676</v>
      </c>
      <c r="H622" s="2" t="s">
        <v>111</v>
      </c>
      <c r="I622" s="2" t="str">
        <f>IFERROR(__xludf.DUMMYFUNCTION("GOOGLETRANSLATE(C622,""fr"",""en"")"),"I am satisfied, very good price and clear site to see afterwards since I have just taken out insurance with you for the moment I can only recommend ")</f>
        <v>I am satisfied, very good price and clear site to see afterwards since I have just taken out insurance with you for the moment I can only recommend </v>
      </c>
    </row>
    <row r="623" ht="15.75" customHeight="1">
      <c r="A623" s="2">
        <v>4.0</v>
      </c>
      <c r="B623" s="2" t="s">
        <v>1798</v>
      </c>
      <c r="C623" s="2" t="s">
        <v>1799</v>
      </c>
      <c r="D623" s="2" t="s">
        <v>254</v>
      </c>
      <c r="E623" s="2" t="s">
        <v>129</v>
      </c>
      <c r="F623" s="2" t="s">
        <v>15</v>
      </c>
      <c r="G623" s="2" t="s">
        <v>271</v>
      </c>
      <c r="H623" s="2" t="s">
        <v>83</v>
      </c>
      <c r="I623" s="2" t="str">
        <f>IFERROR(__xludf.DUMMYFUNCTION("GOOGLETRANSLATE(C623,""fr"",""en"")"),"My daughter suffered water damage in her small student accommodation. It was a disaster because the accommodation was small, with no possibility of drying clothes, carpets, papers, drowned car keys, in short the whole thing. And all this one month before "&amp;"my daughter's final exam.
The file was processed very quickly, the expert appointed by MAIF charming and very understanding.
My daughter was able to receive compensation without excessive paperwork and within a very reasonable time frame (3 weeks).")</f>
        <v>My daughter suffered water damage in her small student accommodation. It was a disaster because the accommodation was small, with no possibility of drying clothes, carpets, papers, drowned car keys, in short the whole thing. And all this one month before my daughter's final exam.
The file was processed very quickly, the expert appointed by MAIF charming and very understanding.
My daughter was able to receive compensation without excessive paperwork and within a very reasonable time frame (3 weeks).</v>
      </c>
    </row>
    <row r="624" ht="15.75" customHeight="1">
      <c r="A624" s="2">
        <v>2.0</v>
      </c>
      <c r="B624" s="2" t="s">
        <v>1800</v>
      </c>
      <c r="C624" s="2" t="s">
        <v>1801</v>
      </c>
      <c r="D624" s="2" t="s">
        <v>128</v>
      </c>
      <c r="E624" s="2" t="s">
        <v>129</v>
      </c>
      <c r="F624" s="2" t="s">
        <v>15</v>
      </c>
      <c r="G624" s="2" t="s">
        <v>1802</v>
      </c>
      <c r="H624" s="2" t="s">
        <v>1034</v>
      </c>
      <c r="I624" s="2" t="str">
        <f>IFERROR(__xludf.DUMMYFUNCTION("GOOGLETRANSLATE(C624,""fr"",""en"")"),"Very difficult to connect! so hello, I am responding more specifically to a lady or young lady, regarding ""rental guarantee, legal protection (including property damage), I am well placed to confirm that there is only one ""telephone platform"" for == pr"&amp;"operty damage: Montpellier!!! I still have 2 files in progress, I have already ""lost"" around 25,000 euros (quotation) for 2 houses I never got into; the ""slots"" and.... with bailiff's report!! No, you understand, these are ""dirt"" == new word to deta"&amp;"il damage, 4 M3 of garbage and +++== no insurance n does not provide cleaning!!! etc..... fortunately the Germans are cleaner than the French, so I made the decision to finish processing these unfortunate files, and then to leave Pacifica, Crédit Agriciol"&amp;"e = == which aligns with my sad stories where I am very in debt, and I always pay my contributions (with late fees).... the total.
So goodbye France, I'm slowly withdrawing.
Best regards.
  ")</f>
        <v>Very difficult to connect! so hello, I am responding more specifically to a lady or young lady, regarding "rental guarantee, legal protection (including property damage), I am well placed to confirm that there is only one "telephone platform" for == property damage: Montpellier!!! I still have 2 files in progress, I have already "lost" around 25,000 euros (quotation) for 2 houses I never got into; the "slots" and.... with bailiff's report!! No, you understand, these are "dirt" == new word to detail damage, 4 M3 of garbage and +++== no insurance n does not provide cleaning!!! etc..... fortunately the Germans are cleaner than the French, so I made the decision to finish processing these unfortunate files, and then to leave Pacifica, Crédit Agriciole = == which aligns with my sad stories where I am very in debt, and I always pay my contributions (with late fees).... the total.
So goodbye France, I'm slowly withdrawing.
Best regards.
  </v>
      </c>
    </row>
    <row r="625" ht="15.75" customHeight="1">
      <c r="A625" s="2">
        <v>1.0</v>
      </c>
      <c r="B625" s="2" t="s">
        <v>1803</v>
      </c>
      <c r="C625" s="2" t="s">
        <v>1804</v>
      </c>
      <c r="D625" s="2" t="s">
        <v>13</v>
      </c>
      <c r="E625" s="2" t="s">
        <v>14</v>
      </c>
      <c r="F625" s="2" t="s">
        <v>15</v>
      </c>
      <c r="G625" s="2" t="s">
        <v>670</v>
      </c>
      <c r="H625" s="2" t="s">
        <v>361</v>
      </c>
      <c r="I625" s="2" t="str">
        <f>IFERROR(__xludf.DUMMYFUNCTION("GOOGLETRANSLATE(C625,""fr"",""en"")"),"direct insurance, insurance company to flee, I was terminated for a simple statement of non-compliant information, I never received their various messages or letters, I was terminated without knowing it!!!! They are also against the law given that I never"&amp;" received a letter with AR mentioning my termination!!!! To flee.")</f>
        <v>direct insurance, insurance company to flee, I was terminated for a simple statement of non-compliant information, I never received their various messages or letters, I was terminated without knowing it!!!! They are also against the law given that I never received a letter with AR mentioning my termination!!!! To flee.</v>
      </c>
    </row>
    <row r="626" ht="15.75" customHeight="1">
      <c r="A626" s="2">
        <v>5.0</v>
      </c>
      <c r="B626" s="2" t="s">
        <v>1805</v>
      </c>
      <c r="C626" s="2" t="s">
        <v>1806</v>
      </c>
      <c r="D626" s="2" t="s">
        <v>28</v>
      </c>
      <c r="E626" s="2" t="s">
        <v>14</v>
      </c>
      <c r="F626" s="2" t="s">
        <v>15</v>
      </c>
      <c r="G626" s="2" t="s">
        <v>1807</v>
      </c>
      <c r="H626" s="2" t="s">
        <v>46</v>
      </c>
      <c r="I626" s="2" t="str">
        <f>IFERROR(__xludf.DUMMYFUNCTION("GOOGLETRANSLATE(C626,""fr"",""en"")"),"Very Satisfied with my L'olivier Insurance, perfect, friendly and responsive advice, attentive customer service, superb, competitive prices and good quality ")</f>
        <v>Very Satisfied with my L'olivier Insurance, perfect, friendly and responsive advice, attentive customer service, superb, competitive prices and good quality </v>
      </c>
    </row>
    <row r="627" ht="15.75" customHeight="1">
      <c r="A627" s="2">
        <v>1.0</v>
      </c>
      <c r="B627" s="2" t="s">
        <v>1808</v>
      </c>
      <c r="C627" s="2" t="s">
        <v>1809</v>
      </c>
      <c r="D627" s="2" t="s">
        <v>38</v>
      </c>
      <c r="E627" s="2" t="s">
        <v>39</v>
      </c>
      <c r="F627" s="2" t="s">
        <v>15</v>
      </c>
      <c r="G627" s="2" t="s">
        <v>1168</v>
      </c>
      <c r="H627" s="2" t="s">
        <v>899</v>
      </c>
      <c r="I627" s="2" t="str">
        <f>IFERROR(__xludf.DUMMYFUNCTION("GOOGLETRANSLATE(C627,""fr"",""en"")"),"Hello, I do not recommend this health and welfare insurance to anyone, to tell you it has been 2 years that I have been trying to cancel and each time he finds an excuse. This time not the right term. I call and after asking to speak to a manager the pers"&amp;"on who answers tells me that there is none and that they don't know their name. What more can I say, she asked me to hang up while I was talking to her. I will not hesitate to give my unfavorable opinion towards them")</f>
        <v>Hello, I do not recommend this health and welfare insurance to anyone, to tell you it has been 2 years that I have been trying to cancel and each time he finds an excuse. This time not the right term. I call and after asking to speak to a manager the person who answers tells me that there is none and that they don't know their name. What more can I say, she asked me to hang up while I was talking to her. I will not hesitate to give my unfavorable opinion towards them</v>
      </c>
    </row>
    <row r="628" ht="15.75" customHeight="1">
      <c r="A628" s="2">
        <v>5.0</v>
      </c>
      <c r="B628" s="2" t="s">
        <v>1810</v>
      </c>
      <c r="C628" s="2" t="s">
        <v>1811</v>
      </c>
      <c r="D628" s="2" t="s">
        <v>13</v>
      </c>
      <c r="E628" s="2" t="s">
        <v>14</v>
      </c>
      <c r="F628" s="2" t="s">
        <v>15</v>
      </c>
      <c r="G628" s="2" t="s">
        <v>696</v>
      </c>
      <c r="H628" s="2" t="s">
        <v>111</v>
      </c>
      <c r="I628" s="2" t="str">
        <f>IFERROR(__xludf.DUMMYFUNCTION("GOOGLETRANSLATE(C628,""fr"",""en"")"),"I am satisfied with the services offered by direct insurance 
Thank you for your attractive prices and offers, 2 of us have taken out car contracts with you")</f>
        <v>I am satisfied with the services offered by direct insurance 
Thank you for your attractive prices and offers, 2 of us have taken out car contracts with you</v>
      </c>
    </row>
    <row r="629" ht="15.75" customHeight="1">
      <c r="A629" s="2">
        <v>4.0</v>
      </c>
      <c r="B629" s="2" t="s">
        <v>1812</v>
      </c>
      <c r="C629" s="2" t="s">
        <v>1813</v>
      </c>
      <c r="D629" s="2" t="s">
        <v>13</v>
      </c>
      <c r="E629" s="2" t="s">
        <v>14</v>
      </c>
      <c r="F629" s="2" t="s">
        <v>15</v>
      </c>
      <c r="G629" s="2" t="s">
        <v>754</v>
      </c>
      <c r="H629" s="2" t="s">
        <v>30</v>
      </c>
      <c r="I629" s="2" t="str">
        <f>IFERROR(__xludf.DUMMYFUNCTION("GOOGLETRANSLATE(C629,""fr"",""en"")"),"Very satisfied with the service and its responsiveness.
To recommend to other people. I think the choices for car insurance could be clearer but that's already very good!")</f>
        <v>Very satisfied with the service and its responsiveness.
To recommend to other people. I think the choices for car insurance could be clearer but that's already very good!</v>
      </c>
    </row>
    <row r="630" ht="15.75" customHeight="1">
      <c r="A630" s="2">
        <v>1.0</v>
      </c>
      <c r="B630" s="2" t="s">
        <v>1814</v>
      </c>
      <c r="C630" s="2" t="s">
        <v>1815</v>
      </c>
      <c r="D630" s="2" t="s">
        <v>28</v>
      </c>
      <c r="E630" s="2" t="s">
        <v>14</v>
      </c>
      <c r="F630" s="2" t="s">
        <v>15</v>
      </c>
      <c r="G630" s="2" t="s">
        <v>289</v>
      </c>
      <c r="H630" s="2" t="s">
        <v>30</v>
      </c>
      <c r="I630" s="2" t="str">
        <f>IFERROR(__xludf.DUMMYFUNCTION("GOOGLETRANSLATE(C630,""fr"",""en"")"),"excellent service, whether it is the welcome, the advice, the prices are resonable, I recommend this insurance to those around me, to all those looking for insurance.")</f>
        <v>excellent service, whether it is the welcome, the advice, the prices are resonable, I recommend this insurance to those around me, to all those looking for insurance.</v>
      </c>
    </row>
    <row r="631" ht="15.75" customHeight="1">
      <c r="A631" s="2">
        <v>4.0</v>
      </c>
      <c r="B631" s="2" t="s">
        <v>1816</v>
      </c>
      <c r="C631" s="2" t="s">
        <v>1817</v>
      </c>
      <c r="D631" s="2" t="s">
        <v>13</v>
      </c>
      <c r="E631" s="2" t="s">
        <v>14</v>
      </c>
      <c r="F631" s="2" t="s">
        <v>15</v>
      </c>
      <c r="G631" s="2" t="s">
        <v>1818</v>
      </c>
      <c r="H631" s="2" t="s">
        <v>111</v>
      </c>
      <c r="I631" s="2" t="str">
        <f>IFERROR(__xludf.DUMMYFUNCTION("GOOGLETRANSLATE(C631,""fr"",""en"")"),"Satisfied.
Effective
I recommend direct insurance for the simplicity and ease of its online site.
Now the more concise an opinion is, the more understandable it will be.")</f>
        <v>Satisfied.
Effective
I recommend direct insurance for the simplicity and ease of its online site.
Now the more concise an opinion is, the more understandable it will be.</v>
      </c>
    </row>
    <row r="632" ht="15.75" customHeight="1">
      <c r="A632" s="2">
        <v>1.0</v>
      </c>
      <c r="B632" s="2" t="s">
        <v>1819</v>
      </c>
      <c r="C632" s="2" t="s">
        <v>1820</v>
      </c>
      <c r="D632" s="2" t="s">
        <v>60</v>
      </c>
      <c r="E632" s="2" t="s">
        <v>61</v>
      </c>
      <c r="F632" s="2" t="s">
        <v>15</v>
      </c>
      <c r="G632" s="2" t="s">
        <v>1821</v>
      </c>
      <c r="H632" s="2" t="s">
        <v>634</v>
      </c>
      <c r="I632" s="2" t="str">
        <f>IFERROR(__xludf.DUMMYFUNCTION("GOOGLETRANSLATE(C632,""fr"",""en"")"),"Inadmissible
No return to my emails because I want to cancel my insurance
Proyance and insurance product 
as well as GAV sinister transmitted via app since 01/21/2020 no return
When they are told that the products are not as good as my old GAV they are an"&amp;"gry
Would you have the customer service email?")</f>
        <v>Inadmissible
No return to my emails because I want to cancel my insurance
Proyance and insurance product 
as well as GAV sinister transmitted via app since 01/21/2020 no return
When they are told that the products are not as good as my old GAV they are angry
Would you have the customer service email?</v>
      </c>
    </row>
    <row r="633" ht="15.75" customHeight="1">
      <c r="A633" s="2">
        <v>4.0</v>
      </c>
      <c r="B633" s="2" t="s">
        <v>1822</v>
      </c>
      <c r="C633" s="2" t="s">
        <v>1823</v>
      </c>
      <c r="D633" s="2" t="s">
        <v>128</v>
      </c>
      <c r="E633" s="2" t="s">
        <v>14</v>
      </c>
      <c r="F633" s="2" t="s">
        <v>15</v>
      </c>
      <c r="G633" s="2" t="s">
        <v>1824</v>
      </c>
      <c r="H633" s="2" t="s">
        <v>94</v>
      </c>
      <c r="I633" s="2" t="str">
        <f>IFERROR(__xludf.DUMMYFUNCTION("GOOGLETRANSLATE(C633,""fr"",""en"")"),"For a car accident. Satisfied with the speed and ease of administrative support over the telephone with a contact person to explain the problems encountered   ")</f>
        <v>For a car accident. Satisfied with the speed and ease of administrative support over the telephone with a contact person to explain the problems encountered   </v>
      </c>
    </row>
    <row r="634" ht="15.75" customHeight="1">
      <c r="A634" s="2">
        <v>5.0</v>
      </c>
      <c r="B634" s="2" t="s">
        <v>1825</v>
      </c>
      <c r="C634" s="2" t="s">
        <v>1826</v>
      </c>
      <c r="D634" s="2" t="s">
        <v>28</v>
      </c>
      <c r="E634" s="2" t="s">
        <v>14</v>
      </c>
      <c r="F634" s="2" t="s">
        <v>15</v>
      </c>
      <c r="G634" s="2" t="s">
        <v>494</v>
      </c>
      <c r="H634" s="2" t="s">
        <v>83</v>
      </c>
      <c r="I634" s="2" t="str">
        <f>IFERROR(__xludf.DUMMYFUNCTION("GOOGLETRANSLATE(C634,""fr"",""en"")"),"I am satisfied with the service. The prices are affordable and there is good responsiveness from customer service. I would recommend this insurance.")</f>
        <v>I am satisfied with the service. The prices are affordable and there is good responsiveness from customer service. I would recommend this insurance.</v>
      </c>
    </row>
    <row r="635" ht="15.75" customHeight="1">
      <c r="A635" s="2">
        <v>4.0</v>
      </c>
      <c r="B635" s="2" t="s">
        <v>1827</v>
      </c>
      <c r="C635" s="2" t="s">
        <v>1828</v>
      </c>
      <c r="D635" s="2" t="s">
        <v>13</v>
      </c>
      <c r="E635" s="2" t="s">
        <v>14</v>
      </c>
      <c r="F635" s="2" t="s">
        <v>15</v>
      </c>
      <c r="G635" s="2" t="s">
        <v>1829</v>
      </c>
      <c r="H635" s="2" t="s">
        <v>83</v>
      </c>
      <c r="I635" s="2" t="str">
        <f>IFERROR(__xludf.DUMMYFUNCTION("GOOGLETRANSLATE(C635,""fr"",""en"")"),"Thank you Direct Assurance and well done I was struggling but finally I managed to get through it and thank you I hope everyone will see how good luck goodbye")</f>
        <v>Thank you Direct Assurance and well done I was struggling but finally I managed to get through it and thank you I hope everyone will see how good luck goodbye</v>
      </c>
    </row>
    <row r="636" ht="15.75" customHeight="1">
      <c r="A636" s="2">
        <v>4.0</v>
      </c>
      <c r="B636" s="2" t="s">
        <v>1830</v>
      </c>
      <c r="C636" s="2" t="s">
        <v>1831</v>
      </c>
      <c r="D636" s="2" t="s">
        <v>13</v>
      </c>
      <c r="E636" s="2" t="s">
        <v>14</v>
      </c>
      <c r="F636" s="2" t="s">
        <v>15</v>
      </c>
      <c r="G636" s="2" t="s">
        <v>71</v>
      </c>
      <c r="H636" s="2" t="s">
        <v>71</v>
      </c>
      <c r="I636" s="2" t="str">
        <f>IFERROR(__xludf.DUMMYFUNCTION("GOOGLETRANSLATE(C636,""fr"",""en"")"),"I am satisfied with the help I received from the advisors.
Notably the first and last advisor I spoke to on the phone. 
Thank you for helping me with this process. 
Kind regards, Carla.")</f>
        <v>I am satisfied with the help I received from the advisors.
Notably the first and last advisor I spoke to on the phone. 
Thank you for helping me with this process. 
Kind regards, Carla.</v>
      </c>
    </row>
    <row r="637" ht="15.75" customHeight="1">
      <c r="A637" s="2">
        <v>1.0</v>
      </c>
      <c r="B637" s="2" t="s">
        <v>1832</v>
      </c>
      <c r="C637" s="2" t="s">
        <v>1833</v>
      </c>
      <c r="D637" s="2" t="s">
        <v>33</v>
      </c>
      <c r="E637" s="2" t="s">
        <v>14</v>
      </c>
      <c r="F637" s="2" t="s">
        <v>15</v>
      </c>
      <c r="G637" s="2" t="s">
        <v>1834</v>
      </c>
      <c r="H637" s="2" t="s">
        <v>994</v>
      </c>
      <c r="I637" s="2" t="str">
        <f>IFERROR(__xludf.DUMMYFUNCTION("GOOGLETRANSLATE(C637,""fr"",""en"")"),"Following a car set on fire, the Matmut had started things well, I was followed but it did not last vehicle bought 9500e 12 months ago is 20 days the expert mappel to offer me 3900e not to mention that it does not is not even moving to see the vehicle I e"&amp;"xplain to him the condition the photos the option is there in 1 minute he offers me 5200th which I obviously refuse he transmits without relation to the Matmut is there he transfers to the headquarters of the matmut I contacted him informing them that the"&amp;" situation was delicate that I work is that I rent a car out of my pocket is that part days I earn 15th net because of the rental I I have a child aged 1 and a half and my wife is pregnant the woman from Matmut speaks to me in a way I had the impression t"&amp;"hat I was giving in to judgment I was so disappointed that I didn't know what to say anymore a shame this insurance goes against to collect they know how to be really disappointed fortunately I am followed by more than 25,000 people on my YouTube channel "&amp;"is that my family is my wife's family too so next step is to treat them as he treats me is I am going to create a Facebook page all united against Matmut is I am going to cancel everything with them as well as my family I just hope that the 4000th lost in"&amp;" 1 year I can make them lose a few million I will start all this in 1 week hoping to make them lose 1 packet of money ")</f>
        <v>Following a car set on fire, the Matmut had started things well, I was followed but it did not last vehicle bought 9500e 12 months ago is 20 days the expert mappel to offer me 3900e not to mention that it does not is not even moving to see the vehicle I explain to him the condition the photos the option is there in 1 minute he offers me 5200th which I obviously refuse he transmits without relation to the Matmut is there he transfers to the headquarters of the matmut I contacted him informing them that the situation was delicate that I work is that I rent a car out of my pocket is that part days I earn 15th net because of the rental I I have a child aged 1 and a half and my wife is pregnant the woman from Matmut speaks to me in a way I had the impression that I was giving in to judgment I was so disappointed that I didn't know what to say anymore a shame this insurance goes against to collect they know how to be really disappointed fortunately I am followed by more than 25,000 people on my YouTube channel is that my family is my wife's family too so next step is to treat them as he treats me is I am going to create a Facebook page all united against Matmut is I am going to cancel everything with them as well as my family I just hope that the 4000th lost in 1 year I can make them lose a few million I will start all this in 1 week hoping to make them lose 1 packet of money </v>
      </c>
    </row>
    <row r="638" ht="15.75" customHeight="1">
      <c r="A638" s="2">
        <v>1.0</v>
      </c>
      <c r="B638" s="2" t="s">
        <v>1835</v>
      </c>
      <c r="C638" s="2" t="s">
        <v>1836</v>
      </c>
      <c r="D638" s="2" t="s">
        <v>601</v>
      </c>
      <c r="E638" s="2" t="s">
        <v>39</v>
      </c>
      <c r="F638" s="2" t="s">
        <v>15</v>
      </c>
      <c r="G638" s="2" t="s">
        <v>1837</v>
      </c>
      <c r="H638" s="2" t="s">
        <v>557</v>
      </c>
      <c r="I638" s="2" t="str">
        <f>IFERROR(__xludf.DUMMYFUNCTION("GOOGLETRANSLATE(C638,""fr"",""en"")"),"Group insurance imposed by the company.
Can do better given the very high contributions paid by the employer and the employee.")</f>
        <v>Group insurance imposed by the company.
Can do better given the very high contributions paid by the employer and the employee.</v>
      </c>
    </row>
    <row r="639" ht="15.75" customHeight="1">
      <c r="A639" s="2">
        <v>2.0</v>
      </c>
      <c r="B639" s="2" t="s">
        <v>1838</v>
      </c>
      <c r="C639" s="2" t="s">
        <v>1839</v>
      </c>
      <c r="D639" s="2" t="s">
        <v>13</v>
      </c>
      <c r="E639" s="2" t="s">
        <v>14</v>
      </c>
      <c r="F639" s="2" t="s">
        <v>15</v>
      </c>
      <c r="G639" s="2" t="s">
        <v>725</v>
      </c>
      <c r="H639" s="2" t="s">
        <v>21</v>
      </c>
      <c r="I639" s="2" t="str">
        <f>IFERROR(__xludf.DUMMYFUNCTION("GOOGLETRANSLATE(C639,""fr"",""en"")"),"I am dissatisfied with your first customer advisor who hung up on me, basic education
Conversely the second asked, good information, excellent communication top of the top")</f>
        <v>I am dissatisfied with your first customer advisor who hung up on me, basic education
Conversely the second asked, good information, excellent communication top of the top</v>
      </c>
    </row>
    <row r="640" ht="15.75" customHeight="1">
      <c r="A640" s="2">
        <v>1.0</v>
      </c>
      <c r="B640" s="2" t="s">
        <v>1840</v>
      </c>
      <c r="C640" s="2" t="s">
        <v>1841</v>
      </c>
      <c r="D640" s="2" t="s">
        <v>89</v>
      </c>
      <c r="E640" s="2" t="s">
        <v>39</v>
      </c>
      <c r="F640" s="2" t="s">
        <v>15</v>
      </c>
      <c r="G640" s="2" t="s">
        <v>1347</v>
      </c>
      <c r="H640" s="2" t="s">
        <v>557</v>
      </c>
      <c r="I640" s="2" t="str">
        <f>IFERROR(__xludf.DUMMYFUNCTION("GOOGLETRANSLATE(C640,""fr"",""en"")"),"CEGEMA, first of all, is not a mutual insurance company like any other mutual insurance company. It does not respect the Hamon and Chatel law, but any mutual insurance company is supposed to respect it so as not to take hostage a customer who finds it unp"&amp;"leasant and is free to leave. Be careful, they are hard and easy to make you slave hostage...")</f>
        <v>CEGEMA, first of all, is not a mutual insurance company like any other mutual insurance company. It does not respect the Hamon and Chatel law, but any mutual insurance company is supposed to respect it so as not to take hostage a customer who finds it unpleasant and is free to leave. Be careful, they are hard and easy to make you slave hostage...</v>
      </c>
    </row>
    <row r="641" ht="15.75" customHeight="1">
      <c r="A641" s="2">
        <v>1.0</v>
      </c>
      <c r="B641" s="2" t="s">
        <v>1842</v>
      </c>
      <c r="C641" s="2" t="s">
        <v>1843</v>
      </c>
      <c r="D641" s="2" t="s">
        <v>38</v>
      </c>
      <c r="E641" s="2" t="s">
        <v>39</v>
      </c>
      <c r="F641" s="2" t="s">
        <v>15</v>
      </c>
      <c r="G641" s="2" t="s">
        <v>1844</v>
      </c>
      <c r="H641" s="2" t="s">
        <v>634</v>
      </c>
      <c r="I641" s="2" t="str">
        <f>IFERROR(__xludf.DUMMYFUNCTION("GOOGLETRANSLATE(C641,""fr"",""en"")"),"This supplement does not comply with the Chatel law. Interlocutors who are absolutely looking to make money. Flee this complement. Beware of the contract!! Moreover, this mutual is encountering customer difficulties. Many people cancel following misunders"&amp;"tandings about the rights to cancel....")</f>
        <v>This supplement does not comply with the Chatel law. Interlocutors who are absolutely looking to make money. Flee this complement. Beware of the contract!! Moreover, this mutual is encountering customer difficulties. Many people cancel following misunderstandings about the rights to cancel....</v>
      </c>
    </row>
    <row r="642" ht="15.75" customHeight="1">
      <c r="A642" s="2">
        <v>3.0</v>
      </c>
      <c r="B642" s="2" t="s">
        <v>1845</v>
      </c>
      <c r="C642" s="2" t="s">
        <v>1846</v>
      </c>
      <c r="D642" s="2" t="s">
        <v>13</v>
      </c>
      <c r="E642" s="2" t="s">
        <v>14</v>
      </c>
      <c r="F642" s="2" t="s">
        <v>15</v>
      </c>
      <c r="G642" s="2" t="s">
        <v>462</v>
      </c>
      <c r="H642" s="2" t="s">
        <v>25</v>
      </c>
      <c r="I642" s="2" t="str">
        <f>IFERROR(__xludf.DUMMYFUNCTION("GOOGLETRANSLATE(C642,""fr"",""en"")"),"I am satisfied with the fast service. As I have been your customer for a very, very long time, thank you for a small price reduction less than 44E 18 per month ")</f>
        <v>I am satisfied with the fast service. As I have been your customer for a very, very long time, thank you for a small price reduction less than 44E 18 per month </v>
      </c>
    </row>
    <row r="643" ht="15.75" customHeight="1">
      <c r="A643" s="2">
        <v>4.0</v>
      </c>
      <c r="B643" s="2" t="s">
        <v>1847</v>
      </c>
      <c r="C643" s="2" t="s">
        <v>1848</v>
      </c>
      <c r="D643" s="2" t="s">
        <v>28</v>
      </c>
      <c r="E643" s="2" t="s">
        <v>14</v>
      </c>
      <c r="F643" s="2" t="s">
        <v>15</v>
      </c>
      <c r="G643" s="2" t="s">
        <v>1849</v>
      </c>
      <c r="H643" s="2" t="s">
        <v>46</v>
      </c>
      <c r="I643" s="2" t="str">
        <f>IFERROR(__xludf.DUMMYFUNCTION("GOOGLETRANSLATE(C643,""fr"",""en"")"),"I am satisfied with the services I requested and the contract I signed. The person I spoke to on the phone was able to give me the information I wanted.")</f>
        <v>I am satisfied with the services I requested and the contract I signed. The person I spoke to on the phone was able to give me the information I wanted.</v>
      </c>
    </row>
    <row r="644" ht="15.75" customHeight="1">
      <c r="A644" s="2">
        <v>5.0</v>
      </c>
      <c r="B644" s="2" t="s">
        <v>1850</v>
      </c>
      <c r="C644" s="2" t="s">
        <v>1851</v>
      </c>
      <c r="D644" s="2" t="s">
        <v>303</v>
      </c>
      <c r="E644" s="2" t="s">
        <v>14</v>
      </c>
      <c r="F644" s="2" t="s">
        <v>15</v>
      </c>
      <c r="G644" s="2" t="s">
        <v>1852</v>
      </c>
      <c r="H644" s="2" t="s">
        <v>57</v>
      </c>
      <c r="I644" s="2" t="str">
        <f>IFERROR(__xludf.DUMMYFUNCTION("GOOGLETRANSLATE(C644,""fr"",""en"")"),"Very satisfied with this insurer, I tried another and came back very quickly because they really listen and do their best for the claims declared.  The staff of Les Sables-d'Olonne are very professional, especially the veterans.")</f>
        <v>Very satisfied with this insurer, I tried another and came back very quickly because they really listen and do their best for the claims declared.  The staff of Les Sables-d'Olonne are very professional, especially the veterans.</v>
      </c>
    </row>
    <row r="645" ht="15.75" customHeight="1">
      <c r="A645" s="2">
        <v>1.0</v>
      </c>
      <c r="B645" s="2" t="s">
        <v>1853</v>
      </c>
      <c r="C645" s="2" t="s">
        <v>1854</v>
      </c>
      <c r="D645" s="2" t="s">
        <v>65</v>
      </c>
      <c r="E645" s="2" t="s">
        <v>129</v>
      </c>
      <c r="F645" s="2" t="s">
        <v>15</v>
      </c>
      <c r="G645" s="2" t="s">
        <v>470</v>
      </c>
      <c r="H645" s="2" t="s">
        <v>30</v>
      </c>
      <c r="I645" s="2" t="str">
        <f>IFERROR(__xludf.DUMMYFUNCTION("GOOGLETRANSLATE(C645,""fr"",""en"")"),"Catastrophic! for the professionalism of employees in the sector, really lousy answers and what's more they try to make you believe that a claim is not covered with articles in the CGA which do not correspond to THE CLAIMS YOU HAVE DECLARED!")</f>
        <v>Catastrophic! for the professionalism of employees in the sector, really lousy answers and what's more they try to make you believe that a claim is not covered with articles in the CGA which do not correspond to THE CLAIMS YOU HAVE DECLARED!</v>
      </c>
    </row>
    <row r="646" ht="15.75" customHeight="1">
      <c r="A646" s="2">
        <v>2.0</v>
      </c>
      <c r="B646" s="2" t="s">
        <v>1855</v>
      </c>
      <c r="C646" s="2" t="s">
        <v>1856</v>
      </c>
      <c r="D646" s="2" t="s">
        <v>13</v>
      </c>
      <c r="E646" s="2" t="s">
        <v>14</v>
      </c>
      <c r="F646" s="2" t="s">
        <v>15</v>
      </c>
      <c r="G646" s="2" t="s">
        <v>1857</v>
      </c>
      <c r="H646" s="2" t="s">
        <v>661</v>
      </c>
      <c r="I646" s="2" t="str">
        <f>IFERROR(__xludf.DUMMYFUNCTION("GOOGLETRANSLATE(C646,""fr"",""en"")"),"I am being charged the amount of the contract even though this contract is terminated. At the telephone I am assured that everything is ok, contract canceled but I am charged the amount of a fictitious contract. The car cannot be insured with Direct Assur"&amp;"ance because the owner of the registration document is not the insured. But then why validate the contract and debit its amount?")</f>
        <v>I am being charged the amount of the contract even though this contract is terminated. At the telephone I am assured that everything is ok, contract canceled but I am charged the amount of a fictitious contract. The car cannot be insured with Direct Assurance because the owner of the registration document is not the insured. But then why validate the contract and debit its amount?</v>
      </c>
    </row>
    <row r="647" ht="15.75" customHeight="1">
      <c r="A647" s="2">
        <v>1.0</v>
      </c>
      <c r="B647" s="2" t="s">
        <v>1858</v>
      </c>
      <c r="C647" s="2" t="s">
        <v>1859</v>
      </c>
      <c r="D647" s="2" t="s">
        <v>310</v>
      </c>
      <c r="E647" s="2" t="s">
        <v>14</v>
      </c>
      <c r="F647" s="2" t="s">
        <v>15</v>
      </c>
      <c r="G647" s="2" t="s">
        <v>328</v>
      </c>
      <c r="H647" s="2" t="s">
        <v>328</v>
      </c>
      <c r="I647" s="2" t="str">
        <f>IFERROR(__xludf.DUMMYFUNCTION("GOOGLETRANSLATE(C647,""fr"",""en"")"),"Simply a deception. To flee! Unless you want to have to look for a new insurer at the first loss. By the way, when you cancel the prices are multiplied by 2 so what you gained during one year you lose for all the years after.")</f>
        <v>Simply a deception. To flee! Unless you want to have to look for a new insurer at the first loss. By the way, when you cancel the prices are multiplied by 2 so what you gained during one year you lose for all the years after.</v>
      </c>
    </row>
    <row r="648" ht="15.75" customHeight="1">
      <c r="A648" s="2">
        <v>4.0</v>
      </c>
      <c r="B648" s="2" t="s">
        <v>1860</v>
      </c>
      <c r="C648" s="2" t="s">
        <v>1861</v>
      </c>
      <c r="D648" s="2" t="s">
        <v>13</v>
      </c>
      <c r="E648" s="2" t="s">
        <v>14</v>
      </c>
      <c r="F648" s="2" t="s">
        <v>15</v>
      </c>
      <c r="G648" s="2" t="s">
        <v>970</v>
      </c>
      <c r="H648" s="2" t="s">
        <v>21</v>
      </c>
      <c r="I648" s="2" t="str">
        <f>IFERROR(__xludf.DUMMYFUNCTION("GOOGLETRANSLATE(C648,""fr"",""en"")"),"Very friendly welcome. Clear and easy insurance. Varied offers, simple and very quick modifications. Hopefully you won't need to use it. :)")</f>
        <v>Very friendly welcome. Clear and easy insurance. Varied offers, simple and very quick modifications. Hopefully you won't need to use it. :)</v>
      </c>
    </row>
    <row r="649" ht="15.75" customHeight="1">
      <c r="A649" s="2">
        <v>2.0</v>
      </c>
      <c r="B649" s="2" t="s">
        <v>1862</v>
      </c>
      <c r="C649" s="2" t="s">
        <v>1863</v>
      </c>
      <c r="D649" s="2" t="s">
        <v>394</v>
      </c>
      <c r="E649" s="2" t="s">
        <v>129</v>
      </c>
      <c r="F649" s="2" t="s">
        <v>15</v>
      </c>
      <c r="G649" s="2" t="s">
        <v>1661</v>
      </c>
      <c r="H649" s="2" t="s">
        <v>108</v>
      </c>
      <c r="I649" s="2" t="str">
        <f>IFERROR(__xludf.DUMMYFUNCTION("GOOGLETRANSLATE(C649,""fr"",""en"")"),"Good morning
Damage to roof following storm in 2019 (November and December) and SOGESSUR mandates the SARETEC expert who carries out an assessment via... google maps!
Indeed, for the first storm which damages part of the roof and in this case, SARETEC est"&amp;"imates a dilapidation of ... 25% 
1 month later, a 2nd storm occurs a month later and damages another part of the roof and in this case, SARETEC estimates a dilapidation of ... 60%
In fact, no one comes but assesses the damage according to the estimate t"&amp;"hat I sent them then by assessing the roof again via Google Maps... 
A 60% obsolescence is applied to the entire estimate (while the tiles only represent 5 to 10% of the estimate amount and, of course, the MO is the majority...) 
It's been 4 times that I"&amp;" have called SOGESSUR which is hiding behind SARETEC. 
Also, I was in no way informed of the issuance of the SARETEC report to the insurer (no copy until last week, more than a year after the fact) 
I will move on to the RAR then to filing a complaint. 
"&amp;"If you have any testimonials to share with me, I'm interested. 
As for SOGESSUR, you know my file and I am already on the 4th or 5th person who always explains the same things to me (see above)... ")</f>
        <v>Good morning
Damage to roof following storm in 2019 (November and December) and SOGESSUR mandates the SARETEC expert who carries out an assessment via... google maps!
Indeed, for the first storm which damages part of the roof and in this case, SARETEC estimates a dilapidation of ... 25% 
1 month later, a 2nd storm occurs a month later and damages another part of the roof and in this case, SARETEC estimates a dilapidation of ... 60%
In fact, no one comes but assesses the damage according to the estimate that I sent them then by assessing the roof again via Google Maps... 
A 60% obsolescence is applied to the entire estimate (while the tiles only represent 5 to 10% of the estimate amount and, of course, the MO is the majority...) 
It's been 4 times that I have called SOGESSUR which is hiding behind SARETEC. 
Also, I was in no way informed of the issuance of the SARETEC report to the insurer (no copy until last week, more than a year after the fact) 
I will move on to the RAR then to filing a complaint. 
If you have any testimonials to share with me, I'm interested. 
As for SOGESSUR, you know my file and I am already on the 4th or 5th person who always explains the same things to me (see above)... </v>
      </c>
    </row>
    <row r="650" ht="15.75" customHeight="1">
      <c r="A650" s="2">
        <v>1.0</v>
      </c>
      <c r="B650" s="2" t="s">
        <v>1864</v>
      </c>
      <c r="C650" s="2" t="s">
        <v>1865</v>
      </c>
      <c r="D650" s="2" t="s">
        <v>33</v>
      </c>
      <c r="E650" s="2" t="s">
        <v>14</v>
      </c>
      <c r="F650" s="2" t="s">
        <v>15</v>
      </c>
      <c r="G650" s="2" t="s">
        <v>1866</v>
      </c>
      <c r="H650" s="2" t="s">
        <v>74</v>
      </c>
      <c r="I650" s="2" t="str">
        <f>IFERROR(__xludf.DUMMYFUNCTION("GOOGLETRANSLATE(C650,""fr"",""en"")"),"UNABLE TO SOLVE ANY PROBLEM THEY CREATED THEMSELVES 
BLOCKS YOU ON THE PHONE AND REFUSES YOUR CALLS
DESPITE 30 YEARS OF MEMBERSHIP WITHOUT RESPONSIBLE CLAIMS
I STRONGLY RECOMMEND AGAINST...I WILL BE TERMINATING MY CONTRACTS IN THE COMING DAYS....
 ")</f>
        <v>UNABLE TO SOLVE ANY PROBLEM THEY CREATED THEMSELVES 
BLOCKS YOU ON THE PHONE AND REFUSES YOUR CALLS
DESPITE 30 YEARS OF MEMBERSHIP WITHOUT RESPONSIBLE CLAIMS
I STRONGLY RECOMMEND AGAINST...I WILL BE TERMINATING MY CONTRACTS IN THE COMING DAYS....
 </v>
      </c>
    </row>
    <row r="651" ht="15.75" customHeight="1">
      <c r="A651" s="2">
        <v>5.0</v>
      </c>
      <c r="B651" s="2" t="s">
        <v>1867</v>
      </c>
      <c r="C651" s="2" t="s">
        <v>1868</v>
      </c>
      <c r="D651" s="2" t="s">
        <v>13</v>
      </c>
      <c r="E651" s="2" t="s">
        <v>14</v>
      </c>
      <c r="F651" s="2" t="s">
        <v>15</v>
      </c>
      <c r="G651" s="2" t="s">
        <v>1869</v>
      </c>
      <c r="H651" s="2" t="s">
        <v>111</v>
      </c>
      <c r="I651" s="2" t="str">
        <f>IFERROR(__xludf.DUMMYFUNCTION("GOOGLETRANSLATE(C651,""fr"",""en"")"),"With direct insurance, I'm happy it's simple and quick. 
In addition, there are important guarantees in life With insurance 
Thank you direct insurance. ")</f>
        <v>With direct insurance, I'm happy it's simple and quick. 
In addition, there are important guarantees in life With insurance 
Thank you direct insurance. </v>
      </c>
    </row>
    <row r="652" ht="15.75" customHeight="1">
      <c r="A652" s="2">
        <v>1.0</v>
      </c>
      <c r="B652" s="2" t="s">
        <v>1870</v>
      </c>
      <c r="C652" s="2" t="s">
        <v>1871</v>
      </c>
      <c r="D652" s="2" t="s">
        <v>219</v>
      </c>
      <c r="E652" s="2" t="s">
        <v>137</v>
      </c>
      <c r="F652" s="2" t="s">
        <v>15</v>
      </c>
      <c r="G652" s="2" t="s">
        <v>1872</v>
      </c>
      <c r="H652" s="2" t="s">
        <v>133</v>
      </c>
      <c r="I652" s="2" t="str">
        <f>IFERROR(__xludf.DUMMYFUNCTION("GOOGLETRANSLATE(C652,""fr"",""en"")"),"The CNP improperly withholds the capital owed to us following the death of a parent who had the bad idea of ​​taking out life insurance with them. The CNP, however, has all the documents necessary for the payment of this capital but claims to have never r"&amp;"eceived our registered letters while we have the acknowledgment of receipt which is irrefutable proof of the delivery of our mail and moreover sent by each of the beneficiaries (there are three of us so the CNP has not received any of our three letters ac"&amp;"cording to them). How strange. But above all, what bad faith. It's exasperating and makes you wonder how you can work for such a company and share the company's values. When we finally manage to reach them by telephone, it is to be told that they have a p"&amp;"roblem with registered mail and that we must send the entire file back by regular mail and call back 10 days later to know if they received it correctly. Well let's see, we already know the answer, your letter did not reach us Mrs. X, Mr. Y, we are sorry."&amp;" And there, no proof of delivery of the mail. Easy. It's appalling. The CNP indeed has a problem, not with registered mail but a simple problem and a big one. This is why we have contacted the Prudential Control Authority so that they can take over and op"&amp;"en an investigation into the very serious general dysfunction within the CNP services. Such practices are unfortunately common but they are intolerable and we know very well that insurance companies take forever to release the funds which earn them much m"&amp;"ore interest than the late payment penalties that the law nevertheless requires them to pay. pay. At the end of the day, it is the beneficiaries who are taken hostage and who suffer a situation imposed on them by unscrupulous people who have absolutely no"&amp;"thing to do with the shit they put us in. We are still waiting for our due, this has been going on since November...
")</f>
        <v>The CNP improperly withholds the capital owed to us following the death of a parent who had the bad idea of ​​taking out life insurance with them. The CNP, however, has all the documents necessary for the payment of this capital but claims to have never received our registered letters while we have the acknowledgment of receipt which is irrefutable proof of the delivery of our mail and moreover sent by each of the beneficiaries (there are three of us so the CNP has not received any of our three letters according to them). How strange. But above all, what bad faith. It's exasperating and makes you wonder how you can work for such a company and share the company's values. When we finally manage to reach them by telephone, it is to be told that they have a problem with registered mail and that we must send the entire file back by regular mail and call back 10 days later to know if they received it correctly. Well let's see, we already know the answer, your letter did not reach us Mrs. X, Mr. Y, we are sorry. And there, no proof of delivery of the mail. Easy. It's appalling. The CNP indeed has a problem, not with registered mail but a simple problem and a big one. This is why we have contacted the Prudential Control Authority so that they can take over and open an investigation into the very serious general dysfunction within the CNP services. Such practices are unfortunately common but they are intolerable and we know very well that insurance companies take forever to release the funds which earn them much more interest than the late payment penalties that the law nevertheless requires them to pay. pay. At the end of the day, it is the beneficiaries who are taken hostage and who suffer a situation imposed on them by unscrupulous people who have absolutely nothing to do with the shit they put us in. We are still waiting for our due, this has been going on since November...
</v>
      </c>
    </row>
    <row r="653" ht="15.75" customHeight="1">
      <c r="A653" s="2">
        <v>5.0</v>
      </c>
      <c r="B653" s="2" t="s">
        <v>1873</v>
      </c>
      <c r="C653" s="2" t="s">
        <v>1874</v>
      </c>
      <c r="D653" s="2" t="s">
        <v>13</v>
      </c>
      <c r="E653" s="2" t="s">
        <v>14</v>
      </c>
      <c r="F653" s="2" t="s">
        <v>15</v>
      </c>
      <c r="G653" s="2" t="s">
        <v>82</v>
      </c>
      <c r="H653" s="2" t="s">
        <v>83</v>
      </c>
      <c r="I653" s="2" t="str">
        <f>IFERROR(__xludf.DUMMYFUNCTION("GOOGLETRANSLATE(C653,""fr"",""en"")"),"Thank you for assuring me that the bloods of the vein are kind, I am infinitely grateful for the service provided. More efficient than you, it’s rare ")</f>
        <v>Thank you for assuring me that the bloods of the vein are kind, I am infinitely grateful for the service provided. More efficient than you, it’s rare </v>
      </c>
    </row>
    <row r="654" ht="15.75" customHeight="1">
      <c r="A654" s="2">
        <v>3.0</v>
      </c>
      <c r="B654" s="2" t="s">
        <v>1875</v>
      </c>
      <c r="C654" s="2" t="s">
        <v>1876</v>
      </c>
      <c r="D654" s="2" t="s">
        <v>13</v>
      </c>
      <c r="E654" s="2" t="s">
        <v>14</v>
      </c>
      <c r="F654" s="2" t="s">
        <v>15</v>
      </c>
      <c r="G654" s="2" t="s">
        <v>1407</v>
      </c>
      <c r="H654" s="2" t="s">
        <v>30</v>
      </c>
      <c r="I654" s="2" t="str">
        <f>IFERROR(__xludf.DUMMYFUNCTION("GOOGLETRANSLATE(C654,""fr"",""en"")"),"Simple, quick.
 the prices offered as well as the guarantees meet my requests.
Faced with the urgency of my situation, you clearly meet my expectations.")</f>
        <v>Simple, quick.
 the prices offered as well as the guarantees meet my requests.
Faced with the urgency of my situation, you clearly meet my expectations.</v>
      </c>
    </row>
    <row r="655" ht="15.75" customHeight="1">
      <c r="A655" s="2">
        <v>3.0</v>
      </c>
      <c r="B655" s="2" t="s">
        <v>1877</v>
      </c>
      <c r="C655" s="2" t="s">
        <v>1878</v>
      </c>
      <c r="D655" s="2" t="s">
        <v>190</v>
      </c>
      <c r="E655" s="2" t="s">
        <v>14</v>
      </c>
      <c r="F655" s="2" t="s">
        <v>15</v>
      </c>
      <c r="G655" s="2" t="s">
        <v>297</v>
      </c>
      <c r="H655" s="2" t="s">
        <v>17</v>
      </c>
      <c r="I655" s="2" t="str">
        <f>IFERROR(__xludf.DUMMYFUNCTION("GOOGLETRANSLATE(C655,""fr"",""en"")"),"well, satisfied with the services and especially the responsiveness for occasional requests. on the other hand, as soon as there is a disaster, the processing time is longer.")</f>
        <v>well, satisfied with the services and especially the responsiveness for occasional requests. on the other hand, as soon as there is a disaster, the processing time is longer.</v>
      </c>
    </row>
    <row r="656" ht="15.75" customHeight="1">
      <c r="A656" s="2">
        <v>1.0</v>
      </c>
      <c r="B656" s="2" t="s">
        <v>1879</v>
      </c>
      <c r="C656" s="2" t="s">
        <v>1880</v>
      </c>
      <c r="D656" s="2" t="s">
        <v>190</v>
      </c>
      <c r="E656" s="2" t="s">
        <v>14</v>
      </c>
      <c r="F656" s="2" t="s">
        <v>15</v>
      </c>
      <c r="G656" s="2" t="s">
        <v>25</v>
      </c>
      <c r="H656" s="2" t="s">
        <v>25</v>
      </c>
      <c r="I656" s="2" t="str">
        <f>IFERROR(__xludf.DUMMYFUNCTION("GOOGLETRANSLATE(C656,""fr"",""en"")"),"Unexplained price increase in 2020. Doubtful ecopass reduction. Reception at the dubious agency. Prices twice as high as quotes received from the competition. Deductibles remain very high with large deductibles for more than ten years without claims.
In f"&amp;"ull decay ")</f>
        <v>Unexplained price increase in 2020. Doubtful ecopass reduction. Reception at the dubious agency. Prices twice as high as quotes received from the competition. Deductibles remain very high with large deductibles for more than ten years without claims.
In full decay </v>
      </c>
    </row>
    <row r="657" ht="15.75" customHeight="1">
      <c r="A657" s="2">
        <v>4.0</v>
      </c>
      <c r="B657" s="2" t="s">
        <v>1881</v>
      </c>
      <c r="C657" s="2" t="s">
        <v>1882</v>
      </c>
      <c r="D657" s="2" t="s">
        <v>28</v>
      </c>
      <c r="E657" s="2" t="s">
        <v>14</v>
      </c>
      <c r="F657" s="2" t="s">
        <v>15</v>
      </c>
      <c r="G657" s="2" t="s">
        <v>46</v>
      </c>
      <c r="H657" s="2" t="s">
        <v>46</v>
      </c>
      <c r="I657" s="2" t="str">
        <f>IFERROR(__xludf.DUMMYFUNCTION("GOOGLETRANSLATE(C657,""fr"",""en"")"),"Quick installation. 
The olive tree is very accommodating.
Very good insurance.
Answer your questions quickly whether by phone or email.
I recommend l’Olivier insurance.")</f>
        <v>Quick installation. 
The olive tree is very accommodating.
Very good insurance.
Answer your questions quickly whether by phone or email.
I recommend l’Olivier insurance.</v>
      </c>
    </row>
    <row r="658" ht="15.75" customHeight="1">
      <c r="A658" s="2">
        <v>5.0</v>
      </c>
      <c r="B658" s="2" t="s">
        <v>1883</v>
      </c>
      <c r="C658" s="2" t="s">
        <v>1884</v>
      </c>
      <c r="D658" s="2" t="s">
        <v>28</v>
      </c>
      <c r="E658" s="2" t="s">
        <v>14</v>
      </c>
      <c r="F658" s="2" t="s">
        <v>15</v>
      </c>
      <c r="G658" s="2" t="s">
        <v>1885</v>
      </c>
      <c r="H658" s="2" t="s">
        <v>21</v>
      </c>
      <c r="I658" s="2" t="str">
        <f>IFERROR(__xludf.DUMMYFUNCTION("GOOGLETRANSLATE(C658,""fr"",""en"")"),"Top advisor and reasonable price. The information is simple and clear and the quality of service is great. I would recommend my loved ones to come to your home")</f>
        <v>Top advisor and reasonable price. The information is simple and clear and the quality of service is great. I would recommend my loved ones to come to your home</v>
      </c>
    </row>
    <row r="659" ht="15.75" customHeight="1">
      <c r="A659" s="2">
        <v>4.0</v>
      </c>
      <c r="B659" s="2" t="s">
        <v>1886</v>
      </c>
      <c r="C659" s="2" t="s">
        <v>1887</v>
      </c>
      <c r="D659" s="2" t="s">
        <v>13</v>
      </c>
      <c r="E659" s="2" t="s">
        <v>14</v>
      </c>
      <c r="F659" s="2" t="s">
        <v>15</v>
      </c>
      <c r="G659" s="2" t="s">
        <v>1869</v>
      </c>
      <c r="H659" s="2" t="s">
        <v>111</v>
      </c>
      <c r="I659" s="2" t="str">
        <f>IFERROR(__xludf.DUMMYFUNCTION("GOOGLETRANSLATE(C659,""fr"",""en"")"),"I'm waiting to see how the pricing calculation works with YouDrive.
It's a shame to have to be considered a young driver when I have my license and have been driving for over 30 years.")</f>
        <v>I'm waiting to see how the pricing calculation works with YouDrive.
It's a shame to have to be considered a young driver when I have my license and have been driving for over 30 years.</v>
      </c>
    </row>
    <row r="660" ht="15.75" customHeight="1">
      <c r="A660" s="2">
        <v>2.0</v>
      </c>
      <c r="B660" s="2" t="s">
        <v>1888</v>
      </c>
      <c r="C660" s="2" t="s">
        <v>1889</v>
      </c>
      <c r="D660" s="2" t="s">
        <v>310</v>
      </c>
      <c r="E660" s="2" t="s">
        <v>14</v>
      </c>
      <c r="F660" s="2" t="s">
        <v>15</v>
      </c>
      <c r="G660" s="2" t="s">
        <v>1890</v>
      </c>
      <c r="H660" s="2" t="s">
        <v>139</v>
      </c>
      <c r="I660" s="2" t="str">
        <f>IFERROR(__xludf.DUMMYFUNCTION("GOOGLETRANSLATE(C660,""fr"",""en"")"),"I don't recommend it to anyone! 
I am the victim of a non-fault accident and am insured for all risks. I am fighting for the file to move forward. I sent all the documents the same day of the accident. I am being asked to pay the deductible despite the fa"&amp;"ct that I am not at fault.  . Incompetent people")</f>
        <v>I don't recommend it to anyone! 
I am the victim of a non-fault accident and am insured for all risks. I am fighting for the file to move forward. I sent all the documents the same day of the accident. I am being asked to pay the deductible despite the fact that I am not at fault.  . Incompetent people</v>
      </c>
    </row>
    <row r="661" ht="15.75" customHeight="1">
      <c r="A661" s="2">
        <v>2.0</v>
      </c>
      <c r="B661" s="2" t="s">
        <v>1891</v>
      </c>
      <c r="C661" s="2" t="s">
        <v>1892</v>
      </c>
      <c r="D661" s="2" t="s">
        <v>145</v>
      </c>
      <c r="E661" s="2" t="s">
        <v>14</v>
      </c>
      <c r="F661" s="2" t="s">
        <v>15</v>
      </c>
      <c r="G661" s="2" t="s">
        <v>1319</v>
      </c>
      <c r="H661" s="2" t="s">
        <v>507</v>
      </c>
      <c r="I661" s="2" t="str">
        <f>IFERROR(__xludf.DUMMYFUNCTION("GOOGLETRANSLATE(C661,""fr"",""en"")"),"Terminated for 2 responsible claims in 2017 and 2018, including 1 alone caused by a slip on a patch of ice
while I have bonus insurance initially on a scooter and now a motorcycle and I also have my home and school insurance with them
They only like insur"&amp;"ed people to make money and not lose money in any way  ")</f>
        <v>Terminated for 2 responsible claims in 2017 and 2018, including 1 alone caused by a slip on a patch of ice
while I have bonus insurance initially on a scooter and now a motorcycle and I also have my home and school insurance with them
They only like insured people to make money and not lose money in any way  </v>
      </c>
    </row>
    <row r="662" ht="15.75" customHeight="1">
      <c r="A662" s="2">
        <v>2.0</v>
      </c>
      <c r="B662" s="2" t="s">
        <v>1893</v>
      </c>
      <c r="C662" s="2" t="s">
        <v>1894</v>
      </c>
      <c r="D662" s="2" t="s">
        <v>33</v>
      </c>
      <c r="E662" s="2" t="s">
        <v>14</v>
      </c>
      <c r="F662" s="2" t="s">
        <v>15</v>
      </c>
      <c r="G662" s="2" t="s">
        <v>1895</v>
      </c>
      <c r="H662" s="2" t="s">
        <v>343</v>
      </c>
      <c r="I662" s="2" t="str">
        <f>IFERROR(__xludf.DUMMYFUNCTION("GOOGLETRANSLATE(C662,""fr"",""en"")"),"To avoid seeking not to compensate
Following a car jacking
After 6 months still no compensation offer 
Insured for 25 years without problems paying contributions 
Moving from one service to another without answers for 6 months
")</f>
        <v>To avoid seeking not to compensate
Following a car jacking
After 6 months still no compensation offer 
Insured for 25 years without problems paying contributions 
Moving from one service to another without answers for 6 months
</v>
      </c>
    </row>
    <row r="663" ht="15.75" customHeight="1">
      <c r="A663" s="2">
        <v>1.0</v>
      </c>
      <c r="B663" s="2" t="s">
        <v>1896</v>
      </c>
      <c r="C663" s="2" t="s">
        <v>1897</v>
      </c>
      <c r="D663" s="2" t="s">
        <v>310</v>
      </c>
      <c r="E663" s="2" t="s">
        <v>14</v>
      </c>
      <c r="F663" s="2" t="s">
        <v>15</v>
      </c>
      <c r="G663" s="2" t="s">
        <v>1898</v>
      </c>
      <c r="H663" s="2" t="s">
        <v>374</v>
      </c>
      <c r="I663" s="2" t="str">
        <f>IFERROR(__xludf.DUMMYFUNCTION("GOOGLETRANSLATE(C663,""fr"",""en"")"),"Big flute They make you pay for 4 months and then find excuses to cancel and keep the 4 months of insurance.  Be very careful.  To flee, warn those around you. ")</f>
        <v>Big flute They make you pay for 4 months and then find excuses to cancel and keep the 4 months of insurance.  Be very careful.  To flee, warn those around you. </v>
      </c>
    </row>
    <row r="664" ht="15.75" customHeight="1">
      <c r="A664" s="2">
        <v>3.0</v>
      </c>
      <c r="B664" s="2" t="s">
        <v>1899</v>
      </c>
      <c r="C664" s="2" t="s">
        <v>1900</v>
      </c>
      <c r="D664" s="2" t="s">
        <v>254</v>
      </c>
      <c r="E664" s="2" t="s">
        <v>129</v>
      </c>
      <c r="F664" s="2" t="s">
        <v>15</v>
      </c>
      <c r="G664" s="2" t="s">
        <v>1901</v>
      </c>
      <c r="H664" s="2" t="s">
        <v>1213</v>
      </c>
      <c r="I664" s="2" t="str">
        <f>IFERROR(__xludf.DUMMYFUNCTION("GOOGLETRANSLATE(C664,""fr"",""en"")"),"member for 40 years son and daughter teachers insured maif. What a disappointment (to fall back). -my agency asks me when they appeared, thinking that this was just information, I tell them around 2014. Maif response: no decree for this period; we are not"&amp;" guaranteed to take into account. I bow and do not insist. But on September 1, 2017 the commune of Auriol of which I am part and recognized (in a natural disaster). I will contact my local agency : and informs them of the new situation and files a 2nd dec"&amp;"laration. All the conditions are met since I have the RAQVAM contract. And the trap closes. Maif response: you have, in a 1st email (July 15, 2016) said that the cracks appeared in 2014. What I took for information was in fact only evidence that will turn"&amp;" against me. (For the maif) the only unfortunate advance declaration (catnat) that I had declared outside of the decree: will be taken into account without discussions. While no expert was mandated during (until now), and that the cracks of 2016 are incom"&amp;"mensurable with those of 2014. I wonder what the conditions of this guarantee are (before too early) (during bad luck) (after too late). The French of games in short. I have the unpleasant feeling of having been taken for an imbecile and of hitting a wall"&amp;".")</f>
        <v>member for 40 years son and daughter teachers insured maif. What a disappointment (to fall back). -my agency asks me when they appeared, thinking that this was just information, I tell them around 2014. Maif response: no decree for this period; we are not guaranteed to take into account. I bow and do not insist. But on September 1, 2017 the commune of Auriol of which I am part and recognized (in a natural disaster). I will contact my local agency : and informs them of the new situation and files a 2nd declaration. All the conditions are met since I have the RAQVAM contract. And the trap closes. Maif response: you have, in a 1st email (July 15, 2016) said that the cracks appeared in 2014. What I took for information was in fact only evidence that will turn against me. (For the maif) the only unfortunate advance declaration (catnat) that I had declared outside of the decree: will be taken into account without discussions. While no expert was mandated during (until now), and that the cracks of 2016 are incommensurable with those of 2014. I wonder what the conditions of this guarantee are (before too early) (during bad luck) (after too late). The French of games in short. I have the unpleasant feeling of having been taken for an imbecile and of hitting a wall.</v>
      </c>
    </row>
    <row r="665" ht="15.75" customHeight="1">
      <c r="A665" s="2">
        <v>3.0</v>
      </c>
      <c r="B665" s="2" t="s">
        <v>1902</v>
      </c>
      <c r="C665" s="2" t="s">
        <v>1903</v>
      </c>
      <c r="D665" s="2" t="s">
        <v>44</v>
      </c>
      <c r="E665" s="2" t="s">
        <v>39</v>
      </c>
      <c r="F665" s="2" t="s">
        <v>15</v>
      </c>
      <c r="G665" s="2" t="s">
        <v>480</v>
      </c>
      <c r="H665" s="2" t="s">
        <v>46</v>
      </c>
      <c r="I665" s="2" t="str">
        <f>IFERROR(__xludf.DUMMYFUNCTION("GOOGLETRANSLATE(C665,""fr"",""en"")"),"Good for now, To see how the service will be carried out. As a new customer, it is still too early to give an opinion on the services and the quality/price ratio.")</f>
        <v>Good for now, To see how the service will be carried out. As a new customer, it is still too early to give an opinion on the services and the quality/price ratio.</v>
      </c>
    </row>
    <row r="666" ht="15.75" customHeight="1">
      <c r="A666" s="2">
        <v>5.0</v>
      </c>
      <c r="B666" s="2" t="s">
        <v>1904</v>
      </c>
      <c r="C666" s="2" t="s">
        <v>1905</v>
      </c>
      <c r="D666" s="2" t="s">
        <v>13</v>
      </c>
      <c r="E666" s="2" t="s">
        <v>14</v>
      </c>
      <c r="F666" s="2" t="s">
        <v>15</v>
      </c>
      <c r="G666" s="2" t="s">
        <v>1747</v>
      </c>
      <c r="H666" s="2" t="s">
        <v>21</v>
      </c>
      <c r="I666" s="2" t="str">
        <f>IFERROR(__xludf.DUMMYFUNCTION("GOOGLETRANSLATE(C666,""fr"",""en"")"),"I am satisfied with the service 
simple and direct quick information 
very good value for money compared to other insurances for the same options
 ")</f>
        <v>I am satisfied with the service 
simple and direct quick information 
very good value for money compared to other insurances for the same options
 </v>
      </c>
    </row>
    <row r="667" ht="15.75" customHeight="1">
      <c r="A667" s="2">
        <v>3.0</v>
      </c>
      <c r="B667" s="2" t="s">
        <v>1906</v>
      </c>
      <c r="C667" s="2" t="s">
        <v>1907</v>
      </c>
      <c r="D667" s="2" t="s">
        <v>322</v>
      </c>
      <c r="E667" s="2" t="s">
        <v>14</v>
      </c>
      <c r="F667" s="2" t="s">
        <v>15</v>
      </c>
      <c r="G667" s="2" t="s">
        <v>1908</v>
      </c>
      <c r="H667" s="2" t="s">
        <v>745</v>
      </c>
      <c r="I667" s="2" t="str">
        <f>IFERROR(__xludf.DUMMYFUNCTION("GOOGLETRANSLATE(C667,""fr"",""en"")"),"Very pleasant welcome, clear explanations, and value for money +++, I am very happy, very service and information, 
 I gave your details to a friend to insure the car.")</f>
        <v>Very pleasant welcome, clear explanations, and value for money +++, I am very happy, very service and information, 
 I gave your details to a friend to insure the car.</v>
      </c>
    </row>
    <row r="668" ht="15.75" customHeight="1">
      <c r="A668" s="2">
        <v>4.0</v>
      </c>
      <c r="B668" s="2" t="s">
        <v>1909</v>
      </c>
      <c r="C668" s="2" t="s">
        <v>1910</v>
      </c>
      <c r="D668" s="2" t="s">
        <v>28</v>
      </c>
      <c r="E668" s="2" t="s">
        <v>14</v>
      </c>
      <c r="F668" s="2" t="s">
        <v>15</v>
      </c>
      <c r="G668" s="2" t="s">
        <v>667</v>
      </c>
      <c r="H668" s="2" t="s">
        <v>83</v>
      </c>
      <c r="I668" s="2" t="str">
        <f>IFERROR(__xludf.DUMMYFUNCTION("GOOGLETRANSLATE(C668,""fr"",""en"")"),"I am satisfied with the speed of getting insurance online. contact person attentive to my needs Prices are suitable for young drivers ")</f>
        <v>I am satisfied with the speed of getting insurance online. contact person attentive to my needs Prices are suitable for young drivers </v>
      </c>
    </row>
    <row r="669" ht="15.75" customHeight="1">
      <c r="A669" s="2">
        <v>1.0</v>
      </c>
      <c r="B669" s="2" t="s">
        <v>1911</v>
      </c>
      <c r="C669" s="2" t="s">
        <v>1912</v>
      </c>
      <c r="D669" s="2" t="s">
        <v>65</v>
      </c>
      <c r="E669" s="2" t="s">
        <v>14</v>
      </c>
      <c r="F669" s="2" t="s">
        <v>15</v>
      </c>
      <c r="G669" s="2" t="s">
        <v>1913</v>
      </c>
      <c r="H669" s="2" t="s">
        <v>661</v>
      </c>
      <c r="I669" s="2" t="str">
        <f>IFERROR(__xludf.DUMMYFUNCTION("GOOGLETRANSLATE(C669,""fr"",""en"")"),"What a disappointment from E Allianz customer service who does not deign to respond to an email, who cuts off telephone conversations, who does not respect their contract. How casual towards a loyal customer. If no response within a week, I will change in"&amp;"surance company.")</f>
        <v>What a disappointment from E Allianz customer service who does not deign to respond to an email, who cuts off telephone conversations, who does not respect their contract. How casual towards a loyal customer. If no response within a week, I will change insurance company.</v>
      </c>
    </row>
    <row r="670" ht="15.75" customHeight="1">
      <c r="A670" s="2">
        <v>1.0</v>
      </c>
      <c r="B670" s="2" t="s">
        <v>1914</v>
      </c>
      <c r="C670" s="2" t="s">
        <v>1915</v>
      </c>
      <c r="D670" s="2" t="s">
        <v>326</v>
      </c>
      <c r="E670" s="2" t="s">
        <v>129</v>
      </c>
      <c r="F670" s="2" t="s">
        <v>15</v>
      </c>
      <c r="G670" s="2" t="s">
        <v>1916</v>
      </c>
      <c r="H670" s="2" t="s">
        <v>474</v>
      </c>
      <c r="I670" s="2" t="str">
        <f>IFERROR(__xludf.DUMMYFUNCTION("GOOGLETRANSLATE(C670,""fr"",""en"")"),"a little expensive and high deductible otherwise optimal services
a lot of advertising perhaps reducing costs would be wise")</f>
        <v>a little expensive and high deductible otherwise optimal services
a lot of advertising perhaps reducing costs would be wise</v>
      </c>
    </row>
    <row r="671" ht="15.75" customHeight="1">
      <c r="A671" s="2">
        <v>5.0</v>
      </c>
      <c r="B671" s="2" t="s">
        <v>1917</v>
      </c>
      <c r="C671" s="2" t="s">
        <v>1918</v>
      </c>
      <c r="D671" s="2" t="s">
        <v>28</v>
      </c>
      <c r="E671" s="2" t="s">
        <v>14</v>
      </c>
      <c r="F671" s="2" t="s">
        <v>15</v>
      </c>
      <c r="G671" s="2" t="s">
        <v>1919</v>
      </c>
      <c r="H671" s="2" t="s">
        <v>52</v>
      </c>
      <c r="I671" s="2" t="str">
        <f>IFERROR(__xludf.DUMMYFUNCTION("GOOGLETRANSLATE(C671,""fr"",""en"")"),"Hello Olivier Insurance is a very good insurance he was the same in very complicated times he always found a solution as quickly as possible and always in our interest I always recommend them very friendly never them cold person on the phone even in the m"&amp;"oment when I didn't believe it always reassured me, thanks again to the whole Olivier team, it's a change from many others ")</f>
        <v>Hello Olivier Insurance is a very good insurance he was the same in very complicated times he always found a solution as quickly as possible and always in our interest I always recommend them very friendly never them cold person on the phone even in the moment when I didn't believe it always reassured me, thanks again to the whole Olivier team, it's a change from many others </v>
      </c>
    </row>
    <row r="672" ht="15.75" customHeight="1">
      <c r="A672" s="2">
        <v>5.0</v>
      </c>
      <c r="B672" s="2" t="s">
        <v>1920</v>
      </c>
      <c r="C672" s="2" t="s">
        <v>1921</v>
      </c>
      <c r="D672" s="2" t="s">
        <v>28</v>
      </c>
      <c r="E672" s="2" t="s">
        <v>14</v>
      </c>
      <c r="F672" s="2" t="s">
        <v>15</v>
      </c>
      <c r="G672" s="2" t="s">
        <v>1922</v>
      </c>
      <c r="H672" s="2" t="s">
        <v>71</v>
      </c>
      <c r="I672" s="2" t="str">
        <f>IFERROR(__xludf.DUMMYFUNCTION("GOOGLETRANSLATE(C672,""fr"",""en"")"),"Very satisfied with the service and advice, the speed and professionalism of the advisors and their courtesy, and of course without forgetting the price. To see in use")</f>
        <v>Very satisfied with the service and advice, the speed and professionalism of the advisors and their courtesy, and of course without forgetting the price. To see in use</v>
      </c>
    </row>
    <row r="673" ht="15.75" customHeight="1">
      <c r="A673" s="2">
        <v>4.0</v>
      </c>
      <c r="B673" s="2" t="s">
        <v>1923</v>
      </c>
      <c r="C673" s="2" t="s">
        <v>1924</v>
      </c>
      <c r="D673" s="2" t="s">
        <v>13</v>
      </c>
      <c r="E673" s="2" t="s">
        <v>14</v>
      </c>
      <c r="F673" s="2" t="s">
        <v>15</v>
      </c>
      <c r="G673" s="2" t="s">
        <v>198</v>
      </c>
      <c r="H673" s="2" t="s">
        <v>83</v>
      </c>
      <c r="I673" s="2" t="str">
        <f>IFERROR(__xludf.DUMMYFUNCTION("GOOGLETRANSLATE(C673,""fr"",""en"")"),"I am satisfied for the price and the responsiveness, it is extraordinary to work with direct assurance, I have been working with you for several years, I am always happy ")</f>
        <v>I am satisfied for the price and the responsiveness, it is extraordinary to work with direct assurance, I have been working with you for several years, I am always happy </v>
      </c>
    </row>
    <row r="674" ht="15.75" customHeight="1">
      <c r="A674" s="2">
        <v>4.0</v>
      </c>
      <c r="B674" s="2" t="s">
        <v>1925</v>
      </c>
      <c r="C674" s="2" t="s">
        <v>1926</v>
      </c>
      <c r="D674" s="2" t="s">
        <v>28</v>
      </c>
      <c r="E674" s="2" t="s">
        <v>14</v>
      </c>
      <c r="F674" s="2" t="s">
        <v>15</v>
      </c>
      <c r="G674" s="2" t="s">
        <v>292</v>
      </c>
      <c r="H674" s="2" t="s">
        <v>25</v>
      </c>
      <c r="I674" s="2" t="str">
        <f>IFERROR(__xludf.DUMMYFUNCTION("GOOGLETRANSLATE(C674,""fr"",""en"")"),"I have been with Olivier Auto Insurance for almost 6 years and I have never had a problem getting it reimbursed. That's all I want from insurance.")</f>
        <v>I have been with Olivier Auto Insurance for almost 6 years and I have never had a problem getting it reimbursed. That's all I want from insurance.</v>
      </c>
    </row>
    <row r="675" ht="15.75" customHeight="1">
      <c r="A675" s="2">
        <v>2.0</v>
      </c>
      <c r="B675" s="2" t="s">
        <v>1927</v>
      </c>
      <c r="C675" s="2" t="s">
        <v>1928</v>
      </c>
      <c r="D675" s="2" t="s">
        <v>89</v>
      </c>
      <c r="E675" s="2" t="s">
        <v>39</v>
      </c>
      <c r="F675" s="2" t="s">
        <v>15</v>
      </c>
      <c r="G675" s="2" t="s">
        <v>1716</v>
      </c>
      <c r="H675" s="2" t="s">
        <v>83</v>
      </c>
      <c r="I675" s="2" t="str">
        <f>IFERROR(__xludf.DUMMYFUNCTION("GOOGLETRANSLATE(C675,""fr"",""en"")"),"I agree with the previous opinions, do not subscribe to cegema, avoid, problem for 
obtain prior agreement, i.e. 1 and a half months, now waiting for their part
reimbursement, I am sending a registered letter today, then I contact the mediator of 
insuran"&amp;"ceA0011s15548.
address: insurance mediation
tsa 50110
75441 PARIS cedex 9
you have to harass them!...., ask your broker for the email of the regional inspector.  ")</f>
        <v>I agree with the previous opinions, do not subscribe to cegema, avoid, problem for 
obtain prior agreement, i.e. 1 and a half months, now waiting for their part
reimbursement, I am sending a registered letter today, then I contact the mediator of 
insuranceA0011s15548.
address: insurance mediation
tsa 50110
75441 PARIS cedex 9
you have to harass them!...., ask your broker for the email of the regional inspector.  </v>
      </c>
    </row>
    <row r="676" ht="15.75" customHeight="1">
      <c r="A676" s="2">
        <v>4.0</v>
      </c>
      <c r="B676" s="2" t="s">
        <v>1929</v>
      </c>
      <c r="C676" s="2" t="s">
        <v>1930</v>
      </c>
      <c r="D676" s="2" t="s">
        <v>601</v>
      </c>
      <c r="E676" s="2" t="s">
        <v>39</v>
      </c>
      <c r="F676" s="2" t="s">
        <v>15</v>
      </c>
      <c r="G676" s="2" t="s">
        <v>1931</v>
      </c>
      <c r="H676" s="2" t="s">
        <v>21</v>
      </c>
      <c r="I676" s="2" t="str">
        <f>IFERROR(__xludf.DUMMYFUNCTION("GOOGLETRANSLATE(C676,""fr"",""en"")"),"My interlocutor was extremely kind, she explained everything to me very calmly. The only thing that bothered me was not being able to take the formula above mine straight away.")</f>
        <v>My interlocutor was extremely kind, she explained everything to me very calmly. The only thing that bothered me was not being able to take the formula above mine straight away.</v>
      </c>
    </row>
    <row r="677" ht="15.75" customHeight="1">
      <c r="A677" s="2">
        <v>4.0</v>
      </c>
      <c r="B677" s="2" t="s">
        <v>1932</v>
      </c>
      <c r="C677" s="2" t="s">
        <v>1933</v>
      </c>
      <c r="D677" s="2" t="s">
        <v>13</v>
      </c>
      <c r="E677" s="2" t="s">
        <v>14</v>
      </c>
      <c r="F677" s="2" t="s">
        <v>15</v>
      </c>
      <c r="G677" s="2" t="s">
        <v>676</v>
      </c>
      <c r="H677" s="2" t="s">
        <v>111</v>
      </c>
      <c r="I677" s="2" t="str">
        <f>IFERROR(__xludf.DUMMYFUNCTION("GOOGLETRANSLATE(C677,""fr"",""en"")"),"I am satisfied with direct assurance. I just want to know the terms and procedure to follow for customs clearance of my vehicle. Thank you for your advice!")</f>
        <v>I am satisfied with direct assurance. I just want to know the terms and procedure to follow for customs clearance of my vehicle. Thank you for your advice!</v>
      </c>
    </row>
    <row r="678" ht="15.75" customHeight="1">
      <c r="A678" s="2">
        <v>5.0</v>
      </c>
      <c r="B678" s="2" t="s">
        <v>1934</v>
      </c>
      <c r="C678" s="2" t="s">
        <v>1935</v>
      </c>
      <c r="D678" s="2" t="s">
        <v>28</v>
      </c>
      <c r="E678" s="2" t="s">
        <v>14</v>
      </c>
      <c r="F678" s="2" t="s">
        <v>15</v>
      </c>
      <c r="G678" s="2" t="s">
        <v>161</v>
      </c>
      <c r="H678" s="2" t="s">
        <v>83</v>
      </c>
      <c r="I678" s="2" t="str">
        <f>IFERROR(__xludf.DUMMYFUNCTION("GOOGLETRANSLATE(C678,""fr"",""en"")"),"I am satisfied with the contract signed. The price suits me, it meets my expectations. the exchange with your sales representative was very explicit. She was listening. ")</f>
        <v>I am satisfied with the contract signed. The price suits me, it meets my expectations. the exchange with your sales representative was very explicit. She was listening. </v>
      </c>
    </row>
    <row r="679" ht="15.75" customHeight="1">
      <c r="A679" s="2">
        <v>1.0</v>
      </c>
      <c r="B679" s="2" t="s">
        <v>1936</v>
      </c>
      <c r="C679" s="2" t="s">
        <v>1937</v>
      </c>
      <c r="D679" s="2" t="s">
        <v>322</v>
      </c>
      <c r="E679" s="2" t="s">
        <v>14</v>
      </c>
      <c r="F679" s="2" t="s">
        <v>15</v>
      </c>
      <c r="G679" s="2" t="s">
        <v>1938</v>
      </c>
      <c r="H679" s="2" t="s">
        <v>474</v>
      </c>
      <c r="I679" s="2" t="str">
        <f>IFERROR(__xludf.DUMMYFUNCTION("GOOGLETRANSLATE(C679,""fr"",""en"")"),"I subscribed and paid the annual fee hastily in less than 30 minutes and when I realized that the guarantees were not adequate and that it was impossible to change with customer service within the hour that followed. I immediately announced that I was goi"&amp;"ng to exercise the right of withdrawal. Despite an email and return letter, the company replied to me that in this type of contract, the general conditions of sale (a priori illegal) do not allow a right of withdrawal. Result of the costs of unjustified d"&amp;"eductions and partial reimbursement 2 months later! Referral to the regulatory authority ACPR PRUDENTIEL. In conclusion, without prejudging the future decision, be wary of insurance that takes liberties with legal provisions. To escape ;-)")</f>
        <v>I subscribed and paid the annual fee hastily in less than 30 minutes and when I realized that the guarantees were not adequate and that it was impossible to change with customer service within the hour that followed. I immediately announced that I was going to exercise the right of withdrawal. Despite an email and return letter, the company replied to me that in this type of contract, the general conditions of sale (a priori illegal) do not allow a right of withdrawal. Result of the costs of unjustified deductions and partial reimbursement 2 months later! Referral to the regulatory authority ACPR PRUDENTIEL. In conclusion, without prejudging the future decision, be wary of insurance that takes liberties with legal provisions. To escape ;-)</v>
      </c>
    </row>
    <row r="680" ht="15.75" customHeight="1">
      <c r="A680" s="2">
        <v>1.0</v>
      </c>
      <c r="B680" s="2" t="s">
        <v>1939</v>
      </c>
      <c r="C680" s="2" t="s">
        <v>1940</v>
      </c>
      <c r="D680" s="2" t="s">
        <v>303</v>
      </c>
      <c r="E680" s="2" t="s">
        <v>129</v>
      </c>
      <c r="F680" s="2" t="s">
        <v>15</v>
      </c>
      <c r="G680" s="2" t="s">
        <v>1941</v>
      </c>
      <c r="H680" s="2" t="s">
        <v>256</v>
      </c>
      <c r="I680" s="2" t="str">
        <f>IFERROR(__xludf.DUMMYFUNCTION("GOOGLETRANSLATE(C680,""fr"",""en"")"),"Scandalized!
Following the drought of 2016 sanctioned by a prefectural decree, through cracks appeared on the walls of my mother's villa, aged 93.
For 2 years Macif has been procrastinating claiming lack of imaginary foundations which have been refuted by"&amp;" an expert in the courts. It is impossible for us to know
 The result of the contradictory expertise and the reasons for not taking charge of the macif. This house built 45 years ago and insured since that time would have split without the slightest exter"&amp;"nal problem and for no reason
Fortunately my wife, who deals with claims at the Maif, doesn't manage it like that: I would have divorced a long time ago.
How can we make fun of people and a 93 year old person. The expert in the pay of Macif must know that"&amp;" she does not have time on her hands, and takes advantage of it")</f>
        <v>Scandalized!
Following the drought of 2016 sanctioned by a prefectural decree, through cracks appeared on the walls of my mother's villa, aged 93.
For 2 years Macif has been procrastinating claiming lack of imaginary foundations which have been refuted by an expert in the courts. It is impossible for us to know
 The result of the contradictory expertise and the reasons for not taking charge of the macif. This house built 45 years ago and insured since that time would have split without the slightest external problem and for no reason
Fortunately my wife, who deals with claims at the Maif, doesn't manage it like that: I would have divorced a long time ago.
How can we make fun of people and a 93 year old person. The expert in the pay of Macif must know that she does not have time on her hands, and takes advantage of it</v>
      </c>
    </row>
    <row r="681" ht="15.75" customHeight="1">
      <c r="A681" s="2">
        <v>5.0</v>
      </c>
      <c r="B681" s="2" t="s">
        <v>1942</v>
      </c>
      <c r="C681" s="2" t="s">
        <v>1943</v>
      </c>
      <c r="D681" s="2" t="s">
        <v>28</v>
      </c>
      <c r="E681" s="2" t="s">
        <v>14</v>
      </c>
      <c r="F681" s="2" t="s">
        <v>15</v>
      </c>
      <c r="G681" s="2" t="s">
        <v>943</v>
      </c>
      <c r="H681" s="2" t="s">
        <v>30</v>
      </c>
      <c r="I681" s="2" t="str">
        <f>IFERROR(__xludf.DUMMYFUNCTION("GOOGLETRANSLATE(C681,""fr"",""en"")"),"Good advice and attractive prices for a young driver and for a first car. Lots of refusals from other insurance companies. I will recommend to a loved one if necessary.")</f>
        <v>Good advice and attractive prices for a young driver and for a first car. Lots of refusals from other insurance companies. I will recommend to a loved one if necessary.</v>
      </c>
    </row>
    <row r="682" ht="15.75" customHeight="1">
      <c r="A682" s="2">
        <v>4.0</v>
      </c>
      <c r="B682" s="2" t="s">
        <v>1944</v>
      </c>
      <c r="C682" s="2" t="s">
        <v>1945</v>
      </c>
      <c r="D682" s="2" t="s">
        <v>38</v>
      </c>
      <c r="E682" s="2" t="s">
        <v>39</v>
      </c>
      <c r="F682" s="2" t="s">
        <v>15</v>
      </c>
      <c r="G682" s="2" t="s">
        <v>1946</v>
      </c>
      <c r="H682" s="2" t="s">
        <v>385</v>
      </c>
      <c r="I682" s="2" t="str">
        <f>IFERROR(__xludf.DUMMYFUNCTION("GOOGLETRANSLATE(C682,""fr"",""en"")"),"former insured with you and after contacting several other insurers, I come back to you for the good quality and seriousness of your advice")</f>
        <v>former insured with you and after contacting several other insurers, I come back to you for the good quality and seriousness of your advice</v>
      </c>
    </row>
    <row r="683" ht="15.75" customHeight="1">
      <c r="A683" s="2">
        <v>4.0</v>
      </c>
      <c r="B683" s="2" t="s">
        <v>1947</v>
      </c>
      <c r="C683" s="2" t="s">
        <v>1948</v>
      </c>
      <c r="D683" s="2" t="s">
        <v>13</v>
      </c>
      <c r="E683" s="2" t="s">
        <v>14</v>
      </c>
      <c r="F683" s="2" t="s">
        <v>15</v>
      </c>
      <c r="G683" s="2" t="s">
        <v>1818</v>
      </c>
      <c r="H683" s="2" t="s">
        <v>111</v>
      </c>
      <c r="I683" s="2" t="str">
        <f>IFERROR(__xludf.DUMMYFUNCTION("GOOGLETRANSLATE(C683,""fr"",""en"")"),"I am satisfied with the service. Great insurance to recommend! Cheap and very very good, sponsored by my daughter and my son-in-law, I will not be disappointed. I adore ")</f>
        <v>I am satisfied with the service. Great insurance to recommend! Cheap and very very good, sponsored by my daughter and my son-in-law, I will not be disappointed. I adore </v>
      </c>
    </row>
    <row r="684" ht="15.75" customHeight="1">
      <c r="A684" s="2">
        <v>1.0</v>
      </c>
      <c r="B684" s="2" t="s">
        <v>1949</v>
      </c>
      <c r="C684" s="2" t="s">
        <v>1950</v>
      </c>
      <c r="D684" s="2" t="s">
        <v>145</v>
      </c>
      <c r="E684" s="2" t="s">
        <v>14</v>
      </c>
      <c r="F684" s="2" t="s">
        <v>15</v>
      </c>
      <c r="G684" s="2" t="s">
        <v>1885</v>
      </c>
      <c r="H684" s="2" t="s">
        <v>21</v>
      </c>
      <c r="I684" s="2" t="str">
        <f>IFERROR(__xludf.DUMMYFUNCTION("GOOGLETRANSLATE(C684,""fr"",""en"")"),"nothing else to say
very cold welcome
proposals far from reality
 0 availability of customer advisors
excessive insurance prices
quality of intervention in the event of a disaster not great
")</f>
        <v>nothing else to say
very cold welcome
proposals far from reality
 0 availability of customer advisors
excessive insurance prices
quality of intervention in the event of a disaster not great
</v>
      </c>
    </row>
    <row r="685" ht="15.75" customHeight="1">
      <c r="A685" s="2">
        <v>5.0</v>
      </c>
      <c r="B685" s="2" t="s">
        <v>1951</v>
      </c>
      <c r="C685" s="2" t="s">
        <v>1952</v>
      </c>
      <c r="D685" s="2" t="s">
        <v>13</v>
      </c>
      <c r="E685" s="2" t="s">
        <v>14</v>
      </c>
      <c r="F685" s="2" t="s">
        <v>15</v>
      </c>
      <c r="G685" s="2" t="s">
        <v>1953</v>
      </c>
      <c r="H685" s="2" t="s">
        <v>17</v>
      </c>
      <c r="I685" s="2" t="str">
        <f>IFERROR(__xludf.DUMMYFUNCTION("GOOGLETRANSLATE(C685,""fr"",""en"")"),"Simple, very practical
user-friendly and very quick to fully finalize a new contract.
The automatic insertion of the spouse's data facilitates a family contract.")</f>
        <v>Simple, very practical
user-friendly and very quick to fully finalize a new contract.
The automatic insertion of the spouse's data facilitates a family contract.</v>
      </c>
    </row>
    <row r="686" ht="15.75" customHeight="1">
      <c r="A686" s="2">
        <v>1.0</v>
      </c>
      <c r="B686" s="2" t="s">
        <v>1954</v>
      </c>
      <c r="C686" s="2" t="s">
        <v>1955</v>
      </c>
      <c r="D686" s="2" t="s">
        <v>13</v>
      </c>
      <c r="E686" s="2" t="s">
        <v>14</v>
      </c>
      <c r="F686" s="2" t="s">
        <v>15</v>
      </c>
      <c r="G686" s="2" t="s">
        <v>645</v>
      </c>
      <c r="H686" s="2" t="s">
        <v>21</v>
      </c>
      <c r="I686" s="2" t="str">
        <f>IFERROR(__xludf.DUMMYFUNCTION("GOOGLETRANSLATE(C686,""fr"",""en"")"),"I pay way too much for a Peugeot 107 1.4hdi, my 206 was much more powerful and I paid much less.
I would like a commercial gesture from you if possible because my whole family is with you.")</f>
        <v>I pay way too much for a Peugeot 107 1.4hdi, my 206 was much more powerful and I paid much less.
I would like a commercial gesture from you if possible because my whole family is with you.</v>
      </c>
    </row>
    <row r="687" ht="15.75" customHeight="1">
      <c r="A687" s="2">
        <v>3.0</v>
      </c>
      <c r="B687" s="2" t="s">
        <v>1956</v>
      </c>
      <c r="C687" s="2" t="s">
        <v>1957</v>
      </c>
      <c r="D687" s="2" t="s">
        <v>89</v>
      </c>
      <c r="E687" s="2" t="s">
        <v>39</v>
      </c>
      <c r="F687" s="2" t="s">
        <v>15</v>
      </c>
      <c r="G687" s="2" t="s">
        <v>713</v>
      </c>
      <c r="H687" s="2" t="s">
        <v>25</v>
      </c>
      <c r="I687" s="2" t="str">
        <f>IFERROR(__xludf.DUMMYFUNCTION("GOOGLETRANSLATE(C687,""fr"",""en"")"),"I do not recommend this mutual insurance 
I don't want to repeat the same thing... that you know how to say better than me 
  &amp; I ask you all to forward to me your complaints &amp; claims &amp; disagreements made with your full contact details.... 
that I would f"&amp;"orward... in order to request the cancellation of our contracts 
Unity is Strength.... LEGALLY 
to: gemtel12@yahoo.fr 
WE WILL WIN TOGETHER ")</f>
        <v>I do not recommend this mutual insurance 
I don't want to repeat the same thing... that you know how to say better than me 
  &amp; I ask you all to forward to me your complaints &amp; claims &amp; disagreements made with your full contact details.... 
that I would forward... in order to request the cancellation of our contracts 
Unity is Strength.... LEGALLY 
to: gemtel12@yahoo.fr 
WE WILL WIN TOGETHER </v>
      </c>
    </row>
    <row r="688" ht="15.75" customHeight="1">
      <c r="A688" s="2">
        <v>1.0</v>
      </c>
      <c r="B688" s="2" t="s">
        <v>1958</v>
      </c>
      <c r="C688" s="2" t="s">
        <v>1959</v>
      </c>
      <c r="D688" s="2" t="s">
        <v>303</v>
      </c>
      <c r="E688" s="2" t="s">
        <v>14</v>
      </c>
      <c r="F688" s="2" t="s">
        <v>15</v>
      </c>
      <c r="G688" s="2" t="s">
        <v>1960</v>
      </c>
      <c r="H688" s="2" t="s">
        <v>343</v>
      </c>
      <c r="I688" s="2" t="str">
        <f>IFERROR(__xludf.DUMMYFUNCTION("GOOGLETRANSLATE(C688,""fr"",""en"")"),"Clio stolen 7/7, notified of its find on 25/8, on 30/9 still not towed?
Clio found after 30 days Macif claims no before without proof or precise date and city or official mail. On October 3, Macif writes that the Clio will arrive at garage X and it is a g"&amp;"arage Z which is contacting you. Am I dealing with professionals?
")</f>
        <v>Clio stolen 7/7, notified of its find on 25/8, on 30/9 still not towed?
Clio found after 30 days Macif claims no before without proof or precise date and city or official mail. On October 3, Macif writes that the Clio will arrive at garage X and it is a garage Z which is contacting you. Am I dealing with professionals?
</v>
      </c>
    </row>
    <row r="689" ht="15.75" customHeight="1">
      <c r="A689" s="2">
        <v>3.0</v>
      </c>
      <c r="B689" s="2" t="s">
        <v>1961</v>
      </c>
      <c r="C689" s="2" t="s">
        <v>1962</v>
      </c>
      <c r="D689" s="2" t="s">
        <v>530</v>
      </c>
      <c r="E689" s="2" t="s">
        <v>39</v>
      </c>
      <c r="F689" s="2" t="s">
        <v>15</v>
      </c>
      <c r="G689" s="2" t="s">
        <v>913</v>
      </c>
      <c r="H689" s="2" t="s">
        <v>248</v>
      </c>
      <c r="I689" s="2" t="str">
        <f>IFERROR(__xludf.DUMMYFUNCTION("GOOGLETRANSLATE(C689,""fr"",""en"")"),"Easy to reach and always correct and respectful.")</f>
        <v>Easy to reach and always correct and respectful.</v>
      </c>
    </row>
    <row r="690" ht="15.75" customHeight="1">
      <c r="A690" s="2">
        <v>5.0</v>
      </c>
      <c r="B690" s="2" t="s">
        <v>1963</v>
      </c>
      <c r="C690" s="2" t="s">
        <v>1964</v>
      </c>
      <c r="D690" s="2" t="s">
        <v>197</v>
      </c>
      <c r="E690" s="2" t="s">
        <v>81</v>
      </c>
      <c r="F690" s="2" t="s">
        <v>15</v>
      </c>
      <c r="G690" s="2" t="s">
        <v>1965</v>
      </c>
      <c r="H690" s="2" t="s">
        <v>389</v>
      </c>
      <c r="I690" s="2" t="str">
        <f>IFERROR(__xludf.DUMMYFUNCTION("GOOGLETRANSLATE(C690,""fr"",""en"")"),"Very satisfied with this insurance. Very well covered for a very affordable price per month. The compensation service is responsive and efficient. I recommend.")</f>
        <v>Very satisfied with this insurance. Very well covered for a very affordable price per month. The compensation service is responsive and efficient. I recommend.</v>
      </c>
    </row>
    <row r="691" ht="15.75" customHeight="1">
      <c r="A691" s="2">
        <v>1.0</v>
      </c>
      <c r="B691" s="2" t="s">
        <v>1966</v>
      </c>
      <c r="C691" s="2" t="s">
        <v>1967</v>
      </c>
      <c r="D691" s="2" t="s">
        <v>65</v>
      </c>
      <c r="E691" s="2" t="s">
        <v>14</v>
      </c>
      <c r="F691" s="2" t="s">
        <v>15</v>
      </c>
      <c r="G691" s="2" t="s">
        <v>20</v>
      </c>
      <c r="H691" s="2" t="s">
        <v>21</v>
      </c>
      <c r="I691" s="2" t="str">
        <f>IFERROR(__xludf.DUMMYFUNCTION("GOOGLETRANSLATE(C691,""fr"",""en"")"),"Overpriced, refuses to make a suitable offer after 10 years of customer service. 
Rude person on the phone. 
Just good to take the money. 3 times more expensive than elsewhere. Shameful period.")</f>
        <v>Overpriced, refuses to make a suitable offer after 10 years of customer service. 
Rude person on the phone. 
Just good to take the money. 3 times more expensive than elsewhere. Shameful period.</v>
      </c>
    </row>
    <row r="692" ht="15.75" customHeight="1">
      <c r="A692" s="2">
        <v>1.0</v>
      </c>
      <c r="B692" s="2" t="s">
        <v>1968</v>
      </c>
      <c r="C692" s="2" t="s">
        <v>1969</v>
      </c>
      <c r="D692" s="2" t="s">
        <v>13</v>
      </c>
      <c r="E692" s="2" t="s">
        <v>14</v>
      </c>
      <c r="F692" s="2" t="s">
        <v>15</v>
      </c>
      <c r="G692" s="2" t="s">
        <v>1970</v>
      </c>
      <c r="H692" s="2" t="s">
        <v>1344</v>
      </c>
      <c r="I692" s="2" t="str">
        <f>IFERROR(__xludf.DUMMYFUNCTION("GOOGLETRANSLATE(C692,""fr"",""en"")"),"A customer for 4 years at Direct Assurance, today I am discovering to what extent this insurer is a calamity and to be avoided.
On 25.02, a woman (in her 4th at-fault accident of the year) hit my vehicle and threw it onto the vehicle in front
With 1300 e"&amp;"uros of insurance per year (tranquility pack / loaner vehicle), not responsible for this accident, the insurance did not carry out an appraisal of the vehicle within 20 days.
- On the pretext that as of February 25 after my call, they did not create the "&amp;"disaster.
- Then I neglected to inform them where THEY THEMSELVED TOWED my vehicle from
- I discover that I do not have a loan vehicle because subtlety, the loan vehicle is only granted in the event of repair... However, my vehicle must be appraised becau"&amp;"se it is potentially not economically repairable.  I was granted 15 days of vehicle rental, which is largely insufficient to obtain the results of the assessment and acquire a new vehicle. 
Today, during the confinement period, the insurer who has not ha"&amp;"d his work in the 20 days preceding the start of the confinement, tells me that I will have nothing until the end of the confinement.
This is how by being not responsible for an accident and paying 1350 euros of annual insurance you find yourself without"&amp;" a vehicle even though you live in the countryside...
I repeat that even if I understand that the confinement is not due to the insurance, Direct Assurance did not move one iota during the 20 days which preceded the disaster...")</f>
        <v>A customer for 4 years at Direct Assurance, today I am discovering to what extent this insurer is a calamity and to be avoided.
On 25.02, a woman (in her 4th at-fault accident of the year) hit my vehicle and threw it onto the vehicle in front
With 1300 euros of insurance per year (tranquility pack / loaner vehicle), not responsible for this accident, the insurance did not carry out an appraisal of the vehicle within 20 days.
- On the pretext that as of February 25 after my call, they did not create the disaster.
- Then I neglected to inform them where THEY THEMSELVED TOWED my vehicle from
- I discover that I do not have a loan vehicle because subtlety, the loan vehicle is only granted in the event of repair... However, my vehicle must be appraised because it is potentially not economically repairable.  I was granted 15 days of vehicle rental, which is largely insufficient to obtain the results of the assessment and acquire a new vehicle. 
Today, during the confinement period, the insurer who has not had his work in the 20 days preceding the start of the confinement, tells me that I will have nothing until the end of the confinement.
This is how by being not responsible for an accident and paying 1350 euros of annual insurance you find yourself without a vehicle even though you live in the countryside...
I repeat that even if I understand that the confinement is not due to the insurance, Direct Assurance did not move one iota during the 20 days which preceded the disaster...</v>
      </c>
    </row>
    <row r="693" ht="15.75" customHeight="1">
      <c r="A693" s="2">
        <v>2.0</v>
      </c>
      <c r="B693" s="2" t="s">
        <v>1971</v>
      </c>
      <c r="C693" s="2" t="s">
        <v>1972</v>
      </c>
      <c r="D693" s="2" t="s">
        <v>13</v>
      </c>
      <c r="E693" s="2" t="s">
        <v>14</v>
      </c>
      <c r="F693" s="2" t="s">
        <v>15</v>
      </c>
      <c r="G693" s="2" t="s">
        <v>533</v>
      </c>
      <c r="H693" s="2" t="s">
        <v>25</v>
      </c>
      <c r="I693" s="2" t="str">
        <f>IFERROR(__xludf.DUMMYFUNCTION("GOOGLETRANSLATE(C693,""fr"",""en"")"),"I find it too expensive because I do less than 5000 km per year and have never had a problem.
And this has increased terribly since the start of my subscription. ")</f>
        <v>I find it too expensive because I do less than 5000 km per year and have never had a problem.
And this has increased terribly since the start of my subscription. </v>
      </c>
    </row>
    <row r="694" ht="15.75" customHeight="1">
      <c r="A694" s="2">
        <v>5.0</v>
      </c>
      <c r="B694" s="2" t="s">
        <v>1973</v>
      </c>
      <c r="C694" s="2" t="s">
        <v>1974</v>
      </c>
      <c r="D694" s="2" t="s">
        <v>530</v>
      </c>
      <c r="E694" s="2" t="s">
        <v>137</v>
      </c>
      <c r="F694" s="2" t="s">
        <v>15</v>
      </c>
      <c r="G694" s="2" t="s">
        <v>1480</v>
      </c>
      <c r="H694" s="2" t="s">
        <v>46</v>
      </c>
      <c r="I694" s="2" t="str">
        <f>IFERROR(__xludf.DUMMYFUNCTION("GOOGLETRANSLATE(C694,""fr"",""en"")"),"I am very satisfied with my salary insurance at MGP. I will happily repeat it to my entourage and friends. The advisors are very friendly and their explanations are clear. ")</f>
        <v>I am very satisfied with my salary insurance at MGP. I will happily repeat it to my entourage and friends. The advisors are very friendly and their explanations are clear. </v>
      </c>
    </row>
    <row r="695" ht="15.75" customHeight="1">
      <c r="A695" s="2">
        <v>1.0</v>
      </c>
      <c r="B695" s="2" t="s">
        <v>1975</v>
      </c>
      <c r="C695" s="2" t="s">
        <v>1976</v>
      </c>
      <c r="D695" s="2" t="s">
        <v>310</v>
      </c>
      <c r="E695" s="2" t="s">
        <v>14</v>
      </c>
      <c r="F695" s="2" t="s">
        <v>15</v>
      </c>
      <c r="G695" s="2" t="s">
        <v>1434</v>
      </c>
      <c r="H695" s="2" t="s">
        <v>328</v>
      </c>
      <c r="I695" s="2" t="str">
        <f>IFERROR(__xludf.DUMMYFUNCTION("GOOGLETRANSLATE(C695,""fr"",""en"")"),"Bad communication, they waited until the last moment to tell me that there was a problem with the documents I provided, my advisor never contacted me again to give me the finality regarding my situation, they are no Chalant and frankly I prefer to pay a l"&amp;"ittle more and have better follow-up.")</f>
        <v>Bad communication, they waited until the last moment to tell me that there was a problem with the documents I provided, my advisor never contacted me again to give me the finality regarding my situation, they are no Chalant and frankly I prefer to pay a little more and have better follow-up.</v>
      </c>
    </row>
    <row r="696" ht="15.75" customHeight="1">
      <c r="A696" s="2">
        <v>5.0</v>
      </c>
      <c r="B696" s="2" t="s">
        <v>1977</v>
      </c>
      <c r="C696" s="2" t="s">
        <v>1978</v>
      </c>
      <c r="D696" s="2" t="s">
        <v>28</v>
      </c>
      <c r="E696" s="2" t="s">
        <v>14</v>
      </c>
      <c r="F696" s="2" t="s">
        <v>15</v>
      </c>
      <c r="G696" s="2" t="s">
        <v>442</v>
      </c>
      <c r="H696" s="2" t="s">
        <v>442</v>
      </c>
      <c r="I696" s="2" t="str">
        <f>IFERROR(__xludf.DUMMYFUNCTION("GOOGLETRANSLATE(C696,""fr"",""en"")"),"Very good insurance! the prices are very competitive and the customer service is perfect: great friendliness and quality of the responses provided. Having had 2 claims in 1 month, I can also attest to the quality of claims management with excellent follow"&amp;"-up of the file by the advisor. Their approved network systematically offers a replacement vehicle as well as a home installation and drop-off service! 
To be continued, at the next deadline if the impact on my contribution is not too significant ;-)")</f>
        <v>Very good insurance! the prices are very competitive and the customer service is perfect: great friendliness and quality of the responses provided. Having had 2 claims in 1 month, I can also attest to the quality of claims management with excellent follow-up of the file by the advisor. Their approved network systematically offers a replacement vehicle as well as a home installation and drop-off service! 
To be continued, at the next deadline if the impact on my contribution is not too significant ;-)</v>
      </c>
    </row>
    <row r="697" ht="15.75" customHeight="1">
      <c r="A697" s="2">
        <v>1.0</v>
      </c>
      <c r="B697" s="2" t="s">
        <v>1979</v>
      </c>
      <c r="C697" s="2" t="s">
        <v>1980</v>
      </c>
      <c r="D697" s="2" t="s">
        <v>190</v>
      </c>
      <c r="E697" s="2" t="s">
        <v>129</v>
      </c>
      <c r="F697" s="2" t="s">
        <v>15</v>
      </c>
      <c r="G697" s="2" t="s">
        <v>1981</v>
      </c>
      <c r="H697" s="2" t="s">
        <v>35</v>
      </c>
      <c r="I697" s="2" t="str">
        <f>IFERROR(__xludf.DUMMYFUNCTION("GOOGLETRANSLATE(C697,""fr"",""en"")"),"Everything is fine as long as you don't have any claims. 2 non-liable claims (car accident with animal and burglary), and then the problems begin. No compensation for stolen goods even with invoice, poor diagnosis by the expert as to the damage to the veh"&amp;"icle, therefore against expertise but no consideration. Total result no compensation. I'm changing insurance. Don't go there at all!!")</f>
        <v>Everything is fine as long as you don't have any claims. 2 non-liable claims (car accident with animal and burglary), and then the problems begin. No compensation for stolen goods even with invoice, poor diagnosis by the expert as to the damage to the vehicle, therefore against expertise but no consideration. Total result no compensation. I'm changing insurance. Don't go there at all!!</v>
      </c>
    </row>
    <row r="698" ht="15.75" customHeight="1">
      <c r="A698" s="2">
        <v>4.0</v>
      </c>
      <c r="B698" s="2" t="s">
        <v>1982</v>
      </c>
      <c r="C698" s="2" t="s">
        <v>1983</v>
      </c>
      <c r="D698" s="2" t="s">
        <v>13</v>
      </c>
      <c r="E698" s="2" t="s">
        <v>14</v>
      </c>
      <c r="F698" s="2" t="s">
        <v>15</v>
      </c>
      <c r="G698" s="2" t="s">
        <v>754</v>
      </c>
      <c r="H698" s="2" t="s">
        <v>30</v>
      </c>
      <c r="I698" s="2" t="str">
        <f>IFERROR(__xludf.DUMMYFUNCTION("GOOGLETRANSLATE(C698,""fr"",""en"")"),"Satisfied with customer relations but not with follow-up. No sending of my sticker so 1 month without apparent insurance on my car. I had to contact them to get things moving and the Youdrive box was faulty, communication by email non-existent to notify t"&amp;"he customer. ")</f>
        <v>Satisfied with customer relations but not with follow-up. No sending of my sticker so 1 month without apparent insurance on my car. I had to contact them to get things moving and the Youdrive box was faulty, communication by email non-existent to notify the customer. </v>
      </c>
    </row>
    <row r="699" ht="15.75" customHeight="1">
      <c r="A699" s="2">
        <v>3.0</v>
      </c>
      <c r="B699" s="2" t="s">
        <v>1984</v>
      </c>
      <c r="C699" s="2" t="s">
        <v>1985</v>
      </c>
      <c r="D699" s="2" t="s">
        <v>13</v>
      </c>
      <c r="E699" s="2" t="s">
        <v>14</v>
      </c>
      <c r="F699" s="2" t="s">
        <v>15</v>
      </c>
      <c r="G699" s="2" t="s">
        <v>1986</v>
      </c>
      <c r="H699" s="2" t="s">
        <v>17</v>
      </c>
      <c r="I699" s="2" t="str">
        <f>IFERROR(__xludf.DUMMYFUNCTION("GOOGLETRANSLATE(C699,""fr"",""en"")"),"Why am I not offered monthly payment as I am already a customer of yours?
Because according to what is written it would have been my choice but for that I would have had to ask myself the question!
Thank you for your understanding ")</f>
        <v>Why am I not offered monthly payment as I am already a customer of yours?
Because according to what is written it would have been my choice but for that I would have had to ask myself the question!
Thank you for your understanding </v>
      </c>
    </row>
    <row r="700" ht="15.75" customHeight="1">
      <c r="A700" s="2">
        <v>2.0</v>
      </c>
      <c r="B700" s="2" t="s">
        <v>1987</v>
      </c>
      <c r="C700" s="2" t="s">
        <v>1988</v>
      </c>
      <c r="D700" s="2" t="s">
        <v>33</v>
      </c>
      <c r="E700" s="2" t="s">
        <v>14</v>
      </c>
      <c r="F700" s="2" t="s">
        <v>15</v>
      </c>
      <c r="G700" s="2" t="s">
        <v>1989</v>
      </c>
      <c r="H700" s="2" t="s">
        <v>1332</v>
      </c>
      <c r="I700" s="2" t="str">
        <f>IFERROR(__xludf.DUMMYFUNCTION("GOOGLETRANSLATE(C700,""fr"",""en"")"),"Good morning,
My wife had her vehicle stolen, more than 2 months old.
It has now been a month since we have had any news from matmut, no response to our emails or calls.
My wife's employer is threatening to fire her because today she is no longer able to"&amp;" go to work and unfortunately teleworking is impossible.
How can I receive compensation quickly? ")</f>
        <v>Good morning,
My wife had her vehicle stolen, more than 2 months old.
It has now been a month since we have had any news from matmut, no response to our emails or calls.
My wife's employer is threatening to fire her because today she is no longer able to go to work and unfortunately teleworking is impossible.
How can I receive compensation quickly? </v>
      </c>
    </row>
    <row r="701" ht="15.75" customHeight="1">
      <c r="A701" s="2">
        <v>4.0</v>
      </c>
      <c r="B701" s="2" t="s">
        <v>1990</v>
      </c>
      <c r="C701" s="2" t="s">
        <v>1991</v>
      </c>
      <c r="D701" s="2" t="s">
        <v>13</v>
      </c>
      <c r="E701" s="2" t="s">
        <v>14</v>
      </c>
      <c r="F701" s="2" t="s">
        <v>15</v>
      </c>
      <c r="G701" s="2" t="s">
        <v>1992</v>
      </c>
      <c r="H701" s="2" t="s">
        <v>111</v>
      </c>
      <c r="I701" s="2" t="str">
        <f>IFERROR(__xludf.DUMMYFUNCTION("GOOGLETRANSLATE(C701,""fr"",""en"")"),"Hello, very good reputation. Speed ​​and very explicit, very well maintained software and good warranty. After price level consistent with television advertising ")</f>
        <v>Hello, very good reputation. Speed ​​and very explicit, very well maintained software and good warranty. After price level consistent with television advertising </v>
      </c>
    </row>
    <row r="702" ht="15.75" customHeight="1">
      <c r="A702" s="2">
        <v>1.0</v>
      </c>
      <c r="B702" s="2" t="s">
        <v>1993</v>
      </c>
      <c r="C702" s="2" t="s">
        <v>1994</v>
      </c>
      <c r="D702" s="2" t="s">
        <v>145</v>
      </c>
      <c r="E702" s="2" t="s">
        <v>14</v>
      </c>
      <c r="F702" s="2" t="s">
        <v>15</v>
      </c>
      <c r="G702" s="2" t="s">
        <v>1995</v>
      </c>
      <c r="H702" s="2" t="s">
        <v>35</v>
      </c>
      <c r="I702" s="2" t="str">
        <f>IFERROR(__xludf.DUMMYFUNCTION("GOOGLETRANSLATE(C702,""fr"",""en"")"),"I filed a complaint with an advisor. To date, I have no feedback. We make fun of customers, we lie to them... I ask for a statement of information on one of my vehicles, in the end you have to call to get it.
I have never been so disappointed with insuran"&amp;"ce that I pay very expensively for. When we file a complaint to obtain an apology and a commercial gesture, because of an advisor who does not respect his clients, we cover up the matter. I will very soon say goodbye to the maaf.")</f>
        <v>I filed a complaint with an advisor. To date, I have no feedback. We make fun of customers, we lie to them... I ask for a statement of information on one of my vehicles, in the end you have to call to get it.
I have never been so disappointed with insurance that I pay very expensively for. When we file a complaint to obtain an apology and a commercial gesture, because of an advisor who does not respect his clients, we cover up the matter. I will very soon say goodbye to the maaf.</v>
      </c>
    </row>
    <row r="703" ht="15.75" customHeight="1">
      <c r="A703" s="2">
        <v>5.0</v>
      </c>
      <c r="B703" s="2" t="s">
        <v>1996</v>
      </c>
      <c r="C703" s="2" t="s">
        <v>1997</v>
      </c>
      <c r="D703" s="2" t="s">
        <v>13</v>
      </c>
      <c r="E703" s="2" t="s">
        <v>14</v>
      </c>
      <c r="F703" s="2" t="s">
        <v>15</v>
      </c>
      <c r="G703" s="2" t="s">
        <v>434</v>
      </c>
      <c r="H703" s="2" t="s">
        <v>111</v>
      </c>
      <c r="I703" s="2" t="str">
        <f>IFERROR(__xludf.DUMMYFUNCTION("GOOGLETRANSLATE(C703,""fr"",""en"")"),"Awesome. I recommend. Very intuitive, very simple and very very fast. The site is perfectly designed to help you. Customer service available to assist you ")</f>
        <v>Awesome. I recommend. Very intuitive, very simple and very very fast. The site is perfectly designed to help you. Customer service available to assist you </v>
      </c>
    </row>
    <row r="704" ht="15.75" customHeight="1">
      <c r="A704" s="2">
        <v>4.0</v>
      </c>
      <c r="B704" s="2" t="s">
        <v>1998</v>
      </c>
      <c r="C704" s="2" t="s">
        <v>1999</v>
      </c>
      <c r="D704" s="2" t="s">
        <v>13</v>
      </c>
      <c r="E704" s="2" t="s">
        <v>14</v>
      </c>
      <c r="F704" s="2" t="s">
        <v>15</v>
      </c>
      <c r="G704" s="2" t="s">
        <v>1616</v>
      </c>
      <c r="H704" s="2" t="s">
        <v>111</v>
      </c>
      <c r="I704" s="2" t="str">
        <f>IFERROR(__xludf.DUMMYFUNCTION("GOOGLETRANSLATE(C704,""fr"",""en"")"),"RAS EVERYTHING IS OK I WILL COMMUNICATE THE MISSING PARTS ON RECEIPT OF THE SINO FILE THE ESTABLISHMENT OF THE FILE IS SIMPLE AND QUICK I FIND IT VERY PRACTICAL")</f>
        <v>RAS EVERYTHING IS OK I WILL COMMUNICATE THE MISSING PARTS ON RECEIPT OF THE SINO FILE THE ESTABLISHMENT OF THE FILE IS SIMPLE AND QUICK I FIND IT VERY PRACTICAL</v>
      </c>
    </row>
    <row r="705" ht="15.75" customHeight="1">
      <c r="A705" s="2">
        <v>2.0</v>
      </c>
      <c r="B705" s="2" t="s">
        <v>2000</v>
      </c>
      <c r="C705" s="2" t="s">
        <v>2001</v>
      </c>
      <c r="D705" s="2" t="s">
        <v>120</v>
      </c>
      <c r="E705" s="2" t="s">
        <v>61</v>
      </c>
      <c r="F705" s="2" t="s">
        <v>15</v>
      </c>
      <c r="G705" s="2" t="s">
        <v>2002</v>
      </c>
      <c r="H705" s="2" t="s">
        <v>181</v>
      </c>
      <c r="I705" s="2" t="str">
        <f>IFERROR(__xludf.DUMMYFUNCTION("GOOGLETRANSLATE(C705,""fr"",""en"")"),"Unable to connect for 2 months. No error message after login attempt. No communication from AFER to say where they are
It looks like they are putting an untested, poorly migrated site into PROD")</f>
        <v>Unable to connect for 2 months. No error message after login attempt. No communication from AFER to say where they are
It looks like they are putting an untested, poorly migrated site into PROD</v>
      </c>
    </row>
    <row r="706" ht="15.75" customHeight="1">
      <c r="A706" s="2">
        <v>4.0</v>
      </c>
      <c r="B706" s="2" t="s">
        <v>2003</v>
      </c>
      <c r="C706" s="2" t="s">
        <v>2004</v>
      </c>
      <c r="D706" s="2" t="s">
        <v>190</v>
      </c>
      <c r="E706" s="2" t="s">
        <v>14</v>
      </c>
      <c r="F706" s="2" t="s">
        <v>15</v>
      </c>
      <c r="G706" s="2" t="s">
        <v>1753</v>
      </c>
      <c r="H706" s="2" t="s">
        <v>21</v>
      </c>
      <c r="I706" s="2" t="str">
        <f>IFERROR(__xludf.DUMMYFUNCTION("GOOGLETRANSLATE(C706,""fr"",""en"")"),"I am satisfied with almost everything 
The GMF offers a complete service in terms of insurance
I'm still waiting for some improvements
However, I give a 5 star also for the online services.
I can do everything online")</f>
        <v>I am satisfied with almost everything 
The GMF offers a complete service in terms of insurance
I'm still waiting for some improvements
However, I give a 5 star also for the online services.
I can do everything online</v>
      </c>
    </row>
    <row r="707" ht="15.75" customHeight="1">
      <c r="A707" s="2">
        <v>5.0</v>
      </c>
      <c r="B707" s="2" t="s">
        <v>2005</v>
      </c>
      <c r="C707" s="2" t="s">
        <v>2006</v>
      </c>
      <c r="D707" s="2" t="s">
        <v>28</v>
      </c>
      <c r="E707" s="2" t="s">
        <v>14</v>
      </c>
      <c r="F707" s="2" t="s">
        <v>15</v>
      </c>
      <c r="G707" s="2" t="s">
        <v>2007</v>
      </c>
      <c r="H707" s="2" t="s">
        <v>46</v>
      </c>
      <c r="I707" s="2" t="str">
        <f>IFERROR(__xludf.DUMMYFUNCTION("GOOGLETRANSLATE(C707,""fr"",""en"")"),"I am satisfied with the Olivier Assurance proposal. telephone reception and advice offered.
some difficulties in connecting to the personal space and finalizing the contract.   ")</f>
        <v>I am satisfied with the Olivier Assurance proposal. telephone reception and advice offered.
some difficulties in connecting to the personal space and finalizing the contract.   </v>
      </c>
    </row>
    <row r="708" ht="15.75" customHeight="1">
      <c r="A708" s="2">
        <v>4.0</v>
      </c>
      <c r="B708" s="2" t="s">
        <v>2008</v>
      </c>
      <c r="C708" s="2" t="s">
        <v>2009</v>
      </c>
      <c r="D708" s="2" t="s">
        <v>28</v>
      </c>
      <c r="E708" s="2" t="s">
        <v>14</v>
      </c>
      <c r="F708" s="2" t="s">
        <v>15</v>
      </c>
      <c r="G708" s="2" t="s">
        <v>456</v>
      </c>
      <c r="H708" s="2" t="s">
        <v>111</v>
      </c>
      <c r="I708" s="2" t="str">
        <f>IFERROR(__xludf.DUMMYFUNCTION("GOOGLETRANSLATE(C708,""fr"",""en"")"),"Good morning
We are very happy with your proposal and the agreement we reached regarding the insurance of our son Romain Martin's vehicle, thank you see you soon Christine Martin")</f>
        <v>Good morning
We are very happy with your proposal and the agreement we reached regarding the insurance of our son Romain Martin's vehicle, thank you see you soon Christine Martin</v>
      </c>
    </row>
    <row r="709" ht="15.75" customHeight="1">
      <c r="A709" s="2">
        <v>5.0</v>
      </c>
      <c r="B709" s="2" t="s">
        <v>2010</v>
      </c>
      <c r="C709" s="2" t="s">
        <v>2011</v>
      </c>
      <c r="D709" s="2" t="s">
        <v>28</v>
      </c>
      <c r="E709" s="2" t="s">
        <v>14</v>
      </c>
      <c r="F709" s="2" t="s">
        <v>15</v>
      </c>
      <c r="G709" s="2" t="s">
        <v>1187</v>
      </c>
      <c r="H709" s="2" t="s">
        <v>111</v>
      </c>
      <c r="I709" s="2" t="str">
        <f>IFERROR(__xludf.DUMMYFUNCTION("GOOGLETRANSLATE(C709,""fr"",""en"")"),"Very satisfied with the subscription. Hoping that my experience with Olivier assurance continues under the same conditions and everything will be perfect")</f>
        <v>Very satisfied with the subscription. Hoping that my experience with Olivier assurance continues under the same conditions and everything will be perfect</v>
      </c>
    </row>
    <row r="710" ht="15.75" customHeight="1">
      <c r="A710" s="2">
        <v>1.0</v>
      </c>
      <c r="B710" s="2" t="s">
        <v>2012</v>
      </c>
      <c r="C710" s="2" t="s">
        <v>2013</v>
      </c>
      <c r="D710" s="2" t="s">
        <v>55</v>
      </c>
      <c r="E710" s="2" t="s">
        <v>39</v>
      </c>
      <c r="F710" s="2" t="s">
        <v>15</v>
      </c>
      <c r="G710" s="2" t="s">
        <v>1728</v>
      </c>
      <c r="H710" s="2" t="s">
        <v>389</v>
      </c>
      <c r="I710" s="2" t="str">
        <f>IFERROR(__xludf.DUMMYFUNCTION("GOOGLETRANSLATE(C710,""fr"",""en"")"),"Don't answer the phone or have endless waits! Forbid responding by email and give 1 different ref for each sending to their email by not including the initial ref and therefore are unable to follow a history! Demanding undue costs! Are unable to put NOEMI"&amp;"E in place for months when it comes to the CPAM but especially the MGEN! In short, to absolutely avoid! Opinion from a mutualist who has known Swis Life, GFP, UMC, Verspieren, Touraine Mutualiste, SMEBA, etc.")</f>
        <v>Don't answer the phone or have endless waits! Forbid responding by email and give 1 different ref for each sending to their email by not including the initial ref and therefore are unable to follow a history! Demanding undue costs! Are unable to put NOEMIE in place for months when it comes to the CPAM but especially the MGEN! In short, to absolutely avoid! Opinion from a mutualist who has known Swis Life, GFP, UMC, Verspieren, Touraine Mutualiste, SMEBA, etc.</v>
      </c>
    </row>
    <row r="711" ht="15.75" customHeight="1">
      <c r="A711" s="2">
        <v>4.0</v>
      </c>
      <c r="B711" s="2" t="s">
        <v>2014</v>
      </c>
      <c r="C711" s="2" t="s">
        <v>2015</v>
      </c>
      <c r="D711" s="2" t="s">
        <v>13</v>
      </c>
      <c r="E711" s="2" t="s">
        <v>14</v>
      </c>
      <c r="F711" s="2" t="s">
        <v>15</v>
      </c>
      <c r="G711" s="2" t="s">
        <v>722</v>
      </c>
      <c r="H711" s="2" t="s">
        <v>21</v>
      </c>
      <c r="I711" s="2" t="str">
        <f>IFERROR(__xludf.DUMMYFUNCTION("GOOGLETRANSLATE(C711,""fr"",""en"")"),"I am satisfied with your prices. Rates are obtained by Le Lynx. These elements seem very attractive. The ergonomics of your website is pleasant")</f>
        <v>I am satisfied with your prices. Rates are obtained by Le Lynx. These elements seem very attractive. The ergonomics of your website is pleasant</v>
      </c>
    </row>
    <row r="712" ht="15.75" customHeight="1">
      <c r="A712" s="2">
        <v>4.0</v>
      </c>
      <c r="B712" s="2" t="s">
        <v>2016</v>
      </c>
      <c r="C712" s="2" t="s">
        <v>2017</v>
      </c>
      <c r="D712" s="2" t="s">
        <v>33</v>
      </c>
      <c r="E712" s="2" t="s">
        <v>14</v>
      </c>
      <c r="F712" s="2" t="s">
        <v>15</v>
      </c>
      <c r="G712" s="2" t="s">
        <v>361</v>
      </c>
      <c r="H712" s="2" t="s">
        <v>361</v>
      </c>
      <c r="I712" s="2" t="str">
        <f>IFERROR(__xludf.DUMMYFUNCTION("GOOGLETRANSLATE(C712,""fr"",""en"")"),"very happy with this insurance, friendly and competent contact for having experienced it. car accident twice and quick and attentive response.
")</f>
        <v>very happy with this insurance, friendly and competent contact for having experienced it. car accident twice and quick and attentive response.
</v>
      </c>
    </row>
    <row r="713" ht="15.75" customHeight="1">
      <c r="A713" s="2">
        <v>3.0</v>
      </c>
      <c r="B713" s="2" t="s">
        <v>2018</v>
      </c>
      <c r="C713" s="2" t="s">
        <v>2019</v>
      </c>
      <c r="D713" s="2" t="s">
        <v>44</v>
      </c>
      <c r="E713" s="2" t="s">
        <v>39</v>
      </c>
      <c r="F713" s="2" t="s">
        <v>15</v>
      </c>
      <c r="G713" s="2" t="s">
        <v>2020</v>
      </c>
      <c r="H713" s="2" t="s">
        <v>46</v>
      </c>
      <c r="I713" s="2" t="str">
        <f>IFERROR(__xludf.DUMMYFUNCTION("GOOGLETRANSLATE(C713,""fr"",""en"")"),"I am satisfied with the product and the price. Registration is easy and quick by doing it on the internet.
The choices are interesting and suitable for all budgets.
")</f>
        <v>I am satisfied with the product and the price. Registration is easy and quick by doing it on the internet.
The choices are interesting and suitable for all budgets.
</v>
      </c>
    </row>
    <row r="714" ht="15.75" customHeight="1">
      <c r="A714" s="2">
        <v>3.0</v>
      </c>
      <c r="B714" s="2" t="s">
        <v>2021</v>
      </c>
      <c r="C714" s="2" t="s">
        <v>2022</v>
      </c>
      <c r="D714" s="2" t="s">
        <v>28</v>
      </c>
      <c r="E714" s="2" t="s">
        <v>14</v>
      </c>
      <c r="F714" s="2" t="s">
        <v>15</v>
      </c>
      <c r="G714" s="2" t="s">
        <v>2023</v>
      </c>
      <c r="H714" s="2" t="s">
        <v>111</v>
      </c>
      <c r="I714" s="2" t="str">
        <f>IFERROR(__xludf.DUMMYFUNCTION("GOOGLETRANSLATE(C714,""fr"",""en"")"),"Difficult support when you break down far from home on a Friday evening...
Bad experience with a previous vehicle last year")</f>
        <v>Difficult support when you break down far from home on a Friday evening...
Bad experience with a previous vehicle last year</v>
      </c>
    </row>
    <row r="715" ht="15.75" customHeight="1">
      <c r="A715" s="2">
        <v>4.0</v>
      </c>
      <c r="B715" s="2" t="s">
        <v>2024</v>
      </c>
      <c r="C715" s="2" t="s">
        <v>2025</v>
      </c>
      <c r="D715" s="2" t="s">
        <v>28</v>
      </c>
      <c r="E715" s="2" t="s">
        <v>14</v>
      </c>
      <c r="F715" s="2" t="s">
        <v>15</v>
      </c>
      <c r="G715" s="2" t="s">
        <v>121</v>
      </c>
      <c r="H715" s="2" t="s">
        <v>21</v>
      </c>
      <c r="I715" s="2" t="str">
        <f>IFERROR(__xludf.DUMMYFUNCTION("GOOGLETRANSLATE(C715,""fr"",""en"")"),"I am satisfied with the service and telephone reception as well as the information provided.
The interlocutor gave good advice.
The prices are reasonable.")</f>
        <v>I am satisfied with the service and telephone reception as well as the information provided.
The interlocutor gave good advice.
The prices are reasonable.</v>
      </c>
    </row>
    <row r="716" ht="15.75" customHeight="1">
      <c r="A716" s="2">
        <v>1.0</v>
      </c>
      <c r="B716" s="2" t="s">
        <v>2026</v>
      </c>
      <c r="C716" s="2" t="s">
        <v>2027</v>
      </c>
      <c r="D716" s="2" t="s">
        <v>13</v>
      </c>
      <c r="E716" s="2" t="s">
        <v>14</v>
      </c>
      <c r="F716" s="2" t="s">
        <v>15</v>
      </c>
      <c r="G716" s="2" t="s">
        <v>615</v>
      </c>
      <c r="H716" s="2" t="s">
        <v>25</v>
      </c>
      <c r="I716" s="2" t="str">
        <f>IFERROR(__xludf.DUMMYFUNCTION("GOOGLETRANSLATE(C716,""fr"",""en"")"),"Customer service does not respond after 15 minutes of waiting. Exorbitant price. Website not up to par. I am extremely disappointed with the company's services.
I'm going to run away!")</f>
        <v>Customer service does not respond after 15 minutes of waiting. Exorbitant price. Website not up to par. I am extremely disappointed with the company's services.
I'm going to run away!</v>
      </c>
    </row>
    <row r="717" ht="15.75" customHeight="1">
      <c r="A717" s="2">
        <v>1.0</v>
      </c>
      <c r="B717" s="2" t="s">
        <v>2028</v>
      </c>
      <c r="C717" s="2" t="s">
        <v>2029</v>
      </c>
      <c r="D717" s="2" t="s">
        <v>28</v>
      </c>
      <c r="E717" s="2" t="s">
        <v>14</v>
      </c>
      <c r="F717" s="2" t="s">
        <v>15</v>
      </c>
      <c r="G717" s="2" t="s">
        <v>71</v>
      </c>
      <c r="H717" s="2" t="s">
        <v>71</v>
      </c>
      <c r="I717" s="2" t="str">
        <f>IFERROR(__xludf.DUMMYFUNCTION("GOOGLETRANSLATE(C717,""fr"",""en"")"),"The only insurance I have subscribed to which never compensates its customers in the event of a loss, all means are good to never compensate (use of law without any connection and others...)
RUN AWAY")</f>
        <v>The only insurance I have subscribed to which never compensates its customers in the event of a loss, all means are good to never compensate (use of law without any connection and others...)
RUN AWAY</v>
      </c>
    </row>
    <row r="718" ht="15.75" customHeight="1">
      <c r="A718" s="2">
        <v>5.0</v>
      </c>
      <c r="B718" s="2" t="s">
        <v>2030</v>
      </c>
      <c r="C718" s="2" t="s">
        <v>2031</v>
      </c>
      <c r="D718" s="2" t="s">
        <v>28</v>
      </c>
      <c r="E718" s="2" t="s">
        <v>14</v>
      </c>
      <c r="F718" s="2" t="s">
        <v>15</v>
      </c>
      <c r="G718" s="2" t="s">
        <v>1931</v>
      </c>
      <c r="H718" s="2" t="s">
        <v>21</v>
      </c>
      <c r="I718" s="2" t="str">
        <f>IFERROR(__xludf.DUMMYFUNCTION("GOOGLETRANSLATE(C718,""fr"",""en"")"),"Price completely correct and adapted to my situation as well as the age of my car.
Contactable and courteous advisors.
Easy and quick subscription.
I recommend.")</f>
        <v>Price completely correct and adapted to my situation as well as the age of my car.
Contactable and courteous advisors.
Easy and quick subscription.
I recommend.</v>
      </c>
    </row>
    <row r="719" ht="15.75" customHeight="1">
      <c r="A719" s="2">
        <v>4.0</v>
      </c>
      <c r="B719" s="2" t="s">
        <v>2032</v>
      </c>
      <c r="C719" s="2" t="s">
        <v>2033</v>
      </c>
      <c r="D719" s="2" t="s">
        <v>28</v>
      </c>
      <c r="E719" s="2" t="s">
        <v>14</v>
      </c>
      <c r="F719" s="2" t="s">
        <v>15</v>
      </c>
      <c r="G719" s="2" t="s">
        <v>1635</v>
      </c>
      <c r="H719" s="2" t="s">
        <v>30</v>
      </c>
      <c r="I719" s="2" t="str">
        <f>IFERROR(__xludf.DUMMYFUNCTION("GOOGLETRANSLATE(C719,""fr"",""en"")"),"Very competitive insurance on the market, they offer a very attractive price. Particularly young licenses (50% cheaper for full insurance. I had an accident not long ago, the support was rather responsive, I was able to call them several times to get info"&amp;"rmation. The response on the phone was quick. The only negative point was the time it took for the expert to come to the garage (around 1 month). Do not hesitate to use my partner code: LOA-FQKS45.")</f>
        <v>Very competitive insurance on the market, they offer a very attractive price. Particularly young licenses (50% cheaper for full insurance. I had an accident not long ago, the support was rather responsive, I was able to call them several times to get information. The response on the phone was quick. The only negative point was the time it took for the expert to come to the garage (around 1 month). Do not hesitate to use my partner code: LOA-FQKS45.</v>
      </c>
    </row>
    <row r="720" ht="15.75" customHeight="1">
      <c r="A720" s="2">
        <v>4.0</v>
      </c>
      <c r="B720" s="2" t="s">
        <v>2034</v>
      </c>
      <c r="C720" s="2" t="s">
        <v>2035</v>
      </c>
      <c r="D720" s="2" t="s">
        <v>28</v>
      </c>
      <c r="E720" s="2" t="s">
        <v>14</v>
      </c>
      <c r="F720" s="2" t="s">
        <v>15</v>
      </c>
      <c r="G720" s="2" t="s">
        <v>1251</v>
      </c>
      <c r="H720" s="2" t="s">
        <v>83</v>
      </c>
      <c r="I720" s="2" t="str">
        <f>IFERROR(__xludf.DUMMYFUNCTION("GOOGLETRANSLATE(C720,""fr"",""en"")"),"difficult for a computer neophyte. I had to get help, I hope everything is done well. I am still waiting for my green card and thank you for the welcome I received.")</f>
        <v>difficult for a computer neophyte. I had to get help, I hope everything is done well. I am still waiting for my green card and thank you for the welcome I received.</v>
      </c>
    </row>
    <row r="721" ht="15.75" customHeight="1">
      <c r="A721" s="2">
        <v>1.0</v>
      </c>
      <c r="B721" s="2" t="s">
        <v>2036</v>
      </c>
      <c r="C721" s="2" t="s">
        <v>2037</v>
      </c>
      <c r="D721" s="2" t="s">
        <v>128</v>
      </c>
      <c r="E721" s="2" t="s">
        <v>129</v>
      </c>
      <c r="F721" s="2" t="s">
        <v>15</v>
      </c>
      <c r="G721" s="2" t="s">
        <v>2038</v>
      </c>
      <c r="H721" s="2" t="s">
        <v>385</v>
      </c>
      <c r="I721" s="2" t="str">
        <f>IFERROR(__xludf.DUMMYFUNCTION("GOOGLETRANSLATE(C721,""fr"",""en"")"),"Incompetent people who add options to you without your agreement then try to force you to sign a new contract to prevent you from fleeing to other insurers. Absolutely avoid. ")</f>
        <v>Incompetent people who add options to you without your agreement then try to force you to sign a new contract to prevent you from fleeing to other insurers. Absolutely avoid. </v>
      </c>
    </row>
    <row r="722" ht="15.75" customHeight="1">
      <c r="A722" s="2">
        <v>1.0</v>
      </c>
      <c r="B722" s="2" t="s">
        <v>2039</v>
      </c>
      <c r="C722" s="2" t="s">
        <v>2040</v>
      </c>
      <c r="D722" s="2" t="s">
        <v>303</v>
      </c>
      <c r="E722" s="2" t="s">
        <v>14</v>
      </c>
      <c r="F722" s="2" t="s">
        <v>15</v>
      </c>
      <c r="G722" s="2" t="s">
        <v>2041</v>
      </c>
      <c r="H722" s="2" t="s">
        <v>133</v>
      </c>
      <c r="I722" s="2" t="str">
        <f>IFERROR(__xludf.DUMMYFUNCTION("GOOGLETRANSLATE(C722,""fr"",""en"")"),"the macif and very good insurance provided that you do not use it when you need it have the degas 31 years old with 50% for more than 20 years member it is said to be less expensive because you have to add a little extra ")</f>
        <v>the macif and very good insurance provided that you do not use it when you need it have the degas 31 years old with 50% for more than 20 years member it is said to be less expensive because you have to add a little extra </v>
      </c>
    </row>
    <row r="723" ht="15.75" customHeight="1">
      <c r="A723" s="2">
        <v>5.0</v>
      </c>
      <c r="B723" s="2" t="s">
        <v>2042</v>
      </c>
      <c r="C723" s="2" t="s">
        <v>2043</v>
      </c>
      <c r="D723" s="2" t="s">
        <v>28</v>
      </c>
      <c r="E723" s="2" t="s">
        <v>14</v>
      </c>
      <c r="F723" s="2" t="s">
        <v>15</v>
      </c>
      <c r="G723" s="2" t="s">
        <v>173</v>
      </c>
      <c r="H723" s="2" t="s">
        <v>30</v>
      </c>
      <c r="I723" s="2" t="str">
        <f>IFERROR(__xludf.DUMMYFUNCTION("GOOGLETRANSLATE(C723,""fr"",""en"")"),"Satisfied with the online service and speed in the procedures for registration and payment as well as the opening of my insured space. I am reassured to have been able to subscribe to you ")</f>
        <v>Satisfied with the online service and speed in the procedures for registration and payment as well as the opening of my insured space. I am reassured to have been able to subscribe to you </v>
      </c>
    </row>
    <row r="724" ht="15.75" customHeight="1">
      <c r="A724" s="2">
        <v>2.0</v>
      </c>
      <c r="B724" s="2" t="s">
        <v>2044</v>
      </c>
      <c r="C724" s="2" t="s">
        <v>2045</v>
      </c>
      <c r="D724" s="2" t="s">
        <v>664</v>
      </c>
      <c r="E724" s="2" t="s">
        <v>39</v>
      </c>
      <c r="F724" s="2" t="s">
        <v>15</v>
      </c>
      <c r="G724" s="2" t="s">
        <v>2046</v>
      </c>
      <c r="H724" s="2" t="s">
        <v>236</v>
      </c>
      <c r="I724" s="2" t="str">
        <f>IFERROR(__xludf.DUMMYFUNCTION("GOOGLETRANSLATE(C724,""fr"",""en"")"),"AFTER DIFFICULTY IN REIMBURSEMENT THE SANTIANE CONTACTOR RESOLVED THE PROBLEM QUICKLY")</f>
        <v>AFTER DIFFICULTY IN REIMBURSEMENT THE SANTIANE CONTACTOR RESOLVED THE PROBLEM QUICKLY</v>
      </c>
    </row>
    <row r="725" ht="15.75" customHeight="1">
      <c r="A725" s="2">
        <v>1.0</v>
      </c>
      <c r="B725" s="2" t="s">
        <v>2047</v>
      </c>
      <c r="C725" s="2" t="s">
        <v>2048</v>
      </c>
      <c r="D725" s="2" t="s">
        <v>44</v>
      </c>
      <c r="E725" s="2" t="s">
        <v>101</v>
      </c>
      <c r="F725" s="2" t="s">
        <v>15</v>
      </c>
      <c r="G725" s="2" t="s">
        <v>2049</v>
      </c>
      <c r="H725" s="2" t="s">
        <v>133</v>
      </c>
      <c r="I725" s="2" t="str">
        <f>IFERROR(__xludf.DUMMYFUNCTION("GOOGLETRANSLATE(C725,""fr"",""en"")"),"having poor health it is a constant battle to try to get you compensated they have not started to do it that an expert has already been commissioned and everything is blocked until the date of the appointment well done April and a little advice take an ex"&amp;"pert with you in case of expertise also no it is lost in advance APRIL to be banned")</f>
        <v>having poor health it is a constant battle to try to get you compensated they have not started to do it that an expert has already been commissioned and everything is blocked until the date of the appointment well done April and a little advice take an expert with you in case of expertise also no it is lost in advance APRIL to be banned</v>
      </c>
    </row>
    <row r="726" ht="15.75" customHeight="1">
      <c r="A726" s="2">
        <v>1.0</v>
      </c>
      <c r="B726" s="2" t="s">
        <v>2050</v>
      </c>
      <c r="C726" s="2" t="s">
        <v>2051</v>
      </c>
      <c r="D726" s="2" t="s">
        <v>13</v>
      </c>
      <c r="E726" s="2" t="s">
        <v>14</v>
      </c>
      <c r="F726" s="2" t="s">
        <v>15</v>
      </c>
      <c r="G726" s="2" t="s">
        <v>1412</v>
      </c>
      <c r="H726" s="2" t="s">
        <v>25</v>
      </c>
      <c r="I726" s="2" t="str">
        <f>IFERROR(__xludf.DUMMYFUNCTION("GOOGLETRANSLATE(C726,""fr"",""en"")"),"I am very dissatisfied, disappointed, because I am vandalized and the glass breakage does not work.
Totally disappointing.
 I am leaving your home, insured for several years without any loss, well done recognition.")</f>
        <v>I am very dissatisfied, disappointed, because I am vandalized and the glass breakage does not work.
Totally disappointing.
 I am leaving your home, insured for several years without any loss, well done recognition.</v>
      </c>
    </row>
    <row r="727" ht="15.75" customHeight="1">
      <c r="A727" s="2">
        <v>1.0</v>
      </c>
      <c r="B727" s="2" t="s">
        <v>2052</v>
      </c>
      <c r="C727" s="2" t="s">
        <v>2053</v>
      </c>
      <c r="D727" s="2" t="s">
        <v>55</v>
      </c>
      <c r="E727" s="2" t="s">
        <v>39</v>
      </c>
      <c r="F727" s="2" t="s">
        <v>15</v>
      </c>
      <c r="G727" s="2" t="s">
        <v>2054</v>
      </c>
      <c r="H727" s="2" t="s">
        <v>57</v>
      </c>
      <c r="I727" s="2" t="str">
        <f>IFERROR(__xludf.DUMMYFUNCTION("GOOGLETRANSLATE(C727,""fr"",""en"")"),"To flee urgently. Mutual who doesn't know how to answer questions. They never have the information or changing information depending on the agents... Some agents lack courtesy, friendliness... The extremely long processing time. Let's not talk about the r"&amp;"epayment period!!
I'm still waiting for my reimbursements since August (we're almost in February...)
Leave, run away... But don't leave them your health and your money!! ")</f>
        <v>To flee urgently. Mutual who doesn't know how to answer questions. They never have the information or changing information depending on the agents... Some agents lack courtesy, friendliness... The extremely long processing time. Let's not talk about the repayment period!!
I'm still waiting for my reimbursements since August (we're almost in February...)
Leave, run away... But don't leave them your health and your money!! </v>
      </c>
    </row>
    <row r="728" ht="15.75" customHeight="1">
      <c r="A728" s="2">
        <v>1.0</v>
      </c>
      <c r="B728" s="2" t="s">
        <v>2055</v>
      </c>
      <c r="C728" s="2" t="s">
        <v>2056</v>
      </c>
      <c r="D728" s="2" t="s">
        <v>394</v>
      </c>
      <c r="E728" s="2" t="s">
        <v>129</v>
      </c>
      <c r="F728" s="2" t="s">
        <v>15</v>
      </c>
      <c r="G728" s="2" t="s">
        <v>2057</v>
      </c>
      <c r="H728" s="2" t="s">
        <v>52</v>
      </c>
      <c r="I728" s="2" t="str">
        <f>IFERROR(__xludf.DUMMYFUNCTION("GOOGLETRANSLATE(C728,""fr"",""en"")"),"5 years ago I took out home insurance for 35 euros per month. To date I am at 40 euros per month. in 5 years I declared only 1 claim for water damage last year, that is to say in September 2019. It is September 2020 and after several recommendations, I st"&amp;"ill have not heard from my insurer.   Frankly, if you have money to throw out the window, you can go to SOGESSUR. if you go to a comparator to take out insurance, if SOGESSUR offers you the best price, go your way. I will not recommend this insurance comp"&amp;"any to anyone, even my enemy. ABSOLUTELY NOT.")</f>
        <v>5 years ago I took out home insurance for 35 euros per month. To date I am at 40 euros per month. in 5 years I declared only 1 claim for water damage last year, that is to say in September 2019. It is September 2020 and after several recommendations, I still have not heard from my insurer.   Frankly, if you have money to throw out the window, you can go to SOGESSUR. if you go to a comparator to take out insurance, if SOGESSUR offers you the best price, go your way. I will not recommend this insurance company to anyone, even my enemy. ABSOLUTELY NOT.</v>
      </c>
    </row>
    <row r="729" ht="15.75" customHeight="1">
      <c r="A729" s="2">
        <v>4.0</v>
      </c>
      <c r="B729" s="2" t="s">
        <v>2058</v>
      </c>
      <c r="C729" s="2" t="s">
        <v>2059</v>
      </c>
      <c r="D729" s="2" t="s">
        <v>493</v>
      </c>
      <c r="E729" s="2" t="s">
        <v>101</v>
      </c>
      <c r="F729" s="2" t="s">
        <v>15</v>
      </c>
      <c r="G729" s="2" t="s">
        <v>1114</v>
      </c>
      <c r="H729" s="2" t="s">
        <v>17</v>
      </c>
      <c r="I729" s="2" t="str">
        <f>IFERROR(__xludf.DUMMYFUNCTION("GOOGLETRANSLATE(C729,""fr"",""en"")"),"I am satisfied with the service, the prices suit me, simple and practical. Good contact with Benjamin. He is pleasant and responsive.
I highly recommend. 
")</f>
        <v>I am satisfied with the service, the prices suit me, simple and practical. Good contact with Benjamin. He is pleasant and responsive.
I highly recommend. 
</v>
      </c>
    </row>
    <row r="730" ht="15.75" customHeight="1">
      <c r="A730" s="2">
        <v>4.0</v>
      </c>
      <c r="B730" s="2" t="s">
        <v>2060</v>
      </c>
      <c r="C730" s="2" t="s">
        <v>2061</v>
      </c>
      <c r="D730" s="2" t="s">
        <v>13</v>
      </c>
      <c r="E730" s="2" t="s">
        <v>14</v>
      </c>
      <c r="F730" s="2" t="s">
        <v>15</v>
      </c>
      <c r="G730" s="2" t="s">
        <v>654</v>
      </c>
      <c r="H730" s="2" t="s">
        <v>83</v>
      </c>
      <c r="I730" s="2" t="str">
        <f>IFERROR(__xludf.DUMMYFUNCTION("GOOGLETRANSLATE(C730,""fr"",""en"")"),"I am completely satisfied with the direct insurance service.
the prices are reasonable. I think good drivers should get an extra bonus.")</f>
        <v>I am completely satisfied with the direct insurance service.
the prices are reasonable. I think good drivers should get an extra bonus.</v>
      </c>
    </row>
    <row r="731" ht="15.75" customHeight="1">
      <c r="A731" s="2">
        <v>4.0</v>
      </c>
      <c r="B731" s="2" t="s">
        <v>2062</v>
      </c>
      <c r="C731" s="2" t="s">
        <v>2063</v>
      </c>
      <c r="D731" s="2" t="s">
        <v>28</v>
      </c>
      <c r="E731" s="2" t="s">
        <v>14</v>
      </c>
      <c r="F731" s="2" t="s">
        <v>15</v>
      </c>
      <c r="G731" s="2" t="s">
        <v>1716</v>
      </c>
      <c r="H731" s="2" t="s">
        <v>83</v>
      </c>
      <c r="I731" s="2" t="str">
        <f>IFERROR(__xludf.DUMMYFUNCTION("GOOGLETRANSLATE(C731,""fr"",""en"")"),"I am satisfied with the service and the price which seems fair to me. The telephone reception was also very good and the advice was good. Thank you")</f>
        <v>I am satisfied with the service and the price which seems fair to me. The telephone reception was also very good and the advice was good. Thank you</v>
      </c>
    </row>
    <row r="732" ht="15.75" customHeight="1">
      <c r="A732" s="2">
        <v>4.0</v>
      </c>
      <c r="B732" s="2" t="s">
        <v>2064</v>
      </c>
      <c r="C732" s="2" t="s">
        <v>2065</v>
      </c>
      <c r="D732" s="2" t="s">
        <v>13</v>
      </c>
      <c r="E732" s="2" t="s">
        <v>14</v>
      </c>
      <c r="F732" s="2" t="s">
        <v>15</v>
      </c>
      <c r="G732" s="2" t="s">
        <v>2066</v>
      </c>
      <c r="H732" s="2" t="s">
        <v>286</v>
      </c>
      <c r="I732" s="2" t="str">
        <f>IFERROR(__xludf.DUMMYFUNCTION("GOOGLETRANSLATE(C732,""fr"",""en"")"),"I have been a customer since 2009 no problems File always well followed in the event of a disaster or other I am completely satisfied with direct insurance I highly recommend ")</f>
        <v>I have been a customer since 2009 no problems File always well followed in the event of a disaster or other I am completely satisfied with direct insurance I highly recommend </v>
      </c>
    </row>
    <row r="733" ht="15.75" customHeight="1">
      <c r="A733" s="2">
        <v>5.0</v>
      </c>
      <c r="B733" s="2" t="s">
        <v>2067</v>
      </c>
      <c r="C733" s="2" t="s">
        <v>2068</v>
      </c>
      <c r="D733" s="2" t="s">
        <v>13</v>
      </c>
      <c r="E733" s="2" t="s">
        <v>14</v>
      </c>
      <c r="F733" s="2" t="s">
        <v>15</v>
      </c>
      <c r="G733" s="2" t="s">
        <v>420</v>
      </c>
      <c r="H733" s="2" t="s">
        <v>17</v>
      </c>
      <c r="I733" s="2" t="str">
        <f>IFERROR(__xludf.DUMMYFUNCTION("GOOGLETRANSLATE(C733,""fr"",""en"")"),"Satisfied with the different insurance solutions offered
Easy registration and cancellation
The guarantees are well explained
Very fast clear clear
The prices are very attractive
")</f>
        <v>Satisfied with the different insurance solutions offered
Easy registration and cancellation
The guarantees are well explained
Very fast clear clear
The prices are very attractive
</v>
      </c>
    </row>
    <row r="734" ht="15.75" customHeight="1">
      <c r="A734" s="2">
        <v>3.0</v>
      </c>
      <c r="B734" s="2" t="s">
        <v>2069</v>
      </c>
      <c r="C734" s="2" t="s">
        <v>2070</v>
      </c>
      <c r="D734" s="2" t="s">
        <v>322</v>
      </c>
      <c r="E734" s="2" t="s">
        <v>14</v>
      </c>
      <c r="F734" s="2" t="s">
        <v>15</v>
      </c>
      <c r="G734" s="2" t="s">
        <v>818</v>
      </c>
      <c r="H734" s="2" t="s">
        <v>328</v>
      </c>
      <c r="I734" s="2" t="str">
        <f>IFERROR(__xludf.DUMMYFUNCTION("GOOGLETRANSLATE(C734,""fr"",""en"")"),"Very short and very disappointing experience. Don't make my mistake and run away! I started the process with this insurance in order to save money.
I paid for several months and then couldn't get a contract. Having several hundred euros incurred, I filed "&amp;"a fraud report with my bank for unreturned goods.")</f>
        <v>Very short and very disappointing experience. Don't make my mistake and run away! I started the process with this insurance in order to save money.
I paid for several months and then couldn't get a contract. Having several hundred euros incurred, I filed a fraud report with my bank for unreturned goods.</v>
      </c>
    </row>
    <row r="735" ht="15.75" customHeight="1">
      <c r="A735" s="2">
        <v>5.0</v>
      </c>
      <c r="B735" s="2" t="s">
        <v>2071</v>
      </c>
      <c r="C735" s="2" t="s">
        <v>2072</v>
      </c>
      <c r="D735" s="2" t="s">
        <v>197</v>
      </c>
      <c r="E735" s="2" t="s">
        <v>81</v>
      </c>
      <c r="F735" s="2" t="s">
        <v>15</v>
      </c>
      <c r="G735" s="2" t="s">
        <v>2073</v>
      </c>
      <c r="H735" s="2" t="s">
        <v>17</v>
      </c>
      <c r="I735" s="2" t="str">
        <f>IFERROR(__xludf.DUMMYFUNCTION("GOOGLETRANSLATE(C735,""fr"",""en"")"),"I am satisfied with the welcome from AMV to insure my scooter, hoping to continue to trust you for a long time, looking forward to your support.")</f>
        <v>I am satisfied with the welcome from AMV to insure my scooter, hoping to continue to trust you for a long time, looking forward to your support.</v>
      </c>
    </row>
    <row r="736" ht="15.75" customHeight="1">
      <c r="A736" s="2">
        <v>4.0</v>
      </c>
      <c r="B736" s="2" t="s">
        <v>2074</v>
      </c>
      <c r="C736" s="2" t="s">
        <v>2075</v>
      </c>
      <c r="D736" s="2" t="s">
        <v>28</v>
      </c>
      <c r="E736" s="2" t="s">
        <v>14</v>
      </c>
      <c r="F736" s="2" t="s">
        <v>15</v>
      </c>
      <c r="G736" s="2" t="s">
        <v>1869</v>
      </c>
      <c r="H736" s="2" t="s">
        <v>111</v>
      </c>
      <c r="I736" s="2" t="str">
        <f>IFERROR(__xludf.DUMMYFUNCTION("GOOGLETRANSLATE(C736,""fr"",""en"")"),"I recommend this insurance, attentive and very pleasant staff who answered all my questions and offered me a formula adapted to my research ")</f>
        <v>I recommend this insurance, attentive and very pleasant staff who answered all my questions and offered me a formula adapted to my research </v>
      </c>
    </row>
    <row r="737" ht="15.75" customHeight="1">
      <c r="A737" s="2">
        <v>4.0</v>
      </c>
      <c r="B737" s="2" t="s">
        <v>2076</v>
      </c>
      <c r="C737" s="2" t="s">
        <v>2077</v>
      </c>
      <c r="D737" s="2" t="s">
        <v>13</v>
      </c>
      <c r="E737" s="2" t="s">
        <v>14</v>
      </c>
      <c r="F737" s="2" t="s">
        <v>15</v>
      </c>
      <c r="G737" s="2" t="s">
        <v>167</v>
      </c>
      <c r="H737" s="2" t="s">
        <v>17</v>
      </c>
      <c r="I737" s="2" t="str">
        <f>IFERROR(__xludf.DUMMYFUNCTION("GOOGLETRANSLATE(C737,""fr"",""en"")"),"great and easy to use
Convenient and assistance and reliable
rapid intervention level
friendliness on the phone I recommend unbeatable price")</f>
        <v>great and easy to use
Convenient and assistance and reliable
rapid intervention level
friendliness on the phone I recommend unbeatable price</v>
      </c>
    </row>
    <row r="738" ht="15.75" customHeight="1">
      <c r="A738" s="2">
        <v>3.0</v>
      </c>
      <c r="B738" s="2" t="s">
        <v>2078</v>
      </c>
      <c r="C738" s="2" t="s">
        <v>2079</v>
      </c>
      <c r="D738" s="2" t="s">
        <v>13</v>
      </c>
      <c r="E738" s="2" t="s">
        <v>14</v>
      </c>
      <c r="F738" s="2" t="s">
        <v>15</v>
      </c>
      <c r="G738" s="2" t="s">
        <v>1243</v>
      </c>
      <c r="H738" s="2" t="s">
        <v>448</v>
      </c>
      <c r="I738" s="2" t="str">
        <f>IFERROR(__xludf.DUMMYFUNCTION("GOOGLETRANSLATE(C738,""fr"",""en"")"),"Cheap!!!!! I had a non-fault accident, car less than a year old. Full refund.  After threats and insistence, I was reimbursed after 6 months. As soon as you come across my file the line cuts out... Weird...")</f>
        <v>Cheap!!!!! I had a non-fault accident, car less than a year old. Full refund.  After threats and insistence, I was reimbursed after 6 months. As soon as you come across my file the line cuts out... Weird...</v>
      </c>
    </row>
    <row r="739" ht="15.75" customHeight="1">
      <c r="A739" s="2">
        <v>1.0</v>
      </c>
      <c r="B739" s="2" t="s">
        <v>2080</v>
      </c>
      <c r="C739" s="2" t="s">
        <v>2081</v>
      </c>
      <c r="D739" s="2" t="s">
        <v>326</v>
      </c>
      <c r="E739" s="2" t="s">
        <v>14</v>
      </c>
      <c r="F739" s="2" t="s">
        <v>15</v>
      </c>
      <c r="G739" s="2" t="s">
        <v>2082</v>
      </c>
      <c r="H739" s="2" t="s">
        <v>1034</v>
      </c>
      <c r="I739" s="2" t="str">
        <f>IFERROR(__xludf.DUMMYFUNCTION("GOOGLETRANSLATE(C739,""fr"",""en"")"),"Very bad insurance company. Do not subscribe to them...apart from collecting contributions, nothing. Insurer to absolutely avoid! Disrespectful insurance for its good customers. I strongly advise against this insurance. I've never seen that.")</f>
        <v>Very bad insurance company. Do not subscribe to them...apart from collecting contributions, nothing. Insurer to absolutely avoid! Disrespectful insurance for its good customers. I strongly advise against this insurance. I've never seen that.</v>
      </c>
    </row>
    <row r="740" ht="15.75" customHeight="1">
      <c r="A740" s="2">
        <v>2.0</v>
      </c>
      <c r="B740" s="2" t="s">
        <v>2083</v>
      </c>
      <c r="C740" s="2" t="s">
        <v>2084</v>
      </c>
      <c r="D740" s="2" t="s">
        <v>322</v>
      </c>
      <c r="E740" s="2" t="s">
        <v>14</v>
      </c>
      <c r="F740" s="2" t="s">
        <v>15</v>
      </c>
      <c r="G740" s="2" t="s">
        <v>2085</v>
      </c>
      <c r="H740" s="2" t="s">
        <v>216</v>
      </c>
      <c r="I740" s="2" t="str">
        <f>IFERROR(__xludf.DUMMYFUNCTION("GOOGLETRANSLATE(C740,""fr"",""en"")"),"I took out an insurance contract on the site, paid the requested deposit more than 12 days ago and there is interstellar silence.
No email to provide a file number, no telephone contact, no possibility of consulting the progress of the file, impossible to"&amp;" have a manager without going through a premium rate number")</f>
        <v>I took out an insurance contract on the site, paid the requested deposit more than 12 days ago and there is interstellar silence.
No email to provide a file number, no telephone contact, no possibility of consulting the progress of the file, impossible to have a manager without going through a premium rate number</v>
      </c>
    </row>
    <row r="741" ht="15.75" customHeight="1">
      <c r="A741" s="2">
        <v>4.0</v>
      </c>
      <c r="B741" s="2" t="s">
        <v>2086</v>
      </c>
      <c r="C741" s="2" t="s">
        <v>2087</v>
      </c>
      <c r="D741" s="2" t="s">
        <v>13</v>
      </c>
      <c r="E741" s="2" t="s">
        <v>14</v>
      </c>
      <c r="F741" s="2" t="s">
        <v>15</v>
      </c>
      <c r="G741" s="2" t="s">
        <v>17</v>
      </c>
      <c r="H741" s="2" t="s">
        <v>17</v>
      </c>
      <c r="I741" s="2" t="str">
        <f>IFERROR(__xludf.DUMMYFUNCTION("GOOGLETRANSLATE(C741,""fr"",""en"")"),"I am very satisfied with this service and I advise my loved ones to also subscribe, Direct insurance remains the number 1 in insurance, low prices.")</f>
        <v>I am very satisfied with this service and I advise my loved ones to also subscribe, Direct insurance remains the number 1 in insurance, low prices.</v>
      </c>
    </row>
    <row r="742" ht="15.75" customHeight="1">
      <c r="A742" s="2">
        <v>1.0</v>
      </c>
      <c r="B742" s="2" t="s">
        <v>2088</v>
      </c>
      <c r="C742" s="2" t="s">
        <v>2089</v>
      </c>
      <c r="D742" s="2" t="s">
        <v>1008</v>
      </c>
      <c r="E742" s="2" t="s">
        <v>101</v>
      </c>
      <c r="F742" s="2" t="s">
        <v>15</v>
      </c>
      <c r="G742" s="2" t="s">
        <v>2090</v>
      </c>
      <c r="H742" s="2" t="s">
        <v>248</v>
      </c>
      <c r="I742" s="2" t="str">
        <f>IFERROR(__xludf.DUMMYFUNCTION("GOOGLETRANSLATE(C742,""fr"",""en"")"),"Hello, I am totally in despair with Metlife's attitude, I am very unhappy, I don't even give this insurance a star rating. This is the worst insurer known in my life, it's catastrophic. It's absolutely impossible to contact. I have been insured since Apri"&amp;"l 5, 2019, but my bank had not yet accepted the change of insurance. I received a positive response from December 5, 2019 (Letter I received on November 25). I sent all the documents on November 27 to request the amendment to my contract (With the start o"&amp;"f the contract on December 5) and also requesting the reimbursement of premiums paid from May 5 to November 5. I didn't get a response at all, I sent the email several times to dip@metlife.fr, even from several email addresses. Finally, I got a response o"&amp;"n May 12, 2020 (6 MONTHS LATER), with my contract amendment starting on December 5 and I received an email saying that I will be refunded the total that I paid in more from May 5 to November 5 but they refunded me 30% of what the email said. I sent an ema"&amp;"il to ask why I did not receive the full amount and obviously no response at all.
In addition, during confinement, my bank asked me for a letter of agreement from the insurance company to defer my monthly loan payment since I was partially unemployed. I "&amp;"sent an email to dip@metlife.fr and also to gestion.sinistre@metlife.fr and still no response. At the moment I needed the insurance that I pay every month and I was unable to postpone my monthly payments. I wonder why I have to continue paying for insuran"&amp;"ce that isn't there when I need it. What is the point of having this insurance??? I very much regret changing the insurance. Apart from the fact that I don't get my money back, I don't count on the benefits of having insurance in the event that I can't pa"&amp;"y my credit.
If I could not give any stars, I wouldn't have given a single one. This insurance is rubbish. I had a disastrous experience.")</f>
        <v>Hello, I am totally in despair with Metlife's attitude, I am very unhappy, I don't even give this insurance a star rating. This is the worst insurer known in my life, it's catastrophic. It's absolutely impossible to contact. I have been insured since April 5, 2019, but my bank had not yet accepted the change of insurance. I received a positive response from December 5, 2019 (Letter I received on November 25). I sent all the documents on November 27 to request the amendment to my contract (With the start of the contract on December 5) and also requesting the reimbursement of premiums paid from May 5 to November 5. I didn't get a response at all, I sent the email several times to dip@metlife.fr, even from several email addresses. Finally, I got a response on May 12, 2020 (6 MONTHS LATER), with my contract amendment starting on December 5 and I received an email saying that I will be refunded the total that I paid in more from May 5 to November 5 but they refunded me 30% of what the email said. I sent an email to ask why I did not receive the full amount and obviously no response at all.
In addition, during confinement, my bank asked me for a letter of agreement from the insurance company to defer my monthly loan payment since I was partially unemployed. I sent an email to dip@metlife.fr and also to gestion.sinistre@metlife.fr and still no response. At the moment I needed the insurance that I pay every month and I was unable to postpone my monthly payments. I wonder why I have to continue paying for insurance that isn't there when I need it. What is the point of having this insurance??? I very much regret changing the insurance. Apart from the fact that I don't get my money back, I don't count on the benefits of having insurance in the event that I can't pay my credit.
If I could not give any stars, I wouldn't have given a single one. This insurance is rubbish. I had a disastrous experience.</v>
      </c>
    </row>
    <row r="743" ht="15.75" customHeight="1">
      <c r="A743" s="2">
        <v>5.0</v>
      </c>
      <c r="B743" s="2" t="s">
        <v>2091</v>
      </c>
      <c r="C743" s="2" t="s">
        <v>2092</v>
      </c>
      <c r="D743" s="2" t="s">
        <v>197</v>
      </c>
      <c r="E743" s="2" t="s">
        <v>81</v>
      </c>
      <c r="F743" s="2" t="s">
        <v>15</v>
      </c>
      <c r="G743" s="2" t="s">
        <v>56</v>
      </c>
      <c r="H743" s="2" t="s">
        <v>57</v>
      </c>
      <c r="I743" s="2" t="str">
        <f>IFERROR(__xludf.DUMMYFUNCTION("GOOGLETRANSLATE(C743,""fr"",""en"")"),"Serious and competent staff
Reasonable price
Quick file to complete, even for insurance changes, green card a little long to receive but it's still reasonable ")</f>
        <v>Serious and competent staff
Reasonable price
Quick file to complete, even for insurance changes, green card a little long to receive but it's still reasonable </v>
      </c>
    </row>
    <row r="744" ht="15.75" customHeight="1">
      <c r="A744" s="2">
        <v>3.0</v>
      </c>
      <c r="B744" s="2" t="s">
        <v>2093</v>
      </c>
      <c r="C744" s="2" t="s">
        <v>2094</v>
      </c>
      <c r="D744" s="2" t="s">
        <v>601</v>
      </c>
      <c r="E744" s="2" t="s">
        <v>39</v>
      </c>
      <c r="F744" s="2" t="s">
        <v>15</v>
      </c>
      <c r="G744" s="2" t="s">
        <v>716</v>
      </c>
      <c r="H744" s="2" t="s">
        <v>25</v>
      </c>
      <c r="I744" s="2" t="str">
        <f>IFERROR(__xludf.DUMMYFUNCTION("GOOGLETRANSLATE(C744,""fr"",""en"")"),"Good morning , 
I would like to thank the Generation advisor. His knowledge of the software as well as his kindness allowed us to communicate and resolve my problem.
great welcome and very human advisor. 
Sincerely.")</f>
        <v>Good morning , 
I would like to thank the Generation advisor. His knowledge of the software as well as his kindness allowed us to communicate and resolve my problem.
great welcome and very human advisor. 
Sincerely.</v>
      </c>
    </row>
    <row r="745" ht="15.75" customHeight="1">
      <c r="A745" s="2">
        <v>1.0</v>
      </c>
      <c r="B745" s="2" t="s">
        <v>2095</v>
      </c>
      <c r="C745" s="2" t="s">
        <v>2096</v>
      </c>
      <c r="D745" s="2" t="s">
        <v>623</v>
      </c>
      <c r="E745" s="2" t="s">
        <v>101</v>
      </c>
      <c r="F745" s="2" t="s">
        <v>15</v>
      </c>
      <c r="G745" s="2" t="s">
        <v>1454</v>
      </c>
      <c r="H745" s="2" t="s">
        <v>286</v>
      </c>
      <c r="I745" s="2" t="str">
        <f>IFERROR(__xludf.DUMMYFUNCTION("GOOGLETRANSLATE(C745,""fr"",""en"")"),"There are no words to describe this insurance which robbed customers... They bought time to avoid reimbursing me. Unemployed since January 2020, I spent my time sending back papers that they already had or they asked me for papers that had nothing to do w"&amp;"ith my request... Covid and confinement are holding back. In short, no repayment seen because I have finished paying my car loan so strangely they can no longer do anything for me... What a lack of respect, I paid 5 years for loan insurance...
Lamentable ")</f>
        <v>There are no words to describe this insurance which robbed customers... They bought time to avoid reimbursing me. Unemployed since January 2020, I spent my time sending back papers that they already had or they asked me for papers that had nothing to do with my request... Covid and confinement are holding back. In short, no repayment seen because I have finished paying my car loan so strangely they can no longer do anything for me... What a lack of respect, I paid 5 years for loan insurance...
Lamentable </v>
      </c>
    </row>
    <row r="746" ht="15.75" customHeight="1">
      <c r="A746" s="2">
        <v>4.0</v>
      </c>
      <c r="B746" s="2" t="s">
        <v>2097</v>
      </c>
      <c r="C746" s="2" t="s">
        <v>2098</v>
      </c>
      <c r="D746" s="2" t="s">
        <v>13</v>
      </c>
      <c r="E746" s="2" t="s">
        <v>14</v>
      </c>
      <c r="F746" s="2" t="s">
        <v>15</v>
      </c>
      <c r="G746" s="2" t="s">
        <v>2099</v>
      </c>
      <c r="H746" s="2" t="s">
        <v>17</v>
      </c>
      <c r="I746" s="2" t="str">
        <f>IFERROR(__xludf.DUMMYFUNCTION("GOOGLETRANSLATE(C746,""fr"",""en"")"),"To see in the future, first contract with you I could only really judge with a little hindsight. The prices seem very reasonable, but I would only know that you are as good as a physical insurer if I ever need you.")</f>
        <v>To see in the future, first contract with you I could only really judge with a little hindsight. The prices seem very reasonable, but I would only know that you are as good as a physical insurer if I ever need you.</v>
      </c>
    </row>
    <row r="747" ht="15.75" customHeight="1">
      <c r="A747" s="2">
        <v>1.0</v>
      </c>
      <c r="B747" s="2" t="s">
        <v>2100</v>
      </c>
      <c r="C747" s="2" t="s">
        <v>2101</v>
      </c>
      <c r="D747" s="2" t="s">
        <v>2102</v>
      </c>
      <c r="E747" s="2" t="s">
        <v>101</v>
      </c>
      <c r="F747" s="2" t="s">
        <v>15</v>
      </c>
      <c r="G747" s="2" t="s">
        <v>615</v>
      </c>
      <c r="H747" s="2" t="s">
        <v>25</v>
      </c>
      <c r="I747" s="2" t="str">
        <f>IFERROR(__xludf.DUMMYFUNCTION("GOOGLETRANSLATE(C747,""fr"",""en"")"),"Too bad we can't put 0, following major health problems, the insurance no longer covers it because my husband ""is consolidated"" the joke after an arthrodesis operation misses terrible pain an impossible standing position for more than 1 hour in a row, f"&amp;"or their expert everything is fine, he can no longer return to his job according to their expert inability to return to his job incapacity rate 100%, on another job 50% despite this he does not compensate nothing because he hardly worked in a surveillance"&amp;" profession!!!!!! according to the expert report Who are we kidding, they are waiting for him to shoot himself because yes he is at the end of the obvious physical pain is added a very big depression. I would like to see these insurers after 3 years of su"&amp;"ffering physically night and day not getting a decent night's sleep, our life stopped following this accident, no more going out, no more vacations, living with someone who suffers constantly and far from being obvious all the time family is impacted. One"&amp;" piece of advice, run away, run away. I would like to point out that I have always been at the CMB, all my accounts and insurance are there, my father was an administrator. My uncles worked there. What a disappointment. The bank spoke to, yes spoke to the"&amp;" wall you will be more attentive. One piece of advice: run away.")</f>
        <v>Too bad we can't put 0, following major health problems, the insurance no longer covers it because my husband "is consolidated" the joke after an arthrodesis operation misses terrible pain an impossible standing position for more than 1 hour in a row, for their expert everything is fine, he can no longer return to his job according to their expert inability to return to his job incapacity rate 100%, on another job 50% despite this he does not compensate nothing because he hardly worked in a surveillance profession!!!!!! according to the expert report Who are we kidding, they are waiting for him to shoot himself because yes he is at the end of the obvious physical pain is added a very big depression. I would like to see these insurers after 3 years of suffering physically night and day not getting a decent night's sleep, our life stopped following this accident, no more going out, no more vacations, living with someone who suffers constantly and far from being obvious all the time family is impacted. One piece of advice, run away, run away. I would like to point out that I have always been at the CMB, all my accounts and insurance are there, my father was an administrator. My uncles worked there. What a disappointment. The bank spoke to, yes spoke to the wall you will be more attentive. One piece of advice: run away.</v>
      </c>
    </row>
    <row r="748" ht="15.75" customHeight="1">
      <c r="A748" s="2">
        <v>5.0</v>
      </c>
      <c r="B748" s="2" t="s">
        <v>2103</v>
      </c>
      <c r="C748" s="2" t="s">
        <v>2104</v>
      </c>
      <c r="D748" s="2" t="s">
        <v>13</v>
      </c>
      <c r="E748" s="2" t="s">
        <v>14</v>
      </c>
      <c r="F748" s="2" t="s">
        <v>15</v>
      </c>
      <c r="G748" s="2" t="s">
        <v>748</v>
      </c>
      <c r="H748" s="2" t="s">
        <v>83</v>
      </c>
      <c r="I748" s="2" t="str">
        <f>IFERROR(__xludf.DUMMYFUNCTION("GOOGLETRANSLATE(C748,""fr"",""en"")"),"I am very satisfied with the contracts signed, the guaranteed and price ratio, and the reception, sympathy, information and patience of the advisor..")</f>
        <v>I am very satisfied with the contracts signed, the guaranteed and price ratio, and the reception, sympathy, information and patience of the advisor..</v>
      </c>
    </row>
    <row r="749" ht="15.75" customHeight="1">
      <c r="A749" s="2">
        <v>5.0</v>
      </c>
      <c r="B749" s="2" t="s">
        <v>2105</v>
      </c>
      <c r="C749" s="2" t="s">
        <v>2106</v>
      </c>
      <c r="D749" s="2" t="s">
        <v>493</v>
      </c>
      <c r="E749" s="2" t="s">
        <v>101</v>
      </c>
      <c r="F749" s="2" t="s">
        <v>15</v>
      </c>
      <c r="G749" s="2" t="s">
        <v>1075</v>
      </c>
      <c r="H749" s="2" t="s">
        <v>71</v>
      </c>
      <c r="I749" s="2" t="str">
        <f>IFERROR(__xludf.DUMMYFUNCTION("GOOGLETRANSLATE(C749,""fr"",""en"")"),"quick contact, quick call back by support, advisor remains available if needed 
best price proposal compared to the bank's proposal   
")</f>
        <v>quick contact, quick call back by support, advisor remains available if needed 
best price proposal compared to the bank's proposal   
</v>
      </c>
    </row>
    <row r="750" ht="15.75" customHeight="1">
      <c r="A750" s="2">
        <v>1.0</v>
      </c>
      <c r="B750" s="2" t="s">
        <v>2107</v>
      </c>
      <c r="C750" s="2" t="s">
        <v>2108</v>
      </c>
      <c r="D750" s="2" t="s">
        <v>13</v>
      </c>
      <c r="E750" s="2" t="s">
        <v>14</v>
      </c>
      <c r="F750" s="2" t="s">
        <v>15</v>
      </c>
      <c r="G750" s="2" t="s">
        <v>2109</v>
      </c>
      <c r="H750" s="2" t="s">
        <v>1213</v>
      </c>
      <c r="I750" s="2" t="str">
        <f>IFERROR(__xludf.DUMMYFUNCTION("GOOGLETRANSLATE(C750,""fr"",""en"")"),"Good morning,
I was insulted by a person telling me that I didn't know how to express myself, because she asked me when my car contract was due, but she was talking to me about the year 2016. She finally hung up on me. Ashamed, I change insurer immediatel"&amp;"y.
")</f>
        <v>Good morning,
I was insulted by a person telling me that I didn't know how to express myself, because she asked me when my car contract was due, but she was talking to me about the year 2016. She finally hung up on me. Ashamed, I change insurer immediately.
</v>
      </c>
    </row>
    <row r="751" ht="15.75" customHeight="1">
      <c r="A751" s="2">
        <v>1.0</v>
      </c>
      <c r="B751" s="2" t="s">
        <v>2110</v>
      </c>
      <c r="C751" s="2" t="s">
        <v>2111</v>
      </c>
      <c r="D751" s="2" t="s">
        <v>28</v>
      </c>
      <c r="E751" s="2" t="s">
        <v>14</v>
      </c>
      <c r="F751" s="2" t="s">
        <v>15</v>
      </c>
      <c r="G751" s="2" t="s">
        <v>895</v>
      </c>
      <c r="H751" s="2" t="s">
        <v>83</v>
      </c>
      <c r="I751" s="2" t="str">
        <f>IFERROR(__xludf.DUMMYFUNCTION("GOOGLETRANSLATE(C751,""fr"",""en"")"),"Never there when you need it, execrable service to avoid! No help in case of claim no help in case of inspection for excessive price no customer service more than a month to get a refund unacceptable ")</f>
        <v>Never there when you need it, execrable service to avoid! No help in case of claim no help in case of inspection for excessive price no customer service more than a month to get a refund unacceptable </v>
      </c>
    </row>
    <row r="752" ht="15.75" customHeight="1">
      <c r="A752" s="2">
        <v>2.0</v>
      </c>
      <c r="B752" s="2" t="s">
        <v>2112</v>
      </c>
      <c r="C752" s="2" t="s">
        <v>2113</v>
      </c>
      <c r="D752" s="2" t="s">
        <v>28</v>
      </c>
      <c r="E752" s="2" t="s">
        <v>14</v>
      </c>
      <c r="F752" s="2" t="s">
        <v>15</v>
      </c>
      <c r="G752" s="2" t="s">
        <v>2114</v>
      </c>
      <c r="H752" s="2" t="s">
        <v>133</v>
      </c>
      <c r="I752" s="2" t="str">
        <f>IFERROR(__xludf.DUMMYFUNCTION("GOOGLETRANSLATE(C752,""fr"",""en"")"),"Via the Assurland website, I discovered that this insurance takes care of people who are penniless and have difficulty being able to get reinsured, which was my case. Responsible accident with the consequences that follow (loss of points, fine, suspension"&amp;" of driving license with compulsory medical examinations). I completed my file, provided all the necessary documents for its constitution, paid my contribution in one go, both parties signed. everything was ok.
I received an email today telling me that th"&amp;"ey had decided to cancel me in accordance with article L 113-4, because my license has a validity period!! ?? It's a responsible accident with suspension of your driving license! a second medical examination is mandatory to definitively obtain your drivin"&amp;"g license...
insurance which in no case covers people who have had an at-fault accident.
I strongly advise against this insurance.")</f>
        <v>Via the Assurland website, I discovered that this insurance takes care of people who are penniless and have difficulty being able to get reinsured, which was my case. Responsible accident with the consequences that follow (loss of points, fine, suspension of driving license with compulsory medical examinations). I completed my file, provided all the necessary documents for its constitution, paid my contribution in one go, both parties signed. everything was ok.
I received an email today telling me that they had decided to cancel me in accordance with article L 113-4, because my license has a validity period!! ?? It's a responsible accident with suspension of your driving license! a second medical examination is mandatory to definitively obtain your driving license...
insurance which in no case covers people who have had an at-fault accident.
I strongly advise against this insurance.</v>
      </c>
    </row>
    <row r="753" ht="15.75" customHeight="1">
      <c r="A753" s="2">
        <v>3.0</v>
      </c>
      <c r="B753" s="2" t="s">
        <v>2115</v>
      </c>
      <c r="C753" s="2" t="s">
        <v>2116</v>
      </c>
      <c r="D753" s="2" t="s">
        <v>65</v>
      </c>
      <c r="E753" s="2" t="s">
        <v>14</v>
      </c>
      <c r="F753" s="2" t="s">
        <v>15</v>
      </c>
      <c r="G753" s="2" t="s">
        <v>2117</v>
      </c>
      <c r="H753" s="2" t="s">
        <v>354</v>
      </c>
      <c r="I753" s="2" t="str">
        <f>IFERROR(__xludf.DUMMYFUNCTION("GOOGLETRANSLATE(C753,""fr"",""en"")"),"You must be vigilant each year about price increases and not hesitate to request an adjustment.
That said, I am satisfied with the level of reimbursement and the speed of payment.
The website is not very intuitive when you also have investments with Allia"&amp;"nz but it's a matter of getting used to it.
The agency's employees are friendly and attentive. ")</f>
        <v>You must be vigilant each year about price increases and not hesitate to request an adjustment.
That said, I am satisfied with the level of reimbursement and the speed of payment.
The website is not very intuitive when you also have investments with Allianz but it's a matter of getting used to it.
The agency's employees are friendly and attentive. </v>
      </c>
    </row>
    <row r="754" ht="15.75" customHeight="1">
      <c r="A754" s="2">
        <v>3.0</v>
      </c>
      <c r="B754" s="2" t="s">
        <v>2118</v>
      </c>
      <c r="C754" s="2" t="s">
        <v>2119</v>
      </c>
      <c r="D754" s="2" t="s">
        <v>664</v>
      </c>
      <c r="E754" s="2" t="s">
        <v>39</v>
      </c>
      <c r="F754" s="2" t="s">
        <v>15</v>
      </c>
      <c r="G754" s="2" t="s">
        <v>2120</v>
      </c>
      <c r="H754" s="2" t="s">
        <v>236</v>
      </c>
      <c r="I754" s="2" t="str">
        <f>IFERROR(__xludf.DUMMYFUNCTION("GOOGLETRANSLATE(C754,""fr"",""en"")"),"Interesting proposal but a little late, the relaunch could have been carried out earlier.
Otherwise the price is correct and the amount of reimbursements seems advantageous.")</f>
        <v>Interesting proposal but a little late, the relaunch could have been carried out earlier.
Otherwise the price is correct and the amount of reimbursements seems advantageous.</v>
      </c>
    </row>
    <row r="755" ht="15.75" customHeight="1">
      <c r="A755" s="2">
        <v>3.0</v>
      </c>
      <c r="B755" s="2" t="s">
        <v>2121</v>
      </c>
      <c r="C755" s="2" t="s">
        <v>2122</v>
      </c>
      <c r="D755" s="2" t="s">
        <v>13</v>
      </c>
      <c r="E755" s="2" t="s">
        <v>14</v>
      </c>
      <c r="F755" s="2" t="s">
        <v>15</v>
      </c>
      <c r="G755" s="2" t="s">
        <v>1829</v>
      </c>
      <c r="H755" s="2" t="s">
        <v>83</v>
      </c>
      <c r="I755" s="2" t="str">
        <f>IFERROR(__xludf.DUMMYFUNCTION("GOOGLETRANSLATE(C755,""fr"",""en"")"),"compare the price of my insurance 4 years ago and today, for this same car with NO claims, you will understand why I am going to change insurance")</f>
        <v>compare the price of my insurance 4 years ago and today, for this same car with NO claims, you will understand why I am going to change insurance</v>
      </c>
    </row>
    <row r="756" ht="15.75" customHeight="1">
      <c r="A756" s="2">
        <v>2.0</v>
      </c>
      <c r="B756" s="2" t="s">
        <v>2123</v>
      </c>
      <c r="C756" s="2" t="s">
        <v>2124</v>
      </c>
      <c r="D756" s="2" t="s">
        <v>33</v>
      </c>
      <c r="E756" s="2" t="s">
        <v>129</v>
      </c>
      <c r="F756" s="2" t="s">
        <v>15</v>
      </c>
      <c r="G756" s="2" t="s">
        <v>1274</v>
      </c>
      <c r="H756" s="2" t="s">
        <v>181</v>
      </c>
      <c r="I756" s="2" t="str">
        <f>IFERROR(__xludf.DUMMYFUNCTION("GOOGLETRANSLATE(C756,""fr"",""en"")"),"SINITRE DECLARED ON JULY 14, 2019, since then it is November 13 NOTHING impossible to reach by phone, no response by email NOTHING and yet I sent a quote September 30, but no nothing to beat nothing ")</f>
        <v>SINITRE DECLARED ON JULY 14, 2019, since then it is November 13 NOTHING impossible to reach by phone, no response by email NOTHING and yet I sent a quote September 30, but no nothing to beat nothing </v>
      </c>
    </row>
    <row r="757" ht="15.75" customHeight="1">
      <c r="A757" s="2">
        <v>3.0</v>
      </c>
      <c r="B757" s="2" t="s">
        <v>2125</v>
      </c>
      <c r="C757" s="2" t="s">
        <v>2126</v>
      </c>
      <c r="D757" s="2" t="s">
        <v>28</v>
      </c>
      <c r="E757" s="2" t="s">
        <v>14</v>
      </c>
      <c r="F757" s="2" t="s">
        <v>15</v>
      </c>
      <c r="G757" s="2" t="s">
        <v>2127</v>
      </c>
      <c r="H757" s="2" t="s">
        <v>46</v>
      </c>
      <c r="I757" s="2" t="str">
        <f>IFERROR(__xludf.DUMMYFUNCTION("GOOGLETRANSLATE(C757,""fr"",""en"")"),"I am very satisfied with the service
The prices suit me
Simple and practical
Perfect phone call
Listening to our requests
I would talk about it to those around me
")</f>
        <v>I am very satisfied with the service
The prices suit me
Simple and practical
Perfect phone call
Listening to our requests
I would talk about it to those around me
</v>
      </c>
    </row>
    <row r="758" ht="15.75" customHeight="1">
      <c r="A758" s="2">
        <v>5.0</v>
      </c>
      <c r="B758" s="2" t="s">
        <v>2128</v>
      </c>
      <c r="C758" s="2" t="s">
        <v>2129</v>
      </c>
      <c r="D758" s="2" t="s">
        <v>28</v>
      </c>
      <c r="E758" s="2" t="s">
        <v>14</v>
      </c>
      <c r="F758" s="2" t="s">
        <v>15</v>
      </c>
      <c r="G758" s="2" t="s">
        <v>997</v>
      </c>
      <c r="H758" s="2" t="s">
        <v>389</v>
      </c>
      <c r="I758" s="2" t="str">
        <f>IFERROR(__xludf.DUMMYFUNCTION("GOOGLETRANSLATE(C758,""fr"",""en"")"),"Very professional and serious. 
Respond to phone calls very quickly, very friendly service.
I recommend with our eyes closed, whether we are young or experienced drivers the prices are very attractive. 
")</f>
        <v>Very professional and serious. 
Respond to phone calls very quickly, very friendly service.
I recommend with our eyes closed, whether we are young or experienced drivers the prices are very attractive. 
</v>
      </c>
    </row>
    <row r="759" ht="15.75" customHeight="1">
      <c r="A759" s="2">
        <v>1.0</v>
      </c>
      <c r="B759" s="2" t="s">
        <v>2130</v>
      </c>
      <c r="C759" s="2" t="s">
        <v>2131</v>
      </c>
      <c r="D759" s="2" t="s">
        <v>28</v>
      </c>
      <c r="E759" s="2" t="s">
        <v>14</v>
      </c>
      <c r="F759" s="2" t="s">
        <v>15</v>
      </c>
      <c r="G759" s="2" t="s">
        <v>2132</v>
      </c>
      <c r="H759" s="2" t="s">
        <v>108</v>
      </c>
      <c r="I759" s="2" t="str">
        <f>IFERROR(__xludf.DUMMYFUNCTION("GOOGLETRANSLATE(C759,""fr"",""en"")"),"A “return within 5 working days” which is more like 15 working days for a broken mirror. 
I contacted the insurance company for an improvement in the formula and was lied to by explaining to me that in all-risk coverage, the deductible only applied to th"&amp;"e damage I was responsible for. This is false, if the third party is not identified (vandalism, theft, etc.) the excess must be paid. 700 € more, shame. I'm leaving at the end of my contract, everyone wants to take our money, and liars to boot.")</f>
        <v>A “return within 5 working days” which is more like 15 working days for a broken mirror. 
I contacted the insurance company for an improvement in the formula and was lied to by explaining to me that in all-risk coverage, the deductible only applied to the damage I was responsible for. This is false, if the third party is not identified (vandalism, theft, etc.) the excess must be paid. 700 € more, shame. I'm leaving at the end of my contract, everyone wants to take our money, and liars to boot.</v>
      </c>
    </row>
    <row r="760" ht="15.75" customHeight="1">
      <c r="A760" s="2">
        <v>1.0</v>
      </c>
      <c r="B760" s="2" t="s">
        <v>2133</v>
      </c>
      <c r="C760" s="2" t="s">
        <v>2134</v>
      </c>
      <c r="D760" s="2" t="s">
        <v>326</v>
      </c>
      <c r="E760" s="2" t="s">
        <v>129</v>
      </c>
      <c r="F760" s="2" t="s">
        <v>15</v>
      </c>
      <c r="G760" s="2" t="s">
        <v>395</v>
      </c>
      <c r="H760" s="2" t="s">
        <v>83</v>
      </c>
      <c r="I760" s="2" t="str">
        <f>IFERROR(__xludf.DUMMYFUNCTION("GOOGLETRANSLATE(C760,""fr"",""en"")"),"With my partner and our children, we have almost all our insurance with Axa, we have never had a claim and have done so for decades. This day I informed them that my 50 inch television which is 6 years old has started smoking. I must have a repair estimat"&amp;"e made: Problem, not being able to transport my TV, I must have a repairman come at my expense, the latter will have to give me an estimate which must include the origin of the breakdown. Either it is a problem of obsolescence (and I am not entitled to an"&amp;"ything) or it comes from a lightning strike or a power surge, and I am partially reimbursed with a deductible of 170 euros. Commercial gesture 0. A piece of advice forget about axa, which I am going to do by changing all my insurance with this company.")</f>
        <v>With my partner and our children, we have almost all our insurance with Axa, we have never had a claim and have done so for decades. This day I informed them that my 50 inch television which is 6 years old has started smoking. I must have a repair estimate made: Problem, not being able to transport my TV, I must have a repairman come at my expense, the latter will have to give me an estimate which must include the origin of the breakdown. Either it is a problem of obsolescence (and I am not entitled to anything) or it comes from a lightning strike or a power surge, and I am partially reimbursed with a deductible of 170 euros. Commercial gesture 0. A piece of advice forget about axa, which I am going to do by changing all my insurance with this company.</v>
      </c>
    </row>
    <row r="761" ht="15.75" customHeight="1">
      <c r="A761" s="2">
        <v>5.0</v>
      </c>
      <c r="B761" s="2" t="s">
        <v>2135</v>
      </c>
      <c r="C761" s="2" t="s">
        <v>2136</v>
      </c>
      <c r="D761" s="2" t="s">
        <v>13</v>
      </c>
      <c r="E761" s="2" t="s">
        <v>14</v>
      </c>
      <c r="F761" s="2" t="s">
        <v>15</v>
      </c>
      <c r="G761" s="2" t="s">
        <v>1488</v>
      </c>
      <c r="H761" s="2" t="s">
        <v>25</v>
      </c>
      <c r="I761" s="2" t="str">
        <f>IFERROR(__xludf.DUMMYFUNCTION("GOOGLETRANSLATE(C761,""fr"",""en"")"),"I am completely satisfied, both regarding my car and home insurance, very friendly and professional welcome
Besides, I sponsored my husband and my daughter
keep it up")</f>
        <v>I am completely satisfied, both regarding my car and home insurance, very friendly and professional welcome
Besides, I sponsored my husband and my daughter
keep it up</v>
      </c>
    </row>
    <row r="762" ht="15.75" customHeight="1">
      <c r="A762" s="2">
        <v>1.0</v>
      </c>
      <c r="B762" s="2" t="s">
        <v>2137</v>
      </c>
      <c r="C762" s="2" t="s">
        <v>2138</v>
      </c>
      <c r="D762" s="2" t="s">
        <v>310</v>
      </c>
      <c r="E762" s="2" t="s">
        <v>14</v>
      </c>
      <c r="F762" s="2" t="s">
        <v>15</v>
      </c>
      <c r="G762" s="2" t="s">
        <v>2127</v>
      </c>
      <c r="H762" s="2" t="s">
        <v>46</v>
      </c>
      <c r="I762" s="2" t="str">
        <f>IFERROR(__xludf.DUMMYFUNCTION("GOOGLETRANSLATE(C762,""fr"",""en"")"),"Be careful, Eurofil cancels you for no reason, they canceled me with a 50% bonus over six years. 
Just a collision not my fault in a parking lot 
Now I am listed as a customer at hard risk of finding insurance")</f>
        <v>Be careful, Eurofil cancels you for no reason, they canceled me with a 50% bonus over six years. 
Just a collision not my fault in a parking lot 
Now I am listed as a customer at hard risk of finding insurance</v>
      </c>
    </row>
    <row r="763" ht="15.75" customHeight="1">
      <c r="A763" s="2">
        <v>1.0</v>
      </c>
      <c r="B763" s="2" t="s">
        <v>2139</v>
      </c>
      <c r="C763" s="2" t="s">
        <v>2140</v>
      </c>
      <c r="D763" s="2" t="s">
        <v>322</v>
      </c>
      <c r="E763" s="2" t="s">
        <v>14</v>
      </c>
      <c r="F763" s="2" t="s">
        <v>15</v>
      </c>
      <c r="G763" s="2" t="s">
        <v>2141</v>
      </c>
      <c r="H763" s="2" t="s">
        <v>347</v>
      </c>
      <c r="I763" s="2" t="str">
        <f>IFERROR(__xludf.DUMMYFUNCTION("GOOGLETRANSLATE(C763,""fr"",""en"")"),"The price offered is attractive only in 4 months I did not have an insurance certificate.")</f>
        <v>The price offered is attractive only in 4 months I did not have an insurance certificate.</v>
      </c>
    </row>
    <row r="764" ht="15.75" customHeight="1">
      <c r="A764" s="2">
        <v>1.0</v>
      </c>
      <c r="B764" s="2" t="s">
        <v>2142</v>
      </c>
      <c r="C764" s="2" t="s">
        <v>2143</v>
      </c>
      <c r="D764" s="2" t="s">
        <v>55</v>
      </c>
      <c r="E764" s="2" t="s">
        <v>39</v>
      </c>
      <c r="F764" s="2" t="s">
        <v>15</v>
      </c>
      <c r="G764" s="2" t="s">
        <v>480</v>
      </c>
      <c r="H764" s="2" t="s">
        <v>46</v>
      </c>
      <c r="I764" s="2" t="str">
        <f>IFERROR(__xludf.DUMMYFUNCTION("GOOGLETRANSLATE(C764,""fr"",""en"")"),"Compulsory company mutual insurance. I kept it as a pension but I plan to change. Multiple contacts to have simple reimbursements, study of poorly done quotes (forgot to take into account the case that the doctor was OPTAM), REQUEST FOR WARNING ON HONOR A"&amp;"S I had no other mutual insurance (as if we were going to pay 2x 200 euros to be reimbursed 10).
I strongly advise against it to all works councils and all individuals")</f>
        <v>Compulsory company mutual insurance. I kept it as a pension but I plan to change. Multiple contacts to have simple reimbursements, study of poorly done quotes (forgot to take into account the case that the doctor was OPTAM), REQUEST FOR WARNING ON HONOR AS I had no other mutual insurance (as if we were going to pay 2x 200 euros to be reimbursed 10).
I strongly advise against it to all works councils and all individuals</v>
      </c>
    </row>
    <row r="765" ht="15.75" customHeight="1">
      <c r="A765" s="2">
        <v>1.0</v>
      </c>
      <c r="B765" s="2" t="s">
        <v>2144</v>
      </c>
      <c r="C765" s="2" t="s">
        <v>2145</v>
      </c>
      <c r="D765" s="2" t="s">
        <v>13</v>
      </c>
      <c r="E765" s="2" t="s">
        <v>129</v>
      </c>
      <c r="F765" s="2" t="s">
        <v>15</v>
      </c>
      <c r="G765" s="2" t="s">
        <v>918</v>
      </c>
      <c r="H765" s="2" t="s">
        <v>17</v>
      </c>
      <c r="I765" s="2" t="str">
        <f>IFERROR(__xludf.DUMMYFUNCTION("GOOGLETRANSLATE(C765,""fr"",""en"")"),"I strongly advise against it! ! !
The rating given for the price is consistent with the service provided.
At the beginning of July, my daughter had her bike stolen from her garage insured with Direct Assurance.
On July 5, she sent the necessary documents "&amp;"to quickly repair the garage door and allow reimbursement of her damage (invoice for the stolen bicycle).
Since then, a locksmith mandated by this insurance has come and is still waiting for the return of the quote in order to finalize the repair work on "&amp;"the garage door, a rapid intervention requiring less than 30 minutes!
The insurer now requests the bank statement showing the amount of the purchase made by a member of the daughter's family as well as a certificate issued by this person!
This one is from"&amp;" 2017!
Except that my daughter is moving tomorrow and must therefore return the keys to the owner!
I don't think he will appreciate my daughter telling him that the repair of his garage door has been pending for more than two months at the discretion of t"&amp;"he insurer... who does not provide insurance quickly.
The 2-month period being necessary before requesting the intervention of the mediator, the process is underway.
Obviously, in order to avoid any further disappointment, steps are underway to terminate "&amp;"both contracts (home and car).")</f>
        <v>I strongly advise against it! ! !
The rating given for the price is consistent with the service provided.
At the beginning of July, my daughter had her bike stolen from her garage insured with Direct Assurance.
On July 5, she sent the necessary documents to quickly repair the garage door and allow reimbursement of her damage (invoice for the stolen bicycle).
Since then, a locksmith mandated by this insurance has come and is still waiting for the return of the quote in order to finalize the repair work on the garage door, a rapid intervention requiring less than 30 minutes!
The insurer now requests the bank statement showing the amount of the purchase made by a member of the daughter's family as well as a certificate issued by this person!
This one is from 2017!
Except that my daughter is moving tomorrow and must therefore return the keys to the owner!
I don't think he will appreciate my daughter telling him that the repair of his garage door has been pending for more than two months at the discretion of the insurer... who does not provide insurance quickly.
The 2-month period being necessary before requesting the intervention of the mediator, the process is underway.
Obviously, in order to avoid any further disappointment, steps are underway to terminate both contracts (home and car).</v>
      </c>
    </row>
    <row r="766" ht="15.75" customHeight="1">
      <c r="A766" s="2">
        <v>5.0</v>
      </c>
      <c r="B766" s="2" t="s">
        <v>2146</v>
      </c>
      <c r="C766" s="2" t="s">
        <v>2147</v>
      </c>
      <c r="D766" s="2" t="s">
        <v>13</v>
      </c>
      <c r="E766" s="2" t="s">
        <v>14</v>
      </c>
      <c r="F766" s="2" t="s">
        <v>15</v>
      </c>
      <c r="G766" s="2" t="s">
        <v>2148</v>
      </c>
      <c r="H766" s="2" t="s">
        <v>17</v>
      </c>
      <c r="I766" s="2" t="str">
        <f>IFERROR(__xludf.DUMMYFUNCTION("GOOGLETRANSLATE(C766,""fr"",""en"")"),"Satisfied with your service and the help you gave me, I had a bit of panic to make this quote, I could mix up the brushes, thank you again")</f>
        <v>Satisfied with your service and the help you gave me, I had a bit of panic to make this quote, I could mix up the brushes, thank you again</v>
      </c>
    </row>
    <row r="767" ht="15.75" customHeight="1">
      <c r="A767" s="2">
        <v>1.0</v>
      </c>
      <c r="B767" s="2" t="s">
        <v>2149</v>
      </c>
      <c r="C767" s="2" t="s">
        <v>2150</v>
      </c>
      <c r="D767" s="2" t="s">
        <v>2151</v>
      </c>
      <c r="E767" s="2" t="s">
        <v>81</v>
      </c>
      <c r="F767" s="2" t="s">
        <v>15</v>
      </c>
      <c r="G767" s="2" t="s">
        <v>1057</v>
      </c>
      <c r="H767" s="2" t="s">
        <v>1058</v>
      </c>
      <c r="I767" s="2" t="str">
        <f>IFERROR(__xludf.DUMMYFUNCTION("GOOGLETRANSLATE(C767,""fr"",""en"")"),"It's been more than a month since my tmax insured at all risks and for the year was stolen....and a month later I have no news, no email or calls. I find this unacceptable and I have no intention of staying there! most pitiful assurances, I follow up with"&amp;" them several times a week but we fall to the standard which is useless")</f>
        <v>It's been more than a month since my tmax insured at all risks and for the year was stolen....and a month later I have no news, no email or calls. I find this unacceptable and I have no intention of staying there! most pitiful assurances, I follow up with them several times a week but we fall to the standard which is useless</v>
      </c>
    </row>
    <row r="768" ht="15.75" customHeight="1">
      <c r="A768" s="2">
        <v>1.0</v>
      </c>
      <c r="B768" s="2" t="s">
        <v>2152</v>
      </c>
      <c r="C768" s="2" t="s">
        <v>2153</v>
      </c>
      <c r="D768" s="2" t="s">
        <v>13</v>
      </c>
      <c r="E768" s="2" t="s">
        <v>14</v>
      </c>
      <c r="F768" s="2" t="s">
        <v>15</v>
      </c>
      <c r="G768" s="2" t="s">
        <v>2154</v>
      </c>
      <c r="H768" s="2" t="s">
        <v>1213</v>
      </c>
      <c r="I768" s="2" t="str">
        <f>IFERROR(__xludf.DUMMYFUNCTION("GOOGLETRANSLATE(C768,""fr"",""en"")"),"Complicated to get a customer on the phone, no one picks up, I wanted to have information to subscribe but no one to provide information. Too bad I'm going to stay with L'olivier Assurance because in any case the prices are almost identical and I'm told t"&amp;"hat great price with Direct the first year then increase for no reason...")</f>
        <v>Complicated to get a customer on the phone, no one picks up, I wanted to have information to subscribe but no one to provide information. Too bad I'm going to stay with L'olivier Assurance because in any case the prices are almost identical and I'm told that great price with Direct the first year then increase for no reason...</v>
      </c>
    </row>
    <row r="769" ht="15.75" customHeight="1">
      <c r="A769" s="2">
        <v>5.0</v>
      </c>
      <c r="B769" s="2" t="s">
        <v>2155</v>
      </c>
      <c r="C769" s="2" t="s">
        <v>2156</v>
      </c>
      <c r="D769" s="2" t="s">
        <v>197</v>
      </c>
      <c r="E769" s="2" t="s">
        <v>81</v>
      </c>
      <c r="F769" s="2" t="s">
        <v>15</v>
      </c>
      <c r="G769" s="2" t="s">
        <v>2157</v>
      </c>
      <c r="H769" s="2" t="s">
        <v>17</v>
      </c>
      <c r="I769" s="2" t="str">
        <f>IFERROR(__xludf.DUMMYFUNCTION("GOOGLETRANSLATE(C769,""fr"",""en"")"),"very satisfied with AMV, since I have been a customer, all insurances combined, my satisfaction is total, tranquility, ease, and always, if necessary, someone on the phone who is kind and competent.")</f>
        <v>very satisfied with AMV, since I have been a customer, all insurances combined, my satisfaction is total, tranquility, ease, and always, if necessary, someone on the phone who is kind and competent.</v>
      </c>
    </row>
    <row r="770" ht="15.75" customHeight="1">
      <c r="A770" s="2">
        <v>5.0</v>
      </c>
      <c r="B770" s="2" t="s">
        <v>2158</v>
      </c>
      <c r="C770" s="2" t="s">
        <v>2159</v>
      </c>
      <c r="D770" s="2" t="s">
        <v>13</v>
      </c>
      <c r="E770" s="2" t="s">
        <v>14</v>
      </c>
      <c r="F770" s="2" t="s">
        <v>15</v>
      </c>
      <c r="G770" s="2" t="s">
        <v>2160</v>
      </c>
      <c r="H770" s="2" t="s">
        <v>25</v>
      </c>
      <c r="I770" s="2" t="str">
        <f>IFERROR(__xludf.DUMMYFUNCTION("GOOGLETRANSLATE(C770,""fr"",""en"")"),"simple and practical / good price
fast/friendly and efficient interlocutor
I'm not going to write an essay for a change of insurance anyway
")</f>
        <v>simple and practical / good price
fast/friendly and efficient interlocutor
I'm not going to write an essay for a change of insurance anyway
</v>
      </c>
    </row>
    <row r="771" ht="15.75" customHeight="1">
      <c r="A771" s="2">
        <v>5.0</v>
      </c>
      <c r="B771" s="2" t="s">
        <v>2161</v>
      </c>
      <c r="C771" s="2" t="s">
        <v>2162</v>
      </c>
      <c r="D771" s="2" t="s">
        <v>13</v>
      </c>
      <c r="E771" s="2" t="s">
        <v>14</v>
      </c>
      <c r="F771" s="2" t="s">
        <v>15</v>
      </c>
      <c r="G771" s="2" t="s">
        <v>268</v>
      </c>
      <c r="H771" s="2" t="s">
        <v>111</v>
      </c>
      <c r="I771" s="2" t="str">
        <f>IFERROR(__xludf.DUMMYFUNCTION("GOOGLETRANSLATE(C771,""fr"",""en"")"),"Simple and practical, affordable insurance with different options, 
Quote sent quickly and well explained, possibility of paying monthly
I recommend. ")</f>
        <v>Simple and practical, affordable insurance with different options, 
Quote sent quickly and well explained, possibility of paying monthly
I recommend. </v>
      </c>
    </row>
    <row r="772" ht="15.75" customHeight="1">
      <c r="A772" s="2">
        <v>1.0</v>
      </c>
      <c r="B772" s="2" t="s">
        <v>2163</v>
      </c>
      <c r="C772" s="2" t="s">
        <v>2164</v>
      </c>
      <c r="D772" s="2" t="s">
        <v>55</v>
      </c>
      <c r="E772" s="2" t="s">
        <v>39</v>
      </c>
      <c r="F772" s="2" t="s">
        <v>15</v>
      </c>
      <c r="G772" s="2" t="s">
        <v>2165</v>
      </c>
      <c r="H772" s="2" t="s">
        <v>1022</v>
      </c>
      <c r="I772" s="2" t="str">
        <f>IFERROR(__xludf.DUMMYFUNCTION("GOOGLETRANSLATE(C772,""fr"",""en"")"),"I applied for a birth grant in January 2017. Standard processing time announced by their service: 15 days. 
It's April 2017, and nothing is happening. I call them every week, they tell me “you have our word, it will be done within the week. But nothing ha"&amp;"ppens.")</f>
        <v>I applied for a birth grant in January 2017. Standard processing time announced by their service: 15 days. 
It's April 2017, and nothing is happening. I call them every week, they tell me “you have our word, it will be done within the week. But nothing happens.</v>
      </c>
    </row>
    <row r="773" ht="15.75" customHeight="1">
      <c r="A773" s="2">
        <v>4.0</v>
      </c>
      <c r="B773" s="2" t="s">
        <v>2166</v>
      </c>
      <c r="C773" s="2" t="s">
        <v>2167</v>
      </c>
      <c r="D773" s="2" t="s">
        <v>28</v>
      </c>
      <c r="E773" s="2" t="s">
        <v>14</v>
      </c>
      <c r="F773" s="2" t="s">
        <v>15</v>
      </c>
      <c r="G773" s="2" t="s">
        <v>2168</v>
      </c>
      <c r="H773" s="2" t="s">
        <v>21</v>
      </c>
      <c r="I773" s="2" t="str">
        <f>IFERROR(__xludf.DUMMYFUNCTION("GOOGLETRANSLATE(C773,""fr"",""en"")"),"Top prices and services. Simplicity in payment and contracting. I recommend this responsive but also competitive insurance compared to others")</f>
        <v>Top prices and services. Simplicity in payment and contracting. I recommend this responsive but also competitive insurance compared to others</v>
      </c>
    </row>
    <row r="774" ht="15.75" customHeight="1">
      <c r="A774" s="2">
        <v>2.0</v>
      </c>
      <c r="B774" s="2" t="s">
        <v>2169</v>
      </c>
      <c r="C774" s="2" t="s">
        <v>2170</v>
      </c>
      <c r="D774" s="2" t="s">
        <v>254</v>
      </c>
      <c r="E774" s="2" t="s">
        <v>129</v>
      </c>
      <c r="F774" s="2" t="s">
        <v>15</v>
      </c>
      <c r="G774" s="2" t="s">
        <v>2171</v>
      </c>
      <c r="H774" s="2" t="s">
        <v>343</v>
      </c>
      <c r="I774" s="2" t="str">
        <f>IFERROR(__xludf.DUMMYFUNCTION("GOOGLETRANSLATE(C774,""fr"",""en"")"),"Currently insured for 8 years, but not for much longer, I am outraged to see how my file is being managed.
First of all, the “expert” undervalued the amount of repairs €785.20 for the paint and paper repair of a 27 m² room.
I was stupid enough to only as"&amp;"k for partial repairs: a section of wall and the entire ceiling (there is no choice). I obtained a quote of €1,090 communicated in March. At the beginning of April, I received a transfer of €628.16. I don't understand anything and call MAIF. They tell me "&amp;"that this corresponds to the amount calculated by the expert (on document (i.e. on photo) since he never came) minus a so-called deductible of €157.04. It turns out that this information is false and that it would in fact be an item of obsolescence that s"&amp;"hould be returned to me upon presentation of the invoice, according to the same manager, who was not shocked to tell me at prerequisite that this amount comprising cents was an excess…. 
I dispute the assessment and especially their criticism of having m"&amp;"ade a transfer without giving me the choice of using an approved craftsman. I therefore ask them to review the costing or to assign someone after I have reimbursed them the amount transferred without asking my opinion.
The file manager pretends to have t"&amp;"he estimate reviewed by the expert then refuses. I request an on-site expertise; she refuses on the grounds that it would cost as much as the difference between my quote (1,100) and the amount estimated by the expert (700).
I then ask that she provide me"&amp;" with the contact details of approved craftsmen. Radio silence.
A lawyer intervenes. Mid-July 2017 (remember all this started at the beginning of March 2017, the manager in her great kindness finally communicated to us the names of approved companies (not"&amp;" very close to my home, of course...) or gave me the possibility of collecting the amount of the quote from March 2017.
I contacted the craftsman who refused to intervene, his company has changed status, he has bigger projects and no longer has the time."&amp;".. In short, I finally have enough to pay him but he does not want to intervene.
I'm getting quotes again but specifying that the insurance does not want to pay for a total recovery and will only pay €1,000.  
Many do not even come or refuse to give me "&amp;"a quote, other figures at €1,900 for a partial recovery or between €4 and €6,000 for a total recovery. 
Desperate, I ask my lawyer if it is possible for the insurance company to agree to pay the sum of €1,600 estimated in the meantime by the expert for a"&amp;" total recovery, in order to amortize as much as possible the only estimate approximately in nails at €1,900 (for partial repair only).
There, the manager, responsible for all this mess, gets offended and doesn't understand why I don't involve the origin"&amp;"al craftsman, who, let's remember, no longer wants to intervene more than 4 months after his quote. And worse still, accuses me of having unduly collected, thief that I am, the deductible that she supposedly reimbursed me! Yes, we are talking about the fr"&amp;"anchise, which is not one but the obsolescence…  
However, I never received either the sum of €125 or the sum of €157.04. This lady who does not know her file and is causing me harm is now accusing me of erroneous things, which is easily provable (no tran"&amp;"sfer...). Given her skills, perhaps she transferred this sum to a lucky beneficiary….
It is impossible to have anyone to contact other than the person who ruined my file and has been causing me hassle since March 2017 due to his interference.
When we kn"&amp;"ow that some people receive €1,000 for a 1 m² bathroom and when we want to be honest by doing a partial renovation and therefore at a lower cost of a 27 m² room, we are being rotten like that …It’s shameful! I'm disgusted, I have no more words... 
It’s "&amp;"decided, I’ll look elsewhere if I’m there!
")</f>
        <v>Currently insured for 8 years, but not for much longer, I am outraged to see how my file is being managed.
First of all, the “expert” undervalued the amount of repairs €785.20 for the paint and paper repair of a 27 m² room.
I was stupid enough to only ask for partial repairs: a section of wall and the entire ceiling (there is no choice). I obtained a quote of €1,090 communicated in March. At the beginning of April, I received a transfer of €628.16. I don't understand anything and call MAIF. They tell me that this corresponds to the amount calculated by the expert (on document (i.e. on photo) since he never came) minus a so-called deductible of €157.04. It turns out that this information is false and that it would in fact be an item of obsolescence that should be returned to me upon presentation of the invoice, according to the same manager, who was not shocked to tell me at prerequisite that this amount comprising cents was an excess…. 
I dispute the assessment and especially their criticism of having made a transfer without giving me the choice of using an approved craftsman. I therefore ask them to review the costing or to assign someone after I have reimbursed them the amount transferred without asking my opinion.
The file manager pretends to have the estimate reviewed by the expert then refuses. I request an on-site expertise; she refuses on the grounds that it would cost as much as the difference between my quote (1,100) and the amount estimated by the expert (700).
I then ask that she provide me with the contact details of approved craftsmen. Radio silence.
A lawyer intervenes. Mid-July 2017 (remember all this started at the beginning of March 2017, the manager in her great kindness finally communicated to us the names of approved companies (not very close to my home, of course...) or gave me the possibility of collecting the amount of the quote from March 2017.
I contacted the craftsman who refused to intervene, his company has changed status, he has bigger projects and no longer has the time... In short, I finally have enough to pay him but he does not want to intervene.
I'm getting quotes again but specifying that the insurance does not want to pay for a total recovery and will only pay €1,000.  
Many do not even come or refuse to give me a quote, other figures at €1,900 for a partial recovery or between €4 and €6,000 for a total recovery. 
Desperate, I ask my lawyer if it is possible for the insurance company to agree to pay the sum of €1,600 estimated in the meantime by the expert for a total recovery, in order to amortize as much as possible the only estimate approximately in nails at €1,900 (for partial repair only).
There, the manager, responsible for all this mess, gets offended and doesn't understand why I don't involve the original craftsman, who, let's remember, no longer wants to intervene more than 4 months after his quote. And worse still, accuses me of having unduly collected, thief that I am, the deductible that she supposedly reimbursed me! Yes, we are talking about the franchise, which is not one but the obsolescence…  
However, I never received either the sum of €125 or the sum of €157.04. This lady who does not know her file and is causing me harm is now accusing me of erroneous things, which is easily provable (no transfer...). Given her skills, perhaps she transferred this sum to a lucky beneficiary….
It is impossible to have anyone to contact other than the person who ruined my file and has been causing me hassle since March 2017 due to his interference.
When we know that some people receive €1,000 for a 1 m² bathroom and when we want to be honest by doing a partial renovation and therefore at a lower cost of a 27 m² room, we are being rotten like that …It’s shameful! I'm disgusted, I have no more words... 
It’s decided, I’ll look elsewhere if I’m there!
</v>
      </c>
    </row>
    <row r="775" ht="15.75" customHeight="1">
      <c r="A775" s="2">
        <v>1.0</v>
      </c>
      <c r="B775" s="2" t="s">
        <v>2172</v>
      </c>
      <c r="C775" s="2" t="s">
        <v>2173</v>
      </c>
      <c r="D775" s="2" t="s">
        <v>38</v>
      </c>
      <c r="E775" s="2" t="s">
        <v>39</v>
      </c>
      <c r="F775" s="2" t="s">
        <v>15</v>
      </c>
      <c r="G775" s="2" t="s">
        <v>2174</v>
      </c>
      <c r="H775" s="2" t="s">
        <v>236</v>
      </c>
      <c r="I775" s="2" t="str">
        <f>IFERROR(__xludf.DUMMYFUNCTION("GOOGLETRANSLATE(C775,""fr"",""en"")"),"as long as it involves paying my contributions which also increase regularly without my reimbursements doing the same, everything is fine
on the other hand when I make a request for support then nothing and impossible to reach them on the phone and they d"&amp;"o not answer the email it is the worst customer service I have ever experienced")</f>
        <v>as long as it involves paying my contributions which also increase regularly without my reimbursements doing the same, everything is fine
on the other hand when I make a request for support then nothing and impossible to reach them on the phone and they do not answer the email it is the worst customer service I have ever experienced</v>
      </c>
    </row>
    <row r="776" ht="15.75" customHeight="1">
      <c r="A776" s="2">
        <v>4.0</v>
      </c>
      <c r="B776" s="2" t="s">
        <v>2175</v>
      </c>
      <c r="C776" s="2" t="s">
        <v>2176</v>
      </c>
      <c r="D776" s="2" t="s">
        <v>13</v>
      </c>
      <c r="E776" s="2" t="s">
        <v>14</v>
      </c>
      <c r="F776" s="2" t="s">
        <v>15</v>
      </c>
      <c r="G776" s="2" t="s">
        <v>733</v>
      </c>
      <c r="H776" s="2" t="s">
        <v>25</v>
      </c>
      <c r="I776" s="2" t="str">
        <f>IFERROR(__xludf.DUMMYFUNCTION("GOOGLETRANSLATE(C776,""fr"",""en"")"),"FOR THE MOMENT NO PB I JUST REGISTERED 
speed of registration, simple site to use, cheaper than competitors
To see when we will need them if all goes well")</f>
        <v>FOR THE MOMENT NO PB I JUST REGISTERED 
speed of registration, simple site to use, cheaper than competitors
To see when we will need them if all goes well</v>
      </c>
    </row>
    <row r="777" ht="15.75" customHeight="1">
      <c r="A777" s="2">
        <v>1.0</v>
      </c>
      <c r="B777" s="2" t="s">
        <v>2177</v>
      </c>
      <c r="C777" s="2" t="s">
        <v>2178</v>
      </c>
      <c r="D777" s="2" t="s">
        <v>60</v>
      </c>
      <c r="E777" s="2" t="s">
        <v>61</v>
      </c>
      <c r="F777" s="2" t="s">
        <v>15</v>
      </c>
      <c r="G777" s="2" t="s">
        <v>2179</v>
      </c>
      <c r="H777" s="2" t="s">
        <v>248</v>
      </c>
      <c r="I777" s="2" t="str">
        <f>IFERROR(__xludf.DUMMYFUNCTION("GOOGLETRANSLATE(C777,""fr"",""en"")"),"In the event of conflicts, call the ACPR in Paris for the procedure to follow ")</f>
        <v>In the event of conflicts, call the ACPR in Paris for the procedure to follow </v>
      </c>
    </row>
    <row r="778" ht="15.75" customHeight="1">
      <c r="A778" s="2">
        <v>1.0</v>
      </c>
      <c r="B778" s="2" t="s">
        <v>2180</v>
      </c>
      <c r="C778" s="2" t="s">
        <v>2181</v>
      </c>
      <c r="D778" s="2" t="s">
        <v>13</v>
      </c>
      <c r="E778" s="2" t="s">
        <v>14</v>
      </c>
      <c r="F778" s="2" t="s">
        <v>15</v>
      </c>
      <c r="G778" s="2" t="s">
        <v>260</v>
      </c>
      <c r="H778" s="2" t="s">
        <v>71</v>
      </c>
      <c r="I778" s="2" t="str">
        <f>IFERROR(__xludf.DUMMYFUNCTION("GOOGLETRANSLATE(C778,""fr"",""en"")"),"The price doesn't suit me at all this year!
Increase of almost 5%
I am trying to contact your sales department, and this is impossible at Direct Assurance.")</f>
        <v>The price doesn't suit me at all this year!
Increase of almost 5%
I am trying to contact your sales department, and this is impossible at Direct Assurance.</v>
      </c>
    </row>
    <row r="779" ht="15.75" customHeight="1">
      <c r="A779" s="2">
        <v>1.0</v>
      </c>
      <c r="B779" s="2" t="s">
        <v>2182</v>
      </c>
      <c r="C779" s="2" t="s">
        <v>2183</v>
      </c>
      <c r="D779" s="2" t="s">
        <v>623</v>
      </c>
      <c r="E779" s="2" t="s">
        <v>61</v>
      </c>
      <c r="F779" s="2" t="s">
        <v>15</v>
      </c>
      <c r="G779" s="2" t="s">
        <v>943</v>
      </c>
      <c r="H779" s="2" t="s">
        <v>30</v>
      </c>
      <c r="I779" s="2" t="str">
        <f>IFERROR(__xludf.DUMMYFUNCTION("GOOGLETRANSLATE(C779,""fr"",""en"")"),"I declared and already put a review on this page. He had to call me back the first time following an accident. Thing done because it is impossible to have them. They supposedly had to call me a second time because the file had been raised to Level 2 compl"&amp;"aint (according to their term). It promises level 2. STILL NO SIGN OF LIFE!!!!
So WHY DO I PAY FOR NON-EXISTENT BENEFITS??? WOULD THIS REALLY BE AN RNA????
PAY BUT ABOVE ALL DO NOT GIVE US SIGN OF LIFE!!!!")</f>
        <v>I declared and already put a review on this page. He had to call me back the first time following an accident. Thing done because it is impossible to have them. They supposedly had to call me a second time because the file had been raised to Level 2 complaint (according to their term). It promises level 2. STILL NO SIGN OF LIFE!!!!
So WHY DO I PAY FOR NON-EXISTENT BENEFITS??? WOULD THIS REALLY BE AN RNA????
PAY BUT ABOVE ALL DO NOT GIVE US SIGN OF LIFE!!!!</v>
      </c>
    </row>
    <row r="780" ht="15.75" customHeight="1">
      <c r="A780" s="2">
        <v>4.0</v>
      </c>
      <c r="B780" s="2" t="s">
        <v>2184</v>
      </c>
      <c r="C780" s="2" t="s">
        <v>2185</v>
      </c>
      <c r="D780" s="2" t="s">
        <v>190</v>
      </c>
      <c r="E780" s="2" t="s">
        <v>14</v>
      </c>
      <c r="F780" s="2" t="s">
        <v>15</v>
      </c>
      <c r="G780" s="2" t="s">
        <v>2186</v>
      </c>
      <c r="H780" s="2" t="s">
        <v>17</v>
      </c>
      <c r="I780" s="2" t="str">
        <f>IFERROR(__xludf.DUMMYFUNCTION("GOOGLETRANSLATE(C780,""fr"",""en"")"),"I am satisfied with the home insurance and legal protection, the prices suit me, and the application and website are very easy to use")</f>
        <v>I am satisfied with the home insurance and legal protection, the prices suit me, and the application and website are very easy to use</v>
      </c>
    </row>
    <row r="781" ht="15.75" customHeight="1">
      <c r="A781" s="2">
        <v>1.0</v>
      </c>
      <c r="B781" s="2" t="s">
        <v>2187</v>
      </c>
      <c r="C781" s="2" t="s">
        <v>2188</v>
      </c>
      <c r="D781" s="2" t="s">
        <v>33</v>
      </c>
      <c r="E781" s="2" t="s">
        <v>14</v>
      </c>
      <c r="F781" s="2" t="s">
        <v>15</v>
      </c>
      <c r="G781" s="2" t="s">
        <v>2189</v>
      </c>
      <c r="H781" s="2" t="s">
        <v>442</v>
      </c>
      <c r="I781" s="2" t="str">
        <f>IFERROR(__xludf.DUMMYFUNCTION("GOOGLETRANSLATE(C781,""fr"",""en"")"),"Having been a customer of Matmut for more than 14 years for several car home contracts etc... Following a problem with the date of declaration of loss (4 days) Matmut refuses to take charge of changing my windshield, their aim is purely for profit and at "&amp;"no time do they care about their customers by finding intermediate solutions... In short, to keep their customers they make no effort on the other hand to collect money that's on the matmut she ensures...... . ")</f>
        <v>Having been a customer of Matmut for more than 14 years for several car home contracts etc... Following a problem with the date of declaration of loss (4 days) Matmut refuses to take charge of changing my windshield, their aim is purely for profit and at no time do they care about their customers by finding intermediate solutions... In short, to keep their customers they make no effort on the other hand to collect money that's on the matmut she ensures...... . </v>
      </c>
    </row>
    <row r="782" ht="15.75" customHeight="1">
      <c r="A782" s="2">
        <v>4.0</v>
      </c>
      <c r="B782" s="2" t="s">
        <v>2190</v>
      </c>
      <c r="C782" s="2" t="s">
        <v>2191</v>
      </c>
      <c r="D782" s="2" t="s">
        <v>190</v>
      </c>
      <c r="E782" s="2" t="s">
        <v>14</v>
      </c>
      <c r="F782" s="2" t="s">
        <v>15</v>
      </c>
      <c r="G782" s="2" t="s">
        <v>2192</v>
      </c>
      <c r="H782" s="2" t="s">
        <v>71</v>
      </c>
      <c r="I782" s="2" t="str">
        <f>IFERROR(__xludf.DUMMYFUNCTION("GOOGLETRANSLATE(C782,""fr"",""en"")"),"Very good, responsive reimbursement insurance and super friendly advisor. 25 years of GMF with top of the line claims compared to other insurances....")</f>
        <v>Very good, responsive reimbursement insurance and super friendly advisor. 25 years of GMF with top of the line claims compared to other insurances....</v>
      </c>
    </row>
    <row r="783" ht="15.75" customHeight="1">
      <c r="A783" s="2">
        <v>5.0</v>
      </c>
      <c r="B783" s="2" t="s">
        <v>2193</v>
      </c>
      <c r="C783" s="2" t="s">
        <v>2194</v>
      </c>
      <c r="D783" s="2" t="s">
        <v>493</v>
      </c>
      <c r="E783" s="2" t="s">
        <v>101</v>
      </c>
      <c r="F783" s="2" t="s">
        <v>15</v>
      </c>
      <c r="G783" s="2" t="s">
        <v>2195</v>
      </c>
      <c r="H783" s="2" t="s">
        <v>108</v>
      </c>
      <c r="I783" s="2" t="str">
        <f>IFERROR(__xludf.DUMMYFUNCTION("GOOGLETRANSLATE(C783,""fr"",""en"")"),"welcome and professionalism of the advisor. responsiveness and very good advice 
I recommend zen up for the ease of filling out files and the accessibility of the site ")</f>
        <v>welcome and professionalism of the advisor. responsiveness and very good advice 
I recommend zen up for the ease of filling out files and the accessibility of the site </v>
      </c>
    </row>
    <row r="784" ht="15.75" customHeight="1">
      <c r="A784" s="2">
        <v>5.0</v>
      </c>
      <c r="B784" s="2" t="s">
        <v>2196</v>
      </c>
      <c r="C784" s="2" t="s">
        <v>2197</v>
      </c>
      <c r="D784" s="2" t="s">
        <v>38</v>
      </c>
      <c r="E784" s="2" t="s">
        <v>39</v>
      </c>
      <c r="F784" s="2" t="s">
        <v>15</v>
      </c>
      <c r="G784" s="2" t="s">
        <v>1412</v>
      </c>
      <c r="H784" s="2" t="s">
        <v>25</v>
      </c>
      <c r="I784" s="2" t="str">
        <f>IFERROR(__xludf.DUMMYFUNCTION("GOOGLETRANSLATE(C784,""fr"",""en"")"),"Very satisfied with our exchange 
Listening interlocutor took the time to inform me and contacted the services in order to have confirmation of my request.
")</f>
        <v>Very satisfied with our exchange 
Listening interlocutor took the time to inform me and contacted the services in order to have confirmation of my request.
</v>
      </c>
    </row>
    <row r="785" ht="15.75" customHeight="1">
      <c r="A785" s="2">
        <v>5.0</v>
      </c>
      <c r="B785" s="2" t="s">
        <v>2198</v>
      </c>
      <c r="C785" s="2" t="s">
        <v>2199</v>
      </c>
      <c r="D785" s="2" t="s">
        <v>493</v>
      </c>
      <c r="E785" s="2" t="s">
        <v>101</v>
      </c>
      <c r="F785" s="2" t="s">
        <v>15</v>
      </c>
      <c r="G785" s="2" t="s">
        <v>1335</v>
      </c>
      <c r="H785" s="2" t="s">
        <v>57</v>
      </c>
      <c r="I785" s="2" t="str">
        <f>IFERROR(__xludf.DUMMYFUNCTION("GOOGLETRANSLATE(C785,""fr"",""en"")"),"Very satisfied with the follow-up of the file by the manager who is very professional, very responsive, very competent and very friendly. I would recommend this person and this service without hesitation.")</f>
        <v>Very satisfied with the follow-up of the file by the manager who is very professional, very responsive, very competent and very friendly. I would recommend this person and this service without hesitation.</v>
      </c>
    </row>
    <row r="786" ht="15.75" customHeight="1">
      <c r="A786" s="2">
        <v>1.0</v>
      </c>
      <c r="B786" s="2" t="s">
        <v>2200</v>
      </c>
      <c r="C786" s="2" t="s">
        <v>2201</v>
      </c>
      <c r="D786" s="2" t="s">
        <v>13</v>
      </c>
      <c r="E786" s="2" t="s">
        <v>14</v>
      </c>
      <c r="F786" s="2" t="s">
        <v>15</v>
      </c>
      <c r="G786" s="2" t="s">
        <v>542</v>
      </c>
      <c r="H786" s="2" t="s">
        <v>21</v>
      </c>
      <c r="I786" s="2" t="str">
        <f>IFERROR(__xludf.DUMMYFUNCTION("GOOGLETRANSLATE(C786,""fr"",""en"")"),"the first quote is interesting, then the price increases every year at a very high speed!!!!
and this without any disaster!
I absolutely do not recommend!")</f>
        <v>the first quote is interesting, then the price increases every year at a very high speed!!!!
and this without any disaster!
I absolutely do not recommend!</v>
      </c>
    </row>
    <row r="787" ht="15.75" customHeight="1">
      <c r="A787" s="2">
        <v>4.0</v>
      </c>
      <c r="B787" s="2" t="s">
        <v>2202</v>
      </c>
      <c r="C787" s="2" t="s">
        <v>2203</v>
      </c>
      <c r="D787" s="2" t="s">
        <v>13</v>
      </c>
      <c r="E787" s="2" t="s">
        <v>14</v>
      </c>
      <c r="F787" s="2" t="s">
        <v>15</v>
      </c>
      <c r="G787" s="2" t="s">
        <v>1251</v>
      </c>
      <c r="H787" s="2" t="s">
        <v>83</v>
      </c>
      <c r="I787" s="2" t="str">
        <f>IFERROR(__xludf.DUMMYFUNCTION("GOOGLETRANSLATE(C787,""fr"",""en"")"),"Good morning,
I am satisfied with the Direct Assurance service, the prices are very affordable and the choice varies greatly. Plus the service is fast.
Thank you,
Good day.")</f>
        <v>Good morning,
I am satisfied with the Direct Assurance service, the prices are very affordable and the choice varies greatly. Plus the service is fast.
Thank you,
Good day.</v>
      </c>
    </row>
    <row r="788" ht="15.75" customHeight="1">
      <c r="A788" s="2">
        <v>1.0</v>
      </c>
      <c r="B788" s="2" t="s">
        <v>2204</v>
      </c>
      <c r="C788" s="2" t="s">
        <v>2205</v>
      </c>
      <c r="D788" s="2" t="s">
        <v>89</v>
      </c>
      <c r="E788" s="2" t="s">
        <v>39</v>
      </c>
      <c r="F788" s="2" t="s">
        <v>15</v>
      </c>
      <c r="G788" s="2" t="s">
        <v>459</v>
      </c>
      <c r="H788" s="2" t="s">
        <v>25</v>
      </c>
      <c r="I788" s="2" t="str">
        <f>IFERROR(__xludf.DUMMYFUNCTION("GOOGLETRANSLATE(C788,""fr"",""en"")"),"I am waiting for a refund of a contribution wrongly made by Cégéma following death, I have been asked for a ton of supporting documents but no refund...the advisors cannot be reached by telephone, I have been offered a call back but not reminder, it's a t"&amp;"otal hassle 
I deeply regret having signed a contract with Cégema!!!")</f>
        <v>I am waiting for a refund of a contribution wrongly made by Cégéma following death, I have been asked for a ton of supporting documents but no refund...the advisors cannot be reached by telephone, I have been offered a call back but not reminder, it's a total hassle 
I deeply regret having signed a contract with Cégema!!!</v>
      </c>
    </row>
    <row r="789" ht="15.75" customHeight="1">
      <c r="A789" s="2">
        <v>3.0</v>
      </c>
      <c r="B789" s="2" t="s">
        <v>2206</v>
      </c>
      <c r="C789" s="2" t="s">
        <v>2207</v>
      </c>
      <c r="D789" s="2" t="s">
        <v>1242</v>
      </c>
      <c r="E789" s="2" t="s">
        <v>129</v>
      </c>
      <c r="F789" s="2" t="s">
        <v>15</v>
      </c>
      <c r="G789" s="2" t="s">
        <v>2208</v>
      </c>
      <c r="H789" s="2" t="s">
        <v>374</v>
      </c>
      <c r="I789" s="2" t="str">
        <f>IFERROR(__xludf.DUMMYFUNCTION("GOOGLETRANSLATE(C789,""fr"",""en"")"),"Electrical damage in December, I am insured for replacement value and I sent the invoices for household appliances requested by the expert following his visit (non-repairable), the CM paid me with deduction for obsolescence (while they sold me a contract "&amp;"at replacement value therefore without obsolescence) I contested the payment by LR + AR, the local fund also contested. I am not also talking to you about repair bills that the expert does not deem fit to take into account. No electricity during all the h"&amp;"olidays and an expert who came 3 weeks later..., we had to cut off the electricity we had during the night and during our absence due to the risk of fire. 
They remain imperturbable.  
Know how to sell contracts with additional conditions.
But they are to"&amp;"tally LESS at managing and I even wonder if they are honest....")</f>
        <v>Electrical damage in December, I am insured for replacement value and I sent the invoices for household appliances requested by the expert following his visit (non-repairable), the CM paid me with deduction for obsolescence (while they sold me a contract at replacement value therefore without obsolescence) I contested the payment by LR + AR, the local fund also contested. I am not also talking to you about repair bills that the expert does not deem fit to take into account. No electricity during all the holidays and an expert who came 3 weeks later..., we had to cut off the electricity we had during the night and during our absence due to the risk of fire. 
They remain imperturbable.  
Know how to sell contracts with additional conditions.
But they are totally LESS at managing and I even wonder if they are honest....</v>
      </c>
    </row>
    <row r="790" ht="15.75" customHeight="1">
      <c r="A790" s="2">
        <v>2.0</v>
      </c>
      <c r="B790" s="2" t="s">
        <v>2209</v>
      </c>
      <c r="C790" s="2" t="s">
        <v>2210</v>
      </c>
      <c r="D790" s="2" t="s">
        <v>281</v>
      </c>
      <c r="E790" s="2" t="s">
        <v>39</v>
      </c>
      <c r="F790" s="2" t="s">
        <v>15</v>
      </c>
      <c r="G790" s="2" t="s">
        <v>608</v>
      </c>
      <c r="H790" s="2" t="s">
        <v>71</v>
      </c>
      <c r="I790" s="2" t="str">
        <f>IFERROR(__xludf.DUMMYFUNCTION("GOOGLETRANSLATE(C790,""fr"",""en"")"),"A priori large mutual with ""storefront"" (which made me choose them) 
As for Reimbursements: no problem, it remains operational and fast (but luckily I have few needs, 0 to 2 per year).
however high price versus service and above all no listening to the "&amp;"customer during my small requests (bank changes, changes in guarantee level, quote, etc.) finally listening but NO return or action (and the Covid excuse has the "" wide back""). The main reason for my current change.")</f>
        <v>A priori large mutual with "storefront" (which made me choose them) 
As for Reimbursements: no problem, it remains operational and fast (but luckily I have few needs, 0 to 2 per year).
however high price versus service and above all no listening to the customer during my small requests (bank changes, changes in guarantee level, quote, etc.) finally listening but NO return or action (and the Covid excuse has the " wide back"). The main reason for my current change.</v>
      </c>
    </row>
    <row r="791" ht="15.75" customHeight="1">
      <c r="A791" s="2">
        <v>1.0</v>
      </c>
      <c r="B791" s="2" t="s">
        <v>2211</v>
      </c>
      <c r="C791" s="2" t="s">
        <v>2212</v>
      </c>
      <c r="D791" s="2" t="s">
        <v>601</v>
      </c>
      <c r="E791" s="2" t="s">
        <v>39</v>
      </c>
      <c r="F791" s="2" t="s">
        <v>15</v>
      </c>
      <c r="G791" s="2" t="s">
        <v>2213</v>
      </c>
      <c r="H791" s="2" t="s">
        <v>108</v>
      </c>
      <c r="I791" s="2" t="str">
        <f>IFERROR(__xludf.DUMMYFUNCTION("GOOGLETRANSLATE(C791,""fr"",""en"")"),"following portability linked to dismissal, I am no longer covered despite sending the documents within the stipulated deadlines. very quick to suspend the contract, but no responsiveness to maintain it despite the legal texts, and moreover no response to "&amp;"our various requests ")</f>
        <v>following portability linked to dismissal, I am no longer covered despite sending the documents within the stipulated deadlines. very quick to suspend the contract, but no responsiveness to maintain it despite the legal texts, and moreover no response to our various requests </v>
      </c>
    </row>
    <row r="792" ht="15.75" customHeight="1">
      <c r="A792" s="2">
        <v>5.0</v>
      </c>
      <c r="B792" s="2" t="s">
        <v>2214</v>
      </c>
      <c r="C792" s="2" t="s">
        <v>2215</v>
      </c>
      <c r="D792" s="2" t="s">
        <v>49</v>
      </c>
      <c r="E792" s="2" t="s">
        <v>50</v>
      </c>
      <c r="F792" s="2" t="s">
        <v>15</v>
      </c>
      <c r="G792" s="2" t="s">
        <v>2216</v>
      </c>
      <c r="H792" s="2" t="s">
        <v>52</v>
      </c>
      <c r="I792" s="2" t="str">
        <f>IFERROR(__xludf.DUMMYFUNCTION("GOOGLETRANSLATE(C792,""fr"",""en"")"),"When I read the negative reviews, I really wonder if the people are honest. I have had 2 dogs insured for several years (8-year-old Dogo Argentino and a 3-year-old Whippet).
Argentinian Mastiffs: ruptured cruciate ligaments on the left hind leg. Ear infec"&amp;"tions. Skin problems. Left eye removal. Currently loss of the right eye with probably an upcoming ablation. 
I have a contract that reimburses me 70%. I HAVE NEVER HAD ANY REFUND PROBLEMS (SUPER FAST TIME); 
Whippets: other contract Vaccine package respec"&amp;"ted.
Before SantéVet, I was with another insurance company for the Argentinian mastiff: I was FIRED after a year because of too many problems....
I RECOMMEND SANTEVET 100%.
")</f>
        <v>When I read the negative reviews, I really wonder if the people are honest. I have had 2 dogs insured for several years (8-year-old Dogo Argentino and a 3-year-old Whippet).
Argentinian Mastiffs: ruptured cruciate ligaments on the left hind leg. Ear infections. Skin problems. Left eye removal. Currently loss of the right eye with probably an upcoming ablation. 
I have a contract that reimburses me 70%. I HAVE NEVER HAD ANY REFUND PROBLEMS (SUPER FAST TIME); 
Whippets: other contract Vaccine package respected.
Before SantéVet, I was with another insurance company for the Argentinian mastiff: I was FIRED after a year because of too many problems....
I RECOMMEND SANTEVET 100%.
</v>
      </c>
    </row>
    <row r="793" ht="15.75" customHeight="1">
      <c r="A793" s="2">
        <v>3.0</v>
      </c>
      <c r="B793" s="2" t="s">
        <v>2217</v>
      </c>
      <c r="C793" s="2" t="s">
        <v>2218</v>
      </c>
      <c r="D793" s="2" t="s">
        <v>28</v>
      </c>
      <c r="E793" s="2" t="s">
        <v>14</v>
      </c>
      <c r="F793" s="2" t="s">
        <v>15</v>
      </c>
      <c r="G793" s="2" t="s">
        <v>300</v>
      </c>
      <c r="H793" s="2" t="s">
        <v>111</v>
      </c>
      <c r="I793" s="2" t="str">
        <f>IFERROR(__xludf.DUMMYFUNCTION("GOOGLETRANSLATE(C793,""fr"",""en"")"),"I am satisfied and the price is interesting complete and friendly and serious service very kind and helpful the price changed overnight??? More expensive ")</f>
        <v>I am satisfied and the price is interesting complete and friendly and serious service very kind and helpful the price changed overnight??? More expensive </v>
      </c>
    </row>
    <row r="794" ht="15.75" customHeight="1">
      <c r="A794" s="2">
        <v>1.0</v>
      </c>
      <c r="B794" s="2" t="s">
        <v>2219</v>
      </c>
      <c r="C794" s="2" t="s">
        <v>2220</v>
      </c>
      <c r="D794" s="2" t="s">
        <v>303</v>
      </c>
      <c r="E794" s="2" t="s">
        <v>129</v>
      </c>
      <c r="F794" s="2" t="s">
        <v>15</v>
      </c>
      <c r="G794" s="2" t="s">
        <v>2221</v>
      </c>
      <c r="H794" s="2" t="s">
        <v>343</v>
      </c>
      <c r="I794" s="2" t="str">
        <f>IFERROR(__xludf.DUMMYFUNCTION("GOOGLETRANSLATE(C794,""fr"",""en"")"),"Member for more than 35 years without any claim, in February 2017, water leak at my home, despite a proper declaration, despite the provision of all the documents on several occasions after a deficiency in the file at the end of May for false reasons, des"&amp;"pite dozens of calls, emails, contacts in October my file is still in progress and no work on the horizon....with the added silence of the file managers....")</f>
        <v>Member for more than 35 years without any claim, in February 2017, water leak at my home, despite a proper declaration, despite the provision of all the documents on several occasions after a deficiency in the file at the end of May for false reasons, despite dozens of calls, emails, contacts in October my file is still in progress and no work on the horizon....with the added silence of the file managers....</v>
      </c>
    </row>
    <row r="795" ht="15.75" customHeight="1">
      <c r="A795" s="2">
        <v>2.0</v>
      </c>
      <c r="B795" s="2" t="s">
        <v>2222</v>
      </c>
      <c r="C795" s="2" t="s">
        <v>2223</v>
      </c>
      <c r="D795" s="2" t="s">
        <v>33</v>
      </c>
      <c r="E795" s="2" t="s">
        <v>14</v>
      </c>
      <c r="F795" s="2" t="s">
        <v>15</v>
      </c>
      <c r="G795" s="2" t="s">
        <v>2224</v>
      </c>
      <c r="H795" s="2" t="s">
        <v>275</v>
      </c>
      <c r="I795" s="2" t="str">
        <f>IFERROR(__xludf.DUMMYFUNCTION("GOOGLETRANSLATE(C795,""fr"",""en"")"),"What can I say other than run away from them. Insurance that does not respect its customers at all. During an accident while I was parking, a man hit me. I have testimony that proves that he was the one who got into my car. The matmut sends me a letter to"&amp;" tell me ""you were in reverse, your witness confirms it, you are 100% wrong"" without even taking into account the rest of the testimony which says that it is the other who is wrong to me. got inside. The irony is that over the phone an advisor told me t"&amp;"estimony or not you are in reverse you are responsible. On the phone it's deaf speech. My colleague also had problems with them and advised me not to go to their house. I should have listened to him. This insurance is the right one to take money")</f>
        <v>What can I say other than run away from them. Insurance that does not respect its customers at all. During an accident while I was parking, a man hit me. I have testimony that proves that he was the one who got into my car. The matmut sends me a letter to tell me "you were in reverse, your witness confirms it, you are 100% wrong" without even taking into account the rest of the testimony which says that it is the other who is wrong to me. got inside. The irony is that over the phone an advisor told me testimony or not you are in reverse you are responsible. On the phone it's deaf speech. My colleague also had problems with them and advised me not to go to their house. I should have listened to him. This insurance is the right one to take money</v>
      </c>
    </row>
    <row r="796" ht="15.75" customHeight="1">
      <c r="A796" s="2">
        <v>4.0</v>
      </c>
      <c r="B796" s="2" t="s">
        <v>2225</v>
      </c>
      <c r="C796" s="2" t="s">
        <v>2226</v>
      </c>
      <c r="D796" s="2" t="s">
        <v>28</v>
      </c>
      <c r="E796" s="2" t="s">
        <v>14</v>
      </c>
      <c r="F796" s="2" t="s">
        <v>15</v>
      </c>
      <c r="G796" s="2" t="s">
        <v>82</v>
      </c>
      <c r="H796" s="2" t="s">
        <v>83</v>
      </c>
      <c r="I796" s="2" t="str">
        <f>IFERROR(__xludf.DUMMYFUNCTION("GOOGLETRANSLATE(C796,""fr"",""en"")"),"I am relatively satisfied with the car insurance. I have already taken out three very simple contracts to subscribe and complete the documents I validate. ")</f>
        <v>I am relatively satisfied with the car insurance. I have already taken out three very simple contracts to subscribe and complete the documents I validate. </v>
      </c>
    </row>
    <row r="797" ht="15.75" customHeight="1">
      <c r="A797" s="2">
        <v>4.0</v>
      </c>
      <c r="B797" s="2" t="s">
        <v>2227</v>
      </c>
      <c r="C797" s="2" t="s">
        <v>2228</v>
      </c>
      <c r="D797" s="2" t="s">
        <v>664</v>
      </c>
      <c r="E797" s="2" t="s">
        <v>39</v>
      </c>
      <c r="F797" s="2" t="s">
        <v>15</v>
      </c>
      <c r="G797" s="2" t="s">
        <v>2229</v>
      </c>
      <c r="H797" s="2" t="s">
        <v>474</v>
      </c>
      <c r="I797" s="2" t="str">
        <f>IFERROR(__xludf.DUMMYFUNCTION("GOOGLETRANSLATE(C797,""fr"",""en"")"),"Santiane customer for several years contacted for change of contract. .take stock. Request for mutual insurance with better benefits.")</f>
        <v>Santiane customer for several years contacted for change of contract. .take stock. Request for mutual insurance with better benefits.</v>
      </c>
    </row>
    <row r="798" ht="15.75" customHeight="1">
      <c r="A798" s="2">
        <v>1.0</v>
      </c>
      <c r="B798" s="2" t="s">
        <v>2230</v>
      </c>
      <c r="C798" s="2" t="s">
        <v>2231</v>
      </c>
      <c r="D798" s="2" t="s">
        <v>664</v>
      </c>
      <c r="E798" s="2" t="s">
        <v>39</v>
      </c>
      <c r="F798" s="2" t="s">
        <v>15</v>
      </c>
      <c r="G798" s="2" t="s">
        <v>2232</v>
      </c>
      <c r="H798" s="2" t="s">
        <v>354</v>
      </c>
      <c r="I798" s="2" t="str">
        <f>IFERROR(__xludf.DUMMYFUNCTION("GOOGLETRANSLATE(C798,""fr"",""en"")"),"Good morning,
I applied for membership on 11/18/2020 EPSIL Senior+ contract N°S7518-9374648.
I exercised my right of withdrawal this morning on 11/19/2020.
Despite this, I received the membership certificate with its deadline.
Please take into account my "&amp;"cancellation of my membership application.
Sincerely")</f>
        <v>Good morning,
I applied for membership on 11/18/2020 EPSIL Senior+ contract N°S7518-9374648.
I exercised my right of withdrawal this morning on 11/19/2020.
Despite this, I received the membership certificate with its deadline.
Please take into account my cancellation of my membership application.
Sincerely</v>
      </c>
    </row>
    <row r="799" ht="15.75" customHeight="1">
      <c r="A799" s="2">
        <v>2.0</v>
      </c>
      <c r="B799" s="2" t="s">
        <v>2233</v>
      </c>
      <c r="C799" s="2" t="s">
        <v>2234</v>
      </c>
      <c r="D799" s="2" t="s">
        <v>303</v>
      </c>
      <c r="E799" s="2" t="s">
        <v>14</v>
      </c>
      <c r="F799" s="2" t="s">
        <v>15</v>
      </c>
      <c r="G799" s="2" t="s">
        <v>2235</v>
      </c>
      <c r="H799" s="2" t="s">
        <v>994</v>
      </c>
      <c r="I799" s="2" t="str">
        <f>IFERROR(__xludf.DUMMYFUNCTION("GOOGLETRANSLATE(C799,""fr"",""en"")"),"I had a non-fault accident, face to face with an alcoholic person, my 18 month old daughter with me in the vehicle. Fully insured, I was initially refused to take me home after being taken by the firefighters to the hospital emergency room. I had to retur"&amp;"n by bus as I was no longer at the scene of the accident. then I was refused the loan of the vehicle, I had to take out the legal texts to have the right and I had to pay 25% of the rental, then I was informed that my 18 month old daughter is not consider"&amp;"ed a victim of the accident since I quote ""she will no longer remember it once she becomes an adult"". After that, I was sent to an expert who considered it essential to have psychological follow-up. I had to bring forward all my sessions because the per"&amp;"son in charge of my file never called me back, despite numerous reminders where a person was always missing. paper ! After 10 sessions and 400 euros spent, she informed me that I was only entitled to 3 reimbursed sessions and that I would not have more! I"&amp;" had to stop the sessions immediately. After consulting the expert doctor, he informed me that MACIF should never have made such comments since it is up to him to decide the number of useful sessions. For my daughter who was supposedly not a victim, I was"&amp;" first offered the sum of 110 euros in compensation, after having written a letter to indicate my dissatisfaction, I was sent to an expert doctor who estimated the amount at 1400 euros!  I have had my license for 10 years, I have been insured for 10 years"&amp;", no wrongful accidents, I expected my insurance, with whom I have 4 contracts, to do its job, namely to defend me with the adverse insurance! No support, no help, terrible service! Now that this story is behind me, my 2 car insurances, my motorcycle insu"&amp;"rance and my home insurance will be happy to look elsewhere!")</f>
        <v>I had a non-fault accident, face to face with an alcoholic person, my 18 month old daughter with me in the vehicle. Fully insured, I was initially refused to take me home after being taken by the firefighters to the hospital emergency room. I had to return by bus as I was no longer at the scene of the accident. then I was refused the loan of the vehicle, I had to take out the legal texts to have the right and I had to pay 25% of the rental, then I was informed that my 18 month old daughter is not considered a victim of the accident since I quote "she will no longer remember it once she becomes an adult". After that, I was sent to an expert who considered it essential to have psychological follow-up. I had to bring forward all my sessions because the person in charge of my file never called me back, despite numerous reminders where a person was always missing. paper ! After 10 sessions and 400 euros spent, she informed me that I was only entitled to 3 reimbursed sessions and that I would not have more! I had to stop the sessions immediately. After consulting the expert doctor, he informed me that MACIF should never have made such comments since it is up to him to decide the number of useful sessions. For my daughter who was supposedly not a victim, I was first offered the sum of 110 euros in compensation, after having written a letter to indicate my dissatisfaction, I was sent to an expert doctor who estimated the amount at 1400 euros!  I have had my license for 10 years, I have been insured for 10 years, no wrongful accidents, I expected my insurance, with whom I have 4 contracts, to do its job, namely to defend me with the adverse insurance! No support, no help, terrible service! Now that this story is behind me, my 2 car insurances, my motorcycle insurance and my home insurance will be happy to look elsewhere!</v>
      </c>
    </row>
    <row r="800" ht="15.75" customHeight="1">
      <c r="A800" s="2">
        <v>3.0</v>
      </c>
      <c r="B800" s="2" t="s">
        <v>2236</v>
      </c>
      <c r="C800" s="2" t="s">
        <v>2237</v>
      </c>
      <c r="D800" s="2" t="s">
        <v>303</v>
      </c>
      <c r="E800" s="2" t="s">
        <v>14</v>
      </c>
      <c r="F800" s="2" t="s">
        <v>15</v>
      </c>
      <c r="G800" s="2" t="s">
        <v>2238</v>
      </c>
      <c r="H800" s="2" t="s">
        <v>899</v>
      </c>
      <c r="I800" s="2" t="str">
        <f>IFERROR(__xludf.DUMMYFUNCTION("GOOGLETRANSLATE(C800,""fr"",""en"")"),"Hello I am disgusted and devastated by this insurance I am fully insured I pay 150€ insurance per month I had my family vehicle Peugeot 508 stolen any option now I find myself in a bind taking the bus with my daughter and my husband the day I brought back"&amp;" the complaint of the theft of my vehicle from the police station, macif made me fill out a document asking me the approximate number of kilometers, macif responded negatively, telling me that he would not take charge of the reimbursement of my vehicle du"&amp;"e to errors on my part concerning the number of kilometers following his I sent to the claims service a file proving my good faith by showing the bank check for €14,000 on photo of my vehicle supporting invoices then I am answered by voice message unknown"&amp;" that the declarations I provided are fraudulent all this to say that it is serious very very serious to react in this way and shameful savings of 10 year I didn't deserve this and no one should experience it. I'm still waiting, I sent my file again but i"&amp;"n vain ")</f>
        <v>Hello I am disgusted and devastated by this insurance I am fully insured I pay 150€ insurance per month I had my family vehicle Peugeot 508 stolen any option now I find myself in a bind taking the bus with my daughter and my husband the day I brought back the complaint of the theft of my vehicle from the police station, macif made me fill out a document asking me the approximate number of kilometers, macif responded negatively, telling me that he would not take charge of the reimbursement of my vehicle due to errors on my part concerning the number of kilometers following his I sent to the claims service a file proving my good faith by showing the bank check for €14,000 on photo of my vehicle supporting invoices then I am answered by voice message unknown that the declarations I provided are fraudulent all this to say that it is serious very very serious to react in this way and shameful savings of 10 year I didn't deserve this and no one should experience it. I'm still waiting, I sent my file again but in vain </v>
      </c>
    </row>
    <row r="801" ht="15.75" customHeight="1">
      <c r="A801" s="2">
        <v>1.0</v>
      </c>
      <c r="B801" s="2" t="s">
        <v>2239</v>
      </c>
      <c r="C801" s="2" t="s">
        <v>2240</v>
      </c>
      <c r="D801" s="2" t="s">
        <v>303</v>
      </c>
      <c r="E801" s="2" t="s">
        <v>14</v>
      </c>
      <c r="F801" s="2" t="s">
        <v>15</v>
      </c>
      <c r="G801" s="2" t="s">
        <v>2241</v>
      </c>
      <c r="H801" s="2" t="s">
        <v>67</v>
      </c>
      <c r="I801" s="2" t="str">
        <f>IFERROR(__xludf.DUMMYFUNCTION("GOOGLETRANSLATE(C801,""fr"",""en"")"),"Member since 1988, for several years I have been asking myself a lot of questions about Macif!!! Prices, services, customer service. Insurance companies do finance, and banks do insurance. To think about... Competition is keen and thank goodness because t"&amp;"his allows us to see certain flaws, also at Macif. 
After 32 years of good and loyal service, I will look towards other horizons. I financed more than benefited from Macif. We know the rules of the game. I'm going to stop there at Macif, and see what is t"&amp;"he most advantageous for me in terms of quality and price.")</f>
        <v>Member since 1988, for several years I have been asking myself a lot of questions about Macif!!! Prices, services, customer service. Insurance companies do finance, and banks do insurance. To think about... Competition is keen and thank goodness because this allows us to see certain flaws, also at Macif. 
After 32 years of good and loyal service, I will look towards other horizons. I financed more than benefited from Macif. We know the rules of the game. I'm going to stop there at Macif, and see what is the most advantageous for me in terms of quality and price.</v>
      </c>
    </row>
    <row r="802" ht="15.75" customHeight="1">
      <c r="A802" s="2">
        <v>2.0</v>
      </c>
      <c r="B802" s="2" t="s">
        <v>2242</v>
      </c>
      <c r="C802" s="2" t="s">
        <v>2243</v>
      </c>
      <c r="D802" s="2" t="s">
        <v>322</v>
      </c>
      <c r="E802" s="2" t="s">
        <v>14</v>
      </c>
      <c r="F802" s="2" t="s">
        <v>15</v>
      </c>
      <c r="G802" s="2" t="s">
        <v>2244</v>
      </c>
      <c r="H802" s="2" t="s">
        <v>1034</v>
      </c>
      <c r="I802" s="2" t="str">
        <f>IFERROR(__xludf.DUMMYFUNCTION("GOOGLETRANSLATE(C802,""fr"",""en"")"),"Attractive prices but it's been almost a month that every day I send back the supporting documents in order to receive the definitive green card I receive emails telling me that my request will be processed as soon as possible but nothing when I call I ge"&amp;"t on advisors who do not understand what I am asking of them in addition to calls at 80 cents per minute really very very disappointed I was fined because I did not have a sticker and yet my 3 month contribution was debited ")</f>
        <v>Attractive prices but it's been almost a month that every day I send back the supporting documents in order to receive the definitive green card I receive emails telling me that my request will be processed as soon as possible but nothing when I call I get on advisors who do not understand what I am asking of them in addition to calls at 80 cents per minute really very very disappointed I was fined because I did not have a sticker and yet my 3 month contribution was debited </v>
      </c>
    </row>
    <row r="803" ht="15.75" customHeight="1">
      <c r="A803" s="2">
        <v>5.0</v>
      </c>
      <c r="B803" s="2" t="s">
        <v>2245</v>
      </c>
      <c r="C803" s="2" t="s">
        <v>2246</v>
      </c>
      <c r="D803" s="2" t="s">
        <v>13</v>
      </c>
      <c r="E803" s="2" t="s">
        <v>14</v>
      </c>
      <c r="F803" s="2" t="s">
        <v>15</v>
      </c>
      <c r="G803" s="2" t="s">
        <v>155</v>
      </c>
      <c r="H803" s="2" t="s">
        <v>71</v>
      </c>
      <c r="I803" s="2" t="str">
        <f>IFERROR(__xludf.DUMMYFUNCTION("GOOGLETRANSLATE(C803,""fr"",""en"")"),"Nothing to say, responsive insurance and at unbeatable prices
I was able to ensure this in 1 day and for the slightest question or request, customer service is there.")</f>
        <v>Nothing to say, responsive insurance and at unbeatable prices
I was able to ensure this in 1 day and for the slightest question or request, customer service is there.</v>
      </c>
    </row>
    <row r="804" ht="15.75" customHeight="1">
      <c r="A804" s="2">
        <v>1.0</v>
      </c>
      <c r="B804" s="2" t="s">
        <v>2247</v>
      </c>
      <c r="C804" s="2" t="s">
        <v>2248</v>
      </c>
      <c r="D804" s="2" t="s">
        <v>303</v>
      </c>
      <c r="E804" s="2" t="s">
        <v>129</v>
      </c>
      <c r="F804" s="2" t="s">
        <v>15</v>
      </c>
      <c r="G804" s="2" t="s">
        <v>2249</v>
      </c>
      <c r="H804" s="2" t="s">
        <v>1332</v>
      </c>
      <c r="I804" s="2" t="str">
        <f>IFERROR(__xludf.DUMMYFUNCTION("GOOGLETRANSLATE(C804,""fr"",""en"")"),"you pay every month but when you have a disaster (theft) you should not expect to be reimbursed by account the excess, do not forget to claim it from you, for around 5,000 to 6,000 euros you will have 400 euros it's GREAT I recommend the MACIF MACIF not t"&amp;"o forget ")</f>
        <v>you pay every month but when you have a disaster (theft) you should not expect to be reimbursed by account the excess, do not forget to claim it from you, for around 5,000 to 6,000 euros you will have 400 euros it's GREAT I recommend the MACIF MACIF not to forget </v>
      </c>
    </row>
    <row r="805" ht="15.75" customHeight="1">
      <c r="A805" s="2">
        <v>1.0</v>
      </c>
      <c r="B805" s="2" t="s">
        <v>2250</v>
      </c>
      <c r="C805" s="2" t="s">
        <v>2251</v>
      </c>
      <c r="D805" s="2" t="s">
        <v>65</v>
      </c>
      <c r="E805" s="2" t="s">
        <v>61</v>
      </c>
      <c r="F805" s="2" t="s">
        <v>15</v>
      </c>
      <c r="G805" s="2" t="s">
        <v>2252</v>
      </c>
      <c r="H805" s="2" t="s">
        <v>224</v>
      </c>
      <c r="I805" s="2" t="str">
        <f>IFERROR(__xludf.DUMMYFUNCTION("GOOGLETRANSLATE(C805,""fr"",""en"")"),"Expensive insurance, high entry fees, poor yield with extremely strong downward fluctuations, and very weak upward fluctuations. A heavy website that is often out of service and gives results randomly. Insurer not very combative in defending the interests"&amp;" of its clients during disputes with another insurance company.")</f>
        <v>Expensive insurance, high entry fees, poor yield with extremely strong downward fluctuations, and very weak upward fluctuations. A heavy website that is often out of service and gives results randomly. Insurer not very combative in defending the interests of its clients during disputes with another insurance company.</v>
      </c>
    </row>
    <row r="806" ht="15.75" customHeight="1">
      <c r="A806" s="2">
        <v>1.0</v>
      </c>
      <c r="B806" s="2" t="s">
        <v>2253</v>
      </c>
      <c r="C806" s="2" t="s">
        <v>2254</v>
      </c>
      <c r="D806" s="2" t="s">
        <v>303</v>
      </c>
      <c r="E806" s="2" t="s">
        <v>14</v>
      </c>
      <c r="F806" s="2" t="s">
        <v>15</v>
      </c>
      <c r="G806" s="2" t="s">
        <v>1818</v>
      </c>
      <c r="H806" s="2" t="s">
        <v>111</v>
      </c>
      <c r="I806" s="2" t="str">
        <f>IFERROR(__xludf.DUMMYFUNCTION("GOOGLETRANSLATE(C806,""fr"",""en"")"),"ATTENTION
Monitor your deductions carefully, having had automatic debits and no money problems, they realized late that they had deducted the premium for 3 years for a vehicle sold. Despite the fact that we provided proof that the car was exported and eve"&amp;"n provided the foreign registration document proving that the car is outside France and insured abroad the MACIF reimburses only 2 years. so money collected but do not want refunded. The reason for non-reimbursement they cannot go back to their file is mo"&amp;"re than 2 years old and do not reimburse despite having the proof in front of their eyes.
Customer with Macif since 1988 and never a claim, tell you the consideration of customers loyal to Macif.")</f>
        <v>ATTENTION
Monitor your deductions carefully, having had automatic debits and no money problems, they realized late that they had deducted the premium for 3 years for a vehicle sold. Despite the fact that we provided proof that the car was exported and even provided the foreign registration document proving that the car is outside France and insured abroad the MACIF reimburses only 2 years. so money collected but do not want refunded. The reason for non-reimbursement they cannot go back to their file is more than 2 years old and do not reimburse despite having the proof in front of their eyes.
Customer with Macif since 1988 and never a claim, tell you the consideration of customers loyal to Macif.</v>
      </c>
    </row>
    <row r="807" ht="15.75" customHeight="1">
      <c r="A807" s="2">
        <v>4.0</v>
      </c>
      <c r="B807" s="2" t="s">
        <v>2255</v>
      </c>
      <c r="C807" s="2" t="s">
        <v>2256</v>
      </c>
      <c r="D807" s="2" t="s">
        <v>28</v>
      </c>
      <c r="E807" s="2" t="s">
        <v>14</v>
      </c>
      <c r="F807" s="2" t="s">
        <v>15</v>
      </c>
      <c r="G807" s="2" t="s">
        <v>716</v>
      </c>
      <c r="H807" s="2" t="s">
        <v>25</v>
      </c>
      <c r="I807" s="2" t="str">
        <f>IFERROR(__xludf.DUMMYFUNCTION("GOOGLETRANSLATE(C807,""fr"",""en"")"),"I am satisfied with the service. The online advisor is available and clearly explains the guarantees taken out. Friendliness of insurance advisors.")</f>
        <v>I am satisfied with the service. The online advisor is available and clearly explains the guarantees taken out. Friendliness of insurance advisors.</v>
      </c>
    </row>
    <row r="808" ht="15.75" customHeight="1">
      <c r="A808" s="2">
        <v>2.0</v>
      </c>
      <c r="B808" s="2" t="s">
        <v>2257</v>
      </c>
      <c r="C808" s="2" t="s">
        <v>2258</v>
      </c>
      <c r="D808" s="2" t="s">
        <v>13</v>
      </c>
      <c r="E808" s="2" t="s">
        <v>14</v>
      </c>
      <c r="F808" s="2" t="s">
        <v>15</v>
      </c>
      <c r="G808" s="2" t="s">
        <v>121</v>
      </c>
      <c r="H808" s="2" t="s">
        <v>21</v>
      </c>
      <c r="I808" s="2" t="str">
        <f>IFERROR(__xludf.DUMMYFUNCTION("GOOGLETRANSLATE(C808,""fr"",""en"")"),"I am not satisfied with the amounts applied this year, even though the car is not running. I cannot see from the site the different options available to my vehicle... ")</f>
        <v>I am not satisfied with the amounts applied this year, even though the car is not running. I cannot see from the site the different options available to my vehicle... </v>
      </c>
    </row>
    <row r="809" ht="15.75" customHeight="1">
      <c r="A809" s="2">
        <v>2.0</v>
      </c>
      <c r="B809" s="2" t="s">
        <v>2259</v>
      </c>
      <c r="C809" s="2" t="s">
        <v>2260</v>
      </c>
      <c r="D809" s="2" t="s">
        <v>326</v>
      </c>
      <c r="E809" s="2" t="s">
        <v>81</v>
      </c>
      <c r="F809" s="2" t="s">
        <v>15</v>
      </c>
      <c r="G809" s="2" t="s">
        <v>2261</v>
      </c>
      <c r="H809" s="2" t="s">
        <v>1344</v>
      </c>
      <c r="I809" s="2" t="str">
        <f>IFERROR(__xludf.DUMMYFUNCTION("GOOGLETRANSLATE(C809,""fr"",""en"")"),"A customer for 3 years, I have very mixed feelings about this insurance. The administrative part is very procedural, asking for quantities of supporting documents which it misplaces and constantly asks for, from contract annexes to proof of anti-theft pur"&amp;"chase. It's painful and it happened on my 3 successive bikes. I also had an accident and my mechanic damaged the motorcycle saddle during the repair. Axa did not follow up on the problem, arguing that this motorcycle mechanic was not approved (there are n"&amp;"one in Paris in fact). Finally, when I changed motorbikes they continued to deduct the contribution from the old motorbike (even though it had been canceled and the general terms and conditions crossed out had been provided) for 6 months despite my interv"&amp;"entions. 440 € of dispute still in progress with a general agent who doesn't care at all. I am looking for another insurer.")</f>
        <v>A customer for 3 years, I have very mixed feelings about this insurance. The administrative part is very procedural, asking for quantities of supporting documents which it misplaces and constantly asks for, from contract annexes to proof of anti-theft purchase. It's painful and it happened on my 3 successive bikes. I also had an accident and my mechanic damaged the motorcycle saddle during the repair. Axa did not follow up on the problem, arguing that this motorcycle mechanic was not approved (there are none in Paris in fact). Finally, when I changed motorbikes they continued to deduct the contribution from the old motorbike (even though it had been canceled and the general terms and conditions crossed out had been provided) for 6 months despite my interventions. 440 € of dispute still in progress with a general agent who doesn't care at all. I am looking for another insurer.</v>
      </c>
    </row>
    <row r="810" ht="15.75" customHeight="1">
      <c r="A810" s="2">
        <v>2.0</v>
      </c>
      <c r="B810" s="2" t="s">
        <v>2262</v>
      </c>
      <c r="C810" s="2" t="s">
        <v>2263</v>
      </c>
      <c r="D810" s="2" t="s">
        <v>322</v>
      </c>
      <c r="E810" s="2" t="s">
        <v>14</v>
      </c>
      <c r="F810" s="2" t="s">
        <v>15</v>
      </c>
      <c r="G810" s="2" t="s">
        <v>2264</v>
      </c>
      <c r="H810" s="2" t="s">
        <v>484</v>
      </c>
      <c r="I810" s="2" t="str">
        <f>IFERROR(__xludf.DUMMYFUNCTION("GOOGLETRANSLATE(C810,""fr"",""en"")"),"Like many, I thought it would be useful to take out the cheapest insurance for my car and the result was 
NEVER received an insurance sticker in 8 months
NONE NONE NO customer service, worse a hotline that costs 80 cents per minute!! 
NO response to email"&amp;"s sent 
a contribution that increases WITHOUT EXPLANATION OR REASON!! 
EXORBITANT CANCELLATION FEES 
To flee as quickly as possible!! A pure scandal, this company is only organized to trap you and remind us that an abnormally low price is ALWAYS suspiciou"&amp;"s")</f>
        <v>Like many, I thought it would be useful to take out the cheapest insurance for my car and the result was 
NEVER received an insurance sticker in 8 months
NONE NONE NO customer service, worse a hotline that costs 80 cents per minute!! 
NO response to emails sent 
a contribution that increases WITHOUT EXPLANATION OR REASON!! 
EXORBITANT CANCELLATION FEES 
To flee as quickly as possible!! A pure scandal, this company is only organized to trap you and remind us that an abnormally low price is ALWAYS suspicious</v>
      </c>
    </row>
    <row r="811" ht="15.75" customHeight="1">
      <c r="A811" s="2">
        <v>5.0</v>
      </c>
      <c r="B811" s="2" t="s">
        <v>2265</v>
      </c>
      <c r="C811" s="2" t="s">
        <v>2266</v>
      </c>
      <c r="D811" s="2" t="s">
        <v>13</v>
      </c>
      <c r="E811" s="2" t="s">
        <v>14</v>
      </c>
      <c r="F811" s="2" t="s">
        <v>15</v>
      </c>
      <c r="G811" s="2" t="s">
        <v>1011</v>
      </c>
      <c r="H811" s="2" t="s">
        <v>111</v>
      </c>
      <c r="I811" s="2" t="str">
        <f>IFERROR(__xludf.DUMMYFUNCTION("GOOGLETRANSLATE(C811,""fr"",""en"")"),"Satisfied with the services offered at direct assurance 
Fast and clear attractive price compared to other insurers 
Thank you 
Thank you I recommend 
")</f>
        <v>Satisfied with the services offered at direct assurance 
Fast and clear attractive price compared to other insurers 
Thank you 
Thank you I recommend 
</v>
      </c>
    </row>
    <row r="812" ht="15.75" customHeight="1">
      <c r="A812" s="2">
        <v>1.0</v>
      </c>
      <c r="B812" s="2" t="s">
        <v>2267</v>
      </c>
      <c r="C812" s="2" t="s">
        <v>2268</v>
      </c>
      <c r="D812" s="2" t="s">
        <v>326</v>
      </c>
      <c r="E812" s="2" t="s">
        <v>129</v>
      </c>
      <c r="F812" s="2" t="s">
        <v>15</v>
      </c>
      <c r="G812" s="2" t="s">
        <v>142</v>
      </c>
      <c r="H812" s="2" t="s">
        <v>111</v>
      </c>
      <c r="I812" s="2" t="str">
        <f>IFERROR(__xludf.DUMMYFUNCTION("GOOGLETRANSLATE(C812,""fr"",""en"")"),"Our 27m square studio suffered major water damage on June 5, 2020. From the start they refused to compensate for the fact that we could not use the studio and offered no compensation. The room was 90% humid. They refused to install a dehumidifier which wo"&amp;"uld have dried it in 3 weeks and waited 11 months before starting the work. We are still waiting in August 2021 for them to finish refinishing the floor, cupboards and window. Avoid AXA has taken everything.")</f>
        <v>Our 27m square studio suffered major water damage on June 5, 2020. From the start they refused to compensate for the fact that we could not use the studio and offered no compensation. The room was 90% humid. They refused to install a dehumidifier which would have dried it in 3 weeks and waited 11 months before starting the work. We are still waiting in August 2021 for them to finish refinishing the floor, cupboards and window. Avoid AXA has taken everything.</v>
      </c>
    </row>
    <row r="813" ht="15.75" customHeight="1">
      <c r="A813" s="2">
        <v>4.0</v>
      </c>
      <c r="B813" s="2" t="s">
        <v>2269</v>
      </c>
      <c r="C813" s="2" t="s">
        <v>2270</v>
      </c>
      <c r="D813" s="2" t="s">
        <v>799</v>
      </c>
      <c r="E813" s="2" t="s">
        <v>129</v>
      </c>
      <c r="F813" s="2" t="s">
        <v>15</v>
      </c>
      <c r="G813" s="2" t="s">
        <v>484</v>
      </c>
      <c r="H813" s="2" t="s">
        <v>484</v>
      </c>
      <c r="I813" s="2" t="str">
        <f>IFERROR(__xludf.DUMMYFUNCTION("GOOGLETRANSLATE(C813,""fr"",""en"")"),"one additionally taken out on my home insurance. I was well compensated in accordance with the contract for a cell phone theft.")</f>
        <v>one additionally taken out on my home insurance. I was well compensated in accordance with the contract for a cell phone theft.</v>
      </c>
    </row>
    <row r="814" ht="15.75" customHeight="1">
      <c r="A814" s="2">
        <v>2.0</v>
      </c>
      <c r="B814" s="2" t="s">
        <v>2271</v>
      </c>
      <c r="C814" s="2" t="s">
        <v>2272</v>
      </c>
      <c r="D814" s="2" t="s">
        <v>13</v>
      </c>
      <c r="E814" s="2" t="s">
        <v>14</v>
      </c>
      <c r="F814" s="2" t="s">
        <v>15</v>
      </c>
      <c r="G814" s="2" t="s">
        <v>2273</v>
      </c>
      <c r="H814" s="2" t="s">
        <v>1058</v>
      </c>
      <c r="I814" s="2" t="str">
        <f>IFERROR(__xludf.DUMMYFUNCTION("GOOGLETRANSLATE(C814,""fr"",""en"")"),"Shabby, small, incompetent, a skirmish that has lasted for 3 weeks, no response from them. THE CUSTOMER NEEDS TO MANAGE THEIR OWN CLAIM BOTH THROUGH ASSISTANCE AND BY CHOOSING THE GARAGE, IN SHORT EVERYTHING FROM A A Z")</f>
        <v>Shabby, small, incompetent, a skirmish that has lasted for 3 weeks, no response from them. THE CUSTOMER NEEDS TO MANAGE THEIR OWN CLAIM BOTH THROUGH ASSISTANCE AND BY CHOOSING THE GARAGE, IN SHORT EVERYTHING FROM A A Z</v>
      </c>
    </row>
    <row r="815" ht="15.75" customHeight="1">
      <c r="A815" s="2">
        <v>1.0</v>
      </c>
      <c r="B815" s="2" t="s">
        <v>2274</v>
      </c>
      <c r="C815" s="2" t="s">
        <v>2275</v>
      </c>
      <c r="D815" s="2" t="s">
        <v>254</v>
      </c>
      <c r="E815" s="2" t="s">
        <v>129</v>
      </c>
      <c r="F815" s="2" t="s">
        <v>15</v>
      </c>
      <c r="G815" s="2" t="s">
        <v>2276</v>
      </c>
      <c r="H815" s="2" t="s">
        <v>35</v>
      </c>
      <c r="I815" s="2" t="str">
        <f>IFERROR(__xludf.DUMMYFUNCTION("GOOGLETRANSLATE(C815,""fr"",""en"")"),"after 25 years within the maiif I have realized for 2 years that this company no longer has anything to do with the one I knew. after 2 disasters, a flood and a gate broken by a car, the principle is still the same, the sending of an arrogant expert and o"&amp;"n the verge of disrespect who establishes a report equal to the franchise, it is say that he is paid and you assured you have nothing! So as one of these “experts” told me, only those who cry get something! I place my opinion here.
If anyone knows of good"&amp;" insurance I'm interested.")</f>
        <v>after 25 years within the maiif I have realized for 2 years that this company no longer has anything to do with the one I knew. after 2 disasters, a flood and a gate broken by a car, the principle is still the same, the sending of an arrogant expert and on the verge of disrespect who establishes a report equal to the franchise, it is say that he is paid and you assured you have nothing! So as one of these “experts” told me, only those who cry get something! I place my opinion here.
If anyone knows of good insurance I'm interested.</v>
      </c>
    </row>
    <row r="816" ht="15.75" customHeight="1">
      <c r="A816" s="2">
        <v>2.0</v>
      </c>
      <c r="B816" s="2" t="s">
        <v>2277</v>
      </c>
      <c r="C816" s="2" t="s">
        <v>2278</v>
      </c>
      <c r="D816" s="2" t="s">
        <v>303</v>
      </c>
      <c r="E816" s="2" t="s">
        <v>14</v>
      </c>
      <c r="F816" s="2" t="s">
        <v>15</v>
      </c>
      <c r="G816" s="2" t="s">
        <v>2279</v>
      </c>
      <c r="H816" s="2" t="s">
        <v>507</v>
      </c>
      <c r="I816" s="2" t="str">
        <f>IFERROR(__xludf.DUMMYFUNCTION("GOOGLETRANSLATE(C816,""fr"",""en"")"),"following a disaster (burned car) impossible to get reimbursed. They are constantly looking for new excuses like missing documents knowing that they already have 2 or even 3 copies
person who hangs up on you and makes you vomit...
I strongly recommend aga"&amp;"inst this insurer ")</f>
        <v>following a disaster (burned car) impossible to get reimbursed. They are constantly looking for new excuses like missing documents knowing that they already have 2 or even 3 copies
person who hangs up on you and makes you vomit...
I strongly recommend against this insurer </v>
      </c>
    </row>
    <row r="817" ht="15.75" customHeight="1">
      <c r="A817" s="2">
        <v>1.0</v>
      </c>
      <c r="B817" s="2" t="s">
        <v>2280</v>
      </c>
      <c r="C817" s="2" t="s">
        <v>2281</v>
      </c>
      <c r="D817" s="2" t="s">
        <v>38</v>
      </c>
      <c r="E817" s="2" t="s">
        <v>39</v>
      </c>
      <c r="F817" s="2" t="s">
        <v>15</v>
      </c>
      <c r="G817" s="2" t="s">
        <v>2282</v>
      </c>
      <c r="H817" s="2" t="s">
        <v>139</v>
      </c>
      <c r="I817" s="2" t="str">
        <f>IFERROR(__xludf.DUMMYFUNCTION("GOOGLETRANSLATE(C817,""fr"",""en"")"),"Stop contacting us with this call: “An anomaly has been detected in your health record” and with a random number. How can we trust you?")</f>
        <v>Stop contacting us with this call: “An anomaly has been detected in your health record” and with a random number. How can we trust you?</v>
      </c>
    </row>
    <row r="818" ht="15.75" customHeight="1">
      <c r="A818" s="2">
        <v>5.0</v>
      </c>
      <c r="B818" s="2" t="s">
        <v>2283</v>
      </c>
      <c r="C818" s="2" t="s">
        <v>2284</v>
      </c>
      <c r="D818" s="2" t="s">
        <v>28</v>
      </c>
      <c r="E818" s="2" t="s">
        <v>14</v>
      </c>
      <c r="F818" s="2" t="s">
        <v>15</v>
      </c>
      <c r="G818" s="2" t="s">
        <v>2285</v>
      </c>
      <c r="H818" s="2" t="s">
        <v>25</v>
      </c>
      <c r="I818" s="2" t="str">
        <f>IFERROR(__xludf.DUMMYFUNCTION("GOOGLETRANSLATE(C818,""fr"",""en"")"),"I am satisfied with the service, the price suits me 
this simple and quick, you are among the insurances of the first category
so I just say well done   ")</f>
        <v>I am satisfied with the service, the price suits me 
this simple and quick, you are among the insurances of the first category
so I just say well done   </v>
      </c>
    </row>
    <row r="819" ht="15.75" customHeight="1">
      <c r="A819" s="2">
        <v>2.0</v>
      </c>
      <c r="B819" s="2" t="s">
        <v>2286</v>
      </c>
      <c r="C819" s="2" t="s">
        <v>2287</v>
      </c>
      <c r="D819" s="2" t="s">
        <v>799</v>
      </c>
      <c r="E819" s="2" t="s">
        <v>129</v>
      </c>
      <c r="F819" s="2" t="s">
        <v>15</v>
      </c>
      <c r="G819" s="2" t="s">
        <v>2288</v>
      </c>
      <c r="H819" s="2" t="s">
        <v>414</v>
      </c>
      <c r="I819" s="2" t="str">
        <f>IFERROR(__xludf.DUMMYFUNCTION("GOOGLETRANSLATE(C819,""fr"",""en"")"),"Insurer to flee! I have a legal assistance file in progress since 2015. Impossible to contact the person responsible for the file. No call back from this person. My account file is empty.
A car accident never resolved!!
")</f>
        <v>Insurer to flee! I have a legal assistance file in progress since 2015. Impossible to contact the person responsible for the file. No call back from this person. My account file is empty.
A car accident never resolved!!
</v>
      </c>
    </row>
    <row r="820" ht="15.75" customHeight="1">
      <c r="A820" s="2">
        <v>5.0</v>
      </c>
      <c r="B820" s="2" t="s">
        <v>2289</v>
      </c>
      <c r="C820" s="2" t="s">
        <v>2290</v>
      </c>
      <c r="D820" s="2" t="s">
        <v>28</v>
      </c>
      <c r="E820" s="2" t="s">
        <v>14</v>
      </c>
      <c r="F820" s="2" t="s">
        <v>15</v>
      </c>
      <c r="G820" s="2" t="s">
        <v>173</v>
      </c>
      <c r="H820" s="2" t="s">
        <v>30</v>
      </c>
      <c r="I820" s="2" t="str">
        <f>IFERROR(__xludf.DUMMYFUNCTION("GOOGLETRANSLATE(C820,""fr"",""en"")"),"Top insurance. This is my first car insurance, and I have received many quotes from other insurance companies and the prices were exorbitant! really satisfied with the price and the services and ""protection"" offered.")</f>
        <v>Top insurance. This is my first car insurance, and I have received many quotes from other insurance companies and the prices were exorbitant! really satisfied with the price and the services and "protection" offered.</v>
      </c>
    </row>
    <row r="821" ht="15.75" customHeight="1">
      <c r="A821" s="2">
        <v>2.0</v>
      </c>
      <c r="B821" s="2" t="s">
        <v>2291</v>
      </c>
      <c r="C821" s="2" t="s">
        <v>2292</v>
      </c>
      <c r="D821" s="2" t="s">
        <v>49</v>
      </c>
      <c r="E821" s="2" t="s">
        <v>50</v>
      </c>
      <c r="F821" s="2" t="s">
        <v>15</v>
      </c>
      <c r="G821" s="2" t="s">
        <v>2293</v>
      </c>
      <c r="H821" s="2" t="s">
        <v>484</v>
      </c>
      <c r="I821" s="2" t="str">
        <f>IFERROR(__xludf.DUMMYFUNCTION("GOOGLETRANSLATE(C821,""fr"",""en"")"),"It all depends on which advisor you come across because sometimes some are contemptuous. A refund was noted within 48 hours but still nothing after two weeks for a bill of 100 euros. Too bad for the start of a commercial relationship it's not the best. ")</f>
        <v>It all depends on which advisor you come across because sometimes some are contemptuous. A refund was noted within 48 hours but still nothing after two weeks for a bill of 100 euros. Too bad for the start of a commercial relationship it's not the best. </v>
      </c>
    </row>
    <row r="822" ht="15.75" customHeight="1">
      <c r="A822" s="2">
        <v>4.0</v>
      </c>
      <c r="B822" s="2" t="s">
        <v>2294</v>
      </c>
      <c r="C822" s="2" t="s">
        <v>2295</v>
      </c>
      <c r="D822" s="2" t="s">
        <v>197</v>
      </c>
      <c r="E822" s="2" t="s">
        <v>81</v>
      </c>
      <c r="F822" s="2" t="s">
        <v>15</v>
      </c>
      <c r="G822" s="2" t="s">
        <v>2020</v>
      </c>
      <c r="H822" s="2" t="s">
        <v>46</v>
      </c>
      <c r="I822" s="2" t="str">
        <f>IFERROR(__xludf.DUMMYFUNCTION("GOOGLETRANSLATE(C822,""fr"",""en"")"),"Interesting insurance for two wheels, on the other hand I cannot comment on the procedures and the responsiveness in the event of a disaster having fortunately not had the need to resort to it. Too bad there is no insurance either. insurance for small rid"&amp;"ers like me (2000 km per year or less since I retired)")</f>
        <v>Interesting insurance for two wheels, on the other hand I cannot comment on the procedures and the responsiveness in the event of a disaster having fortunately not had the need to resort to it. Too bad there is no insurance either. insurance for small riders like me (2000 km per year or less since I retired)</v>
      </c>
    </row>
    <row r="823" ht="15.75" customHeight="1">
      <c r="A823" s="2">
        <v>3.0</v>
      </c>
      <c r="B823" s="2" t="s">
        <v>2296</v>
      </c>
      <c r="C823" s="2" t="s">
        <v>2297</v>
      </c>
      <c r="D823" s="2" t="s">
        <v>28</v>
      </c>
      <c r="E823" s="2" t="s">
        <v>14</v>
      </c>
      <c r="F823" s="2" t="s">
        <v>15</v>
      </c>
      <c r="G823" s="2" t="s">
        <v>2298</v>
      </c>
      <c r="H823" s="2" t="s">
        <v>21</v>
      </c>
      <c r="I823" s="2" t="str">
        <f>IFERROR(__xludf.DUMMYFUNCTION("GOOGLETRANSLATE(C823,""fr"",""en"")"),"I WILL GIVE MY FINAL OPINION LATER BUT NOT AT THE START OF MY CONTRACT. I AM SATISFIED WITH MY FIRST CONTACTS WITH OLIVIER ASSURANCE BUT IT IS WHEN A PROBLEM AROSE THAT WE MEASURE THE DEGREE OF RESPONSIVENESS OF ITS INSURER")</f>
        <v>I WILL GIVE MY FINAL OPINION LATER BUT NOT AT THE START OF MY CONTRACT. I AM SATISFIED WITH MY FIRST CONTACTS WITH OLIVIER ASSURANCE BUT IT IS WHEN A PROBLEM AROSE THAT WE MEASURE THE DEGREE OF RESPONSIVENESS OF ITS INSURER</v>
      </c>
    </row>
    <row r="824" ht="15.75" customHeight="1">
      <c r="A824" s="2">
        <v>2.0</v>
      </c>
      <c r="B824" s="2" t="s">
        <v>2299</v>
      </c>
      <c r="C824" s="2" t="s">
        <v>2300</v>
      </c>
      <c r="D824" s="2" t="s">
        <v>38</v>
      </c>
      <c r="E824" s="2" t="s">
        <v>39</v>
      </c>
      <c r="F824" s="2" t="s">
        <v>15</v>
      </c>
      <c r="G824" s="2" t="s">
        <v>1251</v>
      </c>
      <c r="H824" s="2" t="s">
        <v>83</v>
      </c>
      <c r="I824" s="2" t="str">
        <f>IFERROR(__xludf.DUMMYFUNCTION("GOOGLETRANSLATE(C824,""fr"",""en"")"),"Hello, I had to discuss with Mr GEORGES about the termination of my contract because I already benefit from CMU and I am unemployed at the moment so I did not want to join already.")</f>
        <v>Hello, I had to discuss with Mr GEORGES about the termination of my contract because I already benefit from CMU and I am unemployed at the moment so I did not want to join already.</v>
      </c>
    </row>
    <row r="825" ht="15.75" customHeight="1">
      <c r="A825" s="2">
        <v>4.0</v>
      </c>
      <c r="B825" s="2" t="s">
        <v>2301</v>
      </c>
      <c r="C825" s="2" t="s">
        <v>2302</v>
      </c>
      <c r="D825" s="2" t="s">
        <v>664</v>
      </c>
      <c r="E825" s="2" t="s">
        <v>39</v>
      </c>
      <c r="F825" s="2" t="s">
        <v>15</v>
      </c>
      <c r="G825" s="2" t="s">
        <v>2303</v>
      </c>
      <c r="H825" s="2" t="s">
        <v>181</v>
      </c>
      <c r="I825" s="2" t="str">
        <f>IFERROR(__xludf.DUMMYFUNCTION("GOOGLETRANSLATE(C825,""fr"",""en"")"),"Attentive customer service, thank you CAROLINE for your clear answers! I came away from this call relieved and reassured following an overlap between our two mutual insurance companies. ")</f>
        <v>Attentive customer service, thank you CAROLINE for your clear answers! I came away from this call relieved and reassured following an overlap between our two mutual insurance companies. </v>
      </c>
    </row>
    <row r="826" ht="15.75" customHeight="1">
      <c r="A826" s="2">
        <v>5.0</v>
      </c>
      <c r="B826" s="2" t="s">
        <v>2304</v>
      </c>
      <c r="C826" s="2" t="s">
        <v>2305</v>
      </c>
      <c r="D826" s="2" t="s">
        <v>530</v>
      </c>
      <c r="E826" s="2" t="s">
        <v>39</v>
      </c>
      <c r="F826" s="2" t="s">
        <v>15</v>
      </c>
      <c r="G826" s="2" t="s">
        <v>2306</v>
      </c>
      <c r="H826" s="2" t="s">
        <v>354</v>
      </c>
      <c r="I826" s="2" t="str">
        <f>IFERROR(__xludf.DUMMYFUNCTION("GOOGLETRANSLATE(C826,""fr"",""en"")"),"I am very satisfied with the mgp 
They are always easy to contact and always very friendly.
They answer my questions very competently 
No refund issues ")</f>
        <v>I am very satisfied with the mgp 
They are always easy to contact and always very friendly.
They answer my questions very competently 
No refund issues </v>
      </c>
    </row>
    <row r="827" ht="15.75" customHeight="1">
      <c r="A827" s="2">
        <v>2.0</v>
      </c>
      <c r="B827" s="2" t="s">
        <v>2307</v>
      </c>
      <c r="C827" s="2" t="s">
        <v>2308</v>
      </c>
      <c r="D827" s="2" t="s">
        <v>254</v>
      </c>
      <c r="E827" s="2" t="s">
        <v>129</v>
      </c>
      <c r="F827" s="2" t="s">
        <v>15</v>
      </c>
      <c r="G827" s="2" t="s">
        <v>2309</v>
      </c>
      <c r="H827" s="2" t="s">
        <v>389</v>
      </c>
      <c r="I827" s="2" t="str">
        <f>IFERROR(__xludf.DUMMYFUNCTION("GOOGLETRANSLATE(C827,""fr"",""en"")"),"Good morning,
I strongly advise against MAIF. Member for 25 years, no claims, I have been fighting with them for 3 years following a faulty workmanship made during an expansion.
Since 2018, MAIF has informed me that there was no recourse against the compa"&amp;"ny which carried out the work given that it had been removed from the register of businesses and companies.
This statement was completely false, the company, although in financial difficulty, still exists in October 2020. Just go and consult the internet."&amp;".
So, despite this enormous error, MAIF does not recognize its error and, even worse, refuses a re-examination of my situation.
I therefore strongly advise against this insurance.")</f>
        <v>Good morning,
I strongly advise against MAIF. Member for 25 years, no claims, I have been fighting with them for 3 years following a faulty workmanship made during an expansion.
Since 2018, MAIF has informed me that there was no recourse against the company which carried out the work given that it had been removed from the register of businesses and companies.
This statement was completely false, the company, although in financial difficulty, still exists in October 2020. Just go and consult the internet..
So, despite this enormous error, MAIF does not recognize its error and, even worse, refuses a re-examination of my situation.
I therefore strongly advise against this insurance.</v>
      </c>
    </row>
    <row r="828" ht="15.75" customHeight="1">
      <c r="A828" s="2">
        <v>1.0</v>
      </c>
      <c r="B828" s="2" t="s">
        <v>2310</v>
      </c>
      <c r="C828" s="2" t="s">
        <v>2311</v>
      </c>
      <c r="D828" s="2" t="s">
        <v>13</v>
      </c>
      <c r="E828" s="2" t="s">
        <v>14</v>
      </c>
      <c r="F828" s="2" t="s">
        <v>15</v>
      </c>
      <c r="G828" s="2" t="s">
        <v>2312</v>
      </c>
      <c r="H828" s="2" t="s">
        <v>41</v>
      </c>
      <c r="I828" s="2" t="str">
        <f>IFERROR(__xludf.DUMMYFUNCTION("GOOGLETRANSLATE(C828,""fr"",""en"")"),"For the record, 7 years insured with them for the initial price, but each year you have to beg to save a few euros, because as if by magic when your bonus increases the cost of your contribution too (I never understood the concept of “be a good driver and"&amp;" you will pay more).
This year I have the right to the biggest joke, I make a quote as a new customer and I see that the annual contribution is 348 € knowing that mine is 436, I tell myself that there is a problem I contact the advisor via chat, she tells"&amp;" me to save the quote and strangely I can't, the session has expired (after only 4 minutes??!!).
No problem, I start again, I enter the same information and BOOOM €606!!!!! But WTF!!!!! So I open a page with a private connection and there, entering the sa"&amp;"me information, the price 360 ​​€ (note that we will never find the 348 € where this quote disappeared, but it must have gone farnnnnn). 
I call an advisor and there I am treated to a bunch of nonsense saying that my information is not the same and that i"&amp;"s why the prices are changing, I ask him to check, he tells me that he can't even though all the others in previous years could. I check for my part that they are correct. There he has to find something else, so he tells me that insurance prices change fr"&amp;"om day to day, ok but from there to changing from minute to minute, with gigantic price differences, for the same contract all the same. there is a margin.
But the biggest joke from the advisors was to say to me “but why are you complaining, you look at t"&amp;"he price of €348 and tell you it’s too expensive but if you look at the price of 606 it’s cheaper, right? ? » FATALITY!!!
There I could take it, I knew what type of living being I was dealing with, not wanting to be contaminated by his imbecility, I hung "&amp;"up.
It's the best phase I've had at the start of the year, apparently this guy when he sees a car for 20,000 euros and he knows he can have it for 10,000 euros, he pays for it when even 20,000 euros because he saw another 25,000 euros. Where is this world"&amp;" going with this kind of person???
")</f>
        <v>For the record, 7 years insured with them for the initial price, but each year you have to beg to save a few euros, because as if by magic when your bonus increases the cost of your contribution too (I never understood the concept of “be a good driver and you will pay more).
This year I have the right to the biggest joke, I make a quote as a new customer and I see that the annual contribution is 348 € knowing that mine is 436, I tell myself that there is a problem I contact the advisor via chat, she tells me to save the quote and strangely I can't, the session has expired (after only 4 minutes??!!).
No problem, I start again, I enter the same information and BOOOM €606!!!!! But WTF!!!!! So I open a page with a private connection and there, entering the same information, the price 360 ​​€ (note that we will never find the 348 € where this quote disappeared, but it must have gone farnnnnn). 
I call an advisor and there I am treated to a bunch of nonsense saying that my information is not the same and that is why the prices are changing, I ask him to check, he tells me that he can't even though all the others in previous years could. I check for my part that they are correct. There he has to find something else, so he tells me that insurance prices change from day to day, ok but from there to changing from minute to minute, with gigantic price differences, for the same contract all the same. there is a margin.
But the biggest joke from the advisors was to say to me “but why are you complaining, you look at the price of €348 and tell you it’s too expensive but if you look at the price of 606 it’s cheaper, right? ? » FATALITY!!!
There I could take it, I knew what type of living being I was dealing with, not wanting to be contaminated by his imbecility, I hung up.
It's the best phase I've had at the start of the year, apparently this guy when he sees a car for 20,000 euros and he knows he can have it for 10,000 euros, he pays for it when even 20,000 euros because he saw another 25,000 euros. Where is this world going with this kind of person???
</v>
      </c>
    </row>
    <row r="829" ht="15.75" customHeight="1">
      <c r="A829" s="2">
        <v>1.0</v>
      </c>
      <c r="B829" s="2" t="s">
        <v>2313</v>
      </c>
      <c r="C829" s="2" t="s">
        <v>2314</v>
      </c>
      <c r="D829" s="2" t="s">
        <v>303</v>
      </c>
      <c r="E829" s="2" t="s">
        <v>129</v>
      </c>
      <c r="F829" s="2" t="s">
        <v>15</v>
      </c>
      <c r="G829" s="2" t="s">
        <v>2315</v>
      </c>
      <c r="H829" s="2" t="s">
        <v>236</v>
      </c>
      <c r="I829" s="2" t="str">
        <f>IFERROR(__xludf.DUMMYFUNCTION("GOOGLETRANSLATE(C829,""fr"",""en"")"),"It doesn't matter what her insurance is.
Worse and worse, more and more lamentable, platform/employees who don't know your file (that's at the limit I understand) but not trying to help you, don't care about your concerns, don't accept our state of affair"&amp;"s. 'annoyance when it's 4 times during the day that you call because they refuse to tell you who is responsible for your claim. In short, at Macif you are good to pay the insurance premiums but BE CAREFUL!! if you have a disaster you are not helped. Worse"&amp;" and an Internet user wrote it, I have just realized it, you have a profile at Macif Let me explain..The advisor has on his screen the profile of the insured c That is to say, you call often, you are annoying, you always complain, etc. And yes, sometimes "&amp;"some people think they are reading out loud, in reality they do not notice that you are on the other end of the line... AND you hear... 
ANOTHER POINT. I stopped 4 insurance policies at the beginning of the year, insurance canceled by my news, MACIF refus"&amp;"ed to cancel my home, reason: ""it's your new insurance which must cancel!!!"" what has been done, but for 2 months Macif has still been charging me this home insurance, which still costs 395 euros per year, even though what is necessary has been done. As"&amp;" for the other ""LOSS"" problems in 18 years of MACIF, 4 or 5 I think so not too much, read my adventures.
I strongly advise against this insurance. OK they are a little cheaper but believe me, so many worries, so many calls, so much stress and no help ev"&amp;"en for an accident which forced me to do more than a year of rehabilitation. No understanding , and if you want to win your case because I was not at fault, then do it yourself.")</f>
        <v>It doesn't matter what her insurance is.
Worse and worse, more and more lamentable, platform/employees who don't know your file (that's at the limit I understand) but not trying to help you, don't care about your concerns, don't accept our state of affairs. 'annoyance when it's 4 times during the day that you call because they refuse to tell you who is responsible for your claim. In short, at Macif you are good to pay the insurance premiums but BE CAREFUL!! if you have a disaster you are not helped. Worse and an Internet user wrote it, I have just realized it, you have a profile at Macif Let me explain..The advisor has on his screen the profile of the insured c That is to say, you call often, you are annoying, you always complain, etc. And yes, sometimes some people think they are reading out loud, in reality they do not notice that you are on the other end of the line... AND you hear... 
ANOTHER POINT. I stopped 4 insurance policies at the beginning of the year, insurance canceled by my news, MACIF refused to cancel my home, reason: "it's your new insurance which must cancel!!!" what has been done, but for 2 months Macif has still been charging me this home insurance, which still costs 395 euros per year, even though what is necessary has been done. As for the other "LOSS" problems in 18 years of MACIF, 4 or 5 I think so not too much, read my adventures.
I strongly advise against this insurance. OK they are a little cheaper but believe me, so many worries, so many calls, so much stress and no help even for an accident which forced me to do more than a year of rehabilitation. No understanding , and if you want to win your case because I was not at fault, then do it yourself.</v>
      </c>
    </row>
    <row r="830" ht="15.75" customHeight="1">
      <c r="A830" s="2">
        <v>4.0</v>
      </c>
      <c r="B830" s="2" t="s">
        <v>2316</v>
      </c>
      <c r="C830" s="2" t="s">
        <v>2317</v>
      </c>
      <c r="D830" s="2" t="s">
        <v>13</v>
      </c>
      <c r="E830" s="2" t="s">
        <v>14</v>
      </c>
      <c r="F830" s="2" t="s">
        <v>15</v>
      </c>
      <c r="G830" s="2" t="s">
        <v>456</v>
      </c>
      <c r="H830" s="2" t="s">
        <v>111</v>
      </c>
      <c r="I830" s="2" t="str">
        <f>IFERROR(__xludf.DUMMYFUNCTION("GOOGLETRANSLATE(C830,""fr"",""en"")"),"I am pleasantly surprised by your performance in setting up this contract. We will see with use and in particular in the event of a 'problem'.....!
I have already advertised for you in my circle of family and friends.....")</f>
        <v>I am pleasantly surprised by your performance in setting up this contract. We will see with use and in particular in the event of a 'problem'.....!
I have already advertised for you in my circle of family and friends.....</v>
      </c>
    </row>
    <row r="831" ht="15.75" customHeight="1">
      <c r="A831" s="2">
        <v>5.0</v>
      </c>
      <c r="B831" s="2" t="s">
        <v>2318</v>
      </c>
      <c r="C831" s="2" t="s">
        <v>2319</v>
      </c>
      <c r="D831" s="2" t="s">
        <v>197</v>
      </c>
      <c r="E831" s="2" t="s">
        <v>81</v>
      </c>
      <c r="F831" s="2" t="s">
        <v>15</v>
      </c>
      <c r="G831" s="2" t="s">
        <v>2320</v>
      </c>
      <c r="H831" s="2" t="s">
        <v>17</v>
      </c>
      <c r="I831" s="2" t="str">
        <f>IFERROR(__xludf.DUMMYFUNCTION("GOOGLETRANSLATE(C831,""fr"",""en"")"),"great price, lowest 
quick route with all the documents
very easy to do the process
I am very happy for the speed and presentation ")</f>
        <v>great price, lowest 
quick route with all the documents
very easy to do the process
I am very happy for the speed and presentation </v>
      </c>
    </row>
    <row r="832" ht="15.75" customHeight="1">
      <c r="A832" s="2">
        <v>2.0</v>
      </c>
      <c r="B832" s="2" t="s">
        <v>2321</v>
      </c>
      <c r="C832" s="2" t="s">
        <v>2322</v>
      </c>
      <c r="D832" s="2" t="s">
        <v>310</v>
      </c>
      <c r="E832" s="2" t="s">
        <v>14</v>
      </c>
      <c r="F832" s="2" t="s">
        <v>15</v>
      </c>
      <c r="G832" s="2" t="s">
        <v>490</v>
      </c>
      <c r="H832" s="2" t="s">
        <v>224</v>
      </c>
      <c r="I832" s="2" t="str">
        <f>IFERROR(__xludf.DUMMYFUNCTION("GOOGLETRANSLATE(C832,""fr"",""en"")"),"Insurance to absolutely avoid!!!! I wanted to benefit from my mechanical assistance pack which I pay for every month. I call customer service to find out how to proceed, they explain to me that I have to drop off the car in a garage with a trailer so I ex"&amp;"plain that my car is still running and if I have to still call a trailer they tells me not to drop off the car and you just have to send your information to the garage so that they can contact them to set up the guarantee. And to my great surprise Eurofil"&amp;" refuses support because it is not a trailer that dropped off my
Car. Despite my call to tell them that they were the ones who gave me false information, they didn't want to know anything!!! In short, run away!!!!!")</f>
        <v>Insurance to absolutely avoid!!!! I wanted to benefit from my mechanical assistance pack which I pay for every month. I call customer service to find out how to proceed, they explain to me that I have to drop off the car in a garage with a trailer so I explain that my car is still running and if I have to still call a trailer they tells me not to drop off the car and you just have to send your information to the garage so that they can contact them to set up the guarantee. And to my great surprise Eurofil refuses support because it is not a trailer that dropped off my
Car. Despite my call to tell them that they were the ones who gave me false information, they didn't want to know anything!!! In short, run away!!!!!</v>
      </c>
    </row>
    <row r="833" ht="15.75" customHeight="1">
      <c r="A833" s="2">
        <v>1.0</v>
      </c>
      <c r="B833" s="2" t="s">
        <v>2323</v>
      </c>
      <c r="C833" s="2" t="s">
        <v>2324</v>
      </c>
      <c r="D833" s="2" t="s">
        <v>38</v>
      </c>
      <c r="E833" s="2" t="s">
        <v>39</v>
      </c>
      <c r="F833" s="2" t="s">
        <v>15</v>
      </c>
      <c r="G833" s="2" t="s">
        <v>1193</v>
      </c>
      <c r="H833" s="2" t="s">
        <v>634</v>
      </c>
      <c r="I833" s="2" t="str">
        <f>IFERROR(__xludf.DUMMYFUNCTION("GOOGLETRANSLATE(C833,""fr"",""en"")"),"Like others before me, I was approached on the phone by advisors and abused. These people (to be polite) operate under the name MMI brokerage and are mandated by NEOLIANE SANTE. By scandalous and unworthy methods which I will not elaborate on on this foru"&amp;"m, they manage to extract your IBAN number and produce an electronic signature in the name of NEOLIANE to take sums of money from you without your knowledge. Before I even hung up, I realized the deception. The indelicate person I had online eventually ma"&amp;"de me understand that he had just filled out an online membership form in my name. He told me that I would receive a membership contract and that I could easily withdraw within 14 days. I waited more than a week before receiving a letter from NEOLIANE.
Of"&amp;" course upon receipt, I immediately asserted my right of withdrawal by registered mail to NEOLIANE and MMI brokerage. I have also copied my letters by e-mail to the address indicated on the offer received by mail: neolianne@owliance.com.
Two days later, m"&amp;"y postman came to me with the mail sent to MMI brokerage, telling me that the recipient was unknown at the address mentioned. However, this address was the one given on NEOLIANE's membership form. I then checked NEOLIANE's address on the internet and agai"&amp;"n I was shocked. The internet address did not match the one indicated on the membership form. The site résilier.fr indicates an address in Nice while the membership form mentions an address in the form of a post office box (without other information) in M"&amp;"uret.
On several occasions, I tried to contact NEOLIANE by telephone at the number indicated on the membership form: no response. On the other hand, I am harassed (the word is not too strong) on ​​my cell phone by a Nice number which corresponds to one of"&amp;" the numbers used by NEOLIANE. When I pick up, no answer! Eventually I stopped answering them. Calls just to prove my bad faith? Maybe. So I took up my pen again and sent my termination letter by registered mail to the Nice address. A copy was sent to the"&amp;" email address reclamation@neoliane.fr. All this was done in less than 14 days.
 I have not yet received any response and I did not expect one given the obvious efforts undertaken by NEOLIANE and her broker to cover their tracks. I spend money on register"&amp;"ed mail and spend a lot of time looking for valid contact details to exercise my right of withdrawal. In my opinion, all means are deliberately implemented so that the termination procedures do not arrive within the allotted time frame. 
I therefore ask N"&amp;"EOLIANE to send me a letter in which the company takes note of my withdrawal. On the advice of my lawyer and exasperated by this deliberately distorted communication, I will file a complaint if NEOLIANE does not respond to me before the 14-day deadline.
"&amp;"
")</f>
        <v>Like others before me, I was approached on the phone by advisors and abused. These people (to be polite) operate under the name MMI brokerage and are mandated by NEOLIANE SANTE. By scandalous and unworthy methods which I will not elaborate on on this forum, they manage to extract your IBAN number and produce an electronic signature in the name of NEOLIANE to take sums of money from you without your knowledge. Before I even hung up, I realized the deception. The indelicate person I had online eventually made me understand that he had just filled out an online membership form in my name. He told me that I would receive a membership contract and that I could easily withdraw within 14 days. I waited more than a week before receiving a letter from NEOLIANE.
Of course upon receipt, I immediately asserted my right of withdrawal by registered mail to NEOLIANE and MMI brokerage. I have also copied my letters by e-mail to the address indicated on the offer received by mail: neolianne@owliance.com.
Two days later, my postman came to me with the mail sent to MMI brokerage, telling me that the recipient was unknown at the address mentioned. However, this address was the one given on NEOLIANE's membership form. I then checked NEOLIANE's address on the internet and again I was shocked. The internet address did not match the one indicated on the membership form. The site résilier.fr indicates an address in Nice while the membership form mentions an address in the form of a post office box (without other information) in Muret.
On several occasions, I tried to contact NEOLIANE by telephone at the number indicated on the membership form: no response. On the other hand, I am harassed (the word is not too strong) on ​​my cell phone by a Nice number which corresponds to one of the numbers used by NEOLIANE. When I pick up, no answer! Eventually I stopped answering them. Calls just to prove my bad faith? Maybe. So I took up my pen again and sent my termination letter by registered mail to the Nice address. A copy was sent to the email address reclamation@neoliane.fr. All this was done in less than 14 days.
 I have not yet received any response and I did not expect one given the obvious efforts undertaken by NEOLIANE and her broker to cover their tracks. I spend money on registered mail and spend a lot of time looking for valid contact details to exercise my right of withdrawal. In my opinion, all means are deliberately implemented so that the termination procedures do not arrive within the allotted time frame. 
I therefore ask NEOLIANE to send me a letter in which the company takes note of my withdrawal. On the advice of my lawyer and exasperated by this deliberately distorted communication, I will file a complaint if NEOLIANE does not respond to me before the 14-day deadline.
</v>
      </c>
    </row>
    <row r="834" ht="15.75" customHeight="1">
      <c r="A834" s="2">
        <v>5.0</v>
      </c>
      <c r="B834" s="2" t="s">
        <v>2325</v>
      </c>
      <c r="C834" s="2" t="s">
        <v>2326</v>
      </c>
      <c r="D834" s="2" t="s">
        <v>13</v>
      </c>
      <c r="E834" s="2" t="s">
        <v>14</v>
      </c>
      <c r="F834" s="2" t="s">
        <v>15</v>
      </c>
      <c r="G834" s="2" t="s">
        <v>790</v>
      </c>
      <c r="H834" s="2" t="s">
        <v>71</v>
      </c>
      <c r="I834" s="2" t="str">
        <f>IFERROR(__xludf.DUMMYFUNCTION("GOOGLETRANSLATE(C834,""fr"",""en"")"),"I am satisfied with the service, the insurance was quickly set up and the prices are quite reasonable. I would still have preferred to send the documents before payment...")</f>
        <v>I am satisfied with the service, the insurance was quickly set up and the prices are quite reasonable. I would still have preferred to send the documents before payment...</v>
      </c>
    </row>
    <row r="835" ht="15.75" customHeight="1">
      <c r="A835" s="2">
        <v>4.0</v>
      </c>
      <c r="B835" s="2" t="s">
        <v>2327</v>
      </c>
      <c r="C835" s="2" t="s">
        <v>2328</v>
      </c>
      <c r="D835" s="2" t="s">
        <v>13</v>
      </c>
      <c r="E835" s="2" t="s">
        <v>14</v>
      </c>
      <c r="F835" s="2" t="s">
        <v>15</v>
      </c>
      <c r="G835" s="2" t="s">
        <v>271</v>
      </c>
      <c r="H835" s="2" t="s">
        <v>83</v>
      </c>
      <c r="I835" s="2" t="str">
        <f>IFERROR(__xludf.DUMMYFUNCTION("GOOGLETRANSLATE(C835,""fr"",""en"")"),"Fair price with good guarantees. Haven't needed insurance services yet since I subscribed, everything is fine. Updating the contract online does not work.")</f>
        <v>Fair price with good guarantees. Haven't needed insurance services yet since I subscribed, everything is fine. Updating the contract online does not work.</v>
      </c>
    </row>
    <row r="836" ht="15.75" customHeight="1">
      <c r="A836" s="2">
        <v>1.0</v>
      </c>
      <c r="B836" s="2" t="s">
        <v>2329</v>
      </c>
      <c r="C836" s="2" t="s">
        <v>2330</v>
      </c>
      <c r="D836" s="2" t="s">
        <v>13</v>
      </c>
      <c r="E836" s="2" t="s">
        <v>14</v>
      </c>
      <c r="F836" s="2" t="s">
        <v>15</v>
      </c>
      <c r="G836" s="2" t="s">
        <v>2192</v>
      </c>
      <c r="H836" s="2" t="s">
        <v>71</v>
      </c>
      <c r="I836" s="2" t="str">
        <f>IFERROR(__xludf.DUMMYFUNCTION("GOOGLETRANSLATE(C836,""fr"",""en"")"),"the service is good and meets our expectations, particularly during a telephone discussion.
the price of my vehicle insurance being only a third, is far too high")</f>
        <v>the service is good and meets our expectations, particularly during a telephone discussion.
the price of my vehicle insurance being only a third, is far too high</v>
      </c>
    </row>
    <row r="837" ht="15.75" customHeight="1">
      <c r="A837" s="2">
        <v>1.0</v>
      </c>
      <c r="B837" s="2" t="s">
        <v>2331</v>
      </c>
      <c r="C837" s="2" t="s">
        <v>2332</v>
      </c>
      <c r="D837" s="2" t="s">
        <v>1242</v>
      </c>
      <c r="E837" s="2" t="s">
        <v>129</v>
      </c>
      <c r="F837" s="2" t="s">
        <v>15</v>
      </c>
      <c r="G837" s="2" t="s">
        <v>2333</v>
      </c>
      <c r="H837" s="2" t="s">
        <v>256</v>
      </c>
      <c r="I837" s="2" t="str">
        <f>IFERROR(__xludf.DUMMYFUNCTION("GOOGLETRANSLATE(C837,""fr"",""en"")"),"water damage disaster dating from May 2019, impossible to re-rent my apartment for 5 months, monthly installments of the loan made to the CMUT of 900 euros were not postponed despite my request, loss of rent not taken into account, quotes non-existent, po"&amp;"or expertise made etc. overdraft more and more important each month because my insurer does not assume its responsibilities")</f>
        <v>water damage disaster dating from May 2019, impossible to re-rent my apartment for 5 months, monthly installments of the loan made to the CMUT of 900 euros were not postponed despite my request, loss of rent not taken into account, quotes non-existent, poor expertise made etc. overdraft more and more important each month because my insurer does not assume its responsibilities</v>
      </c>
    </row>
    <row r="838" ht="15.75" customHeight="1">
      <c r="A838" s="2">
        <v>5.0</v>
      </c>
      <c r="B838" s="2" t="s">
        <v>2334</v>
      </c>
      <c r="C838" s="2" t="s">
        <v>2335</v>
      </c>
      <c r="D838" s="2" t="s">
        <v>28</v>
      </c>
      <c r="E838" s="2" t="s">
        <v>14</v>
      </c>
      <c r="F838" s="2" t="s">
        <v>15</v>
      </c>
      <c r="G838" s="2" t="s">
        <v>2336</v>
      </c>
      <c r="H838" s="2" t="s">
        <v>286</v>
      </c>
      <c r="I838" s="2" t="str">
        <f>IFERROR(__xludf.DUMMYFUNCTION("GOOGLETRANSLATE(C838,""fr"",""en"")"),"Competent, attentive customer service with very attractive prices. My previous insurer made me pay an exorbitant price for a 15-year-old car. I managed with them to reduce my contribution for my new vehicle (which is also new) and which is worth ten times"&amp;" the price of my old vehicle.")</f>
        <v>Competent, attentive customer service with very attractive prices. My previous insurer made me pay an exorbitant price for a 15-year-old car. I managed with them to reduce my contribution for my new vehicle (which is also new) and which is worth ten times the price of my old vehicle.</v>
      </c>
    </row>
    <row r="839" ht="15.75" customHeight="1">
      <c r="A839" s="2">
        <v>1.0</v>
      </c>
      <c r="B839" s="2" t="s">
        <v>2337</v>
      </c>
      <c r="C839" s="2" t="s">
        <v>2338</v>
      </c>
      <c r="D839" s="2" t="s">
        <v>695</v>
      </c>
      <c r="E839" s="2" t="s">
        <v>50</v>
      </c>
      <c r="F839" s="2" t="s">
        <v>15</v>
      </c>
      <c r="G839" s="2" t="s">
        <v>93</v>
      </c>
      <c r="H839" s="2" t="s">
        <v>94</v>
      </c>
      <c r="I839" s="2" t="str">
        <f>IFERROR(__xludf.DUMMYFUNCTION("GOOGLETRANSLATE(C839,""fr"",""en"")"),"I received a call like this today, a completely stressed and eager advisor who tells me that my bank has not validated my insurance and he asks me to confirm my RIB and asks me for the activation code 
In a hurry, being in the street, I take him back beca"&amp;"use I find him very directive and authoritarian, hence the doubt.
It tells me that a colleague will call me to confirm the validation 
So I quickly called my bank advisor to tell him about the doubts about the approach and he told me that there were no ac"&amp;"counts described.  
Be wary of their telephone approach 
he I don't give us time to react caught in the fact and continues with their reading of forcing sales confirms you don't have time to understand  
You sign and you find yourself with contracts signe"&amp;"d when you already have them elsewhere.
They say that your contracts are not validated or activated, big lie 
The so-called advisor who contacted me afterwards confirmed the cancellation of the contracts to follow ")</f>
        <v>I received a call like this today, a completely stressed and eager advisor who tells me that my bank has not validated my insurance and he asks me to confirm my RIB and asks me for the activation code 
In a hurry, being in the street, I take him back because I find him very directive and authoritarian, hence the doubt.
It tells me that a colleague will call me to confirm the validation 
So I quickly called my bank advisor to tell him about the doubts about the approach and he told me that there were no accounts described.  
Be wary of their telephone approach 
he I don't give us time to react caught in the fact and continues with their reading of forcing sales confirms you don't have time to understand  
You sign and you find yourself with contracts signed when you already have them elsewhere.
They say that your contracts are not validated or activated, big lie 
The so-called advisor who contacted me afterwards confirmed the cancellation of the contracts to follow </v>
      </c>
    </row>
    <row r="840" ht="15.75" customHeight="1">
      <c r="A840" s="2">
        <v>4.0</v>
      </c>
      <c r="B840" s="2" t="s">
        <v>2339</v>
      </c>
      <c r="C840" s="2" t="s">
        <v>2340</v>
      </c>
      <c r="D840" s="2" t="s">
        <v>28</v>
      </c>
      <c r="E840" s="2" t="s">
        <v>14</v>
      </c>
      <c r="F840" s="2" t="s">
        <v>15</v>
      </c>
      <c r="G840" s="2" t="s">
        <v>307</v>
      </c>
      <c r="H840" s="2" t="s">
        <v>71</v>
      </c>
      <c r="I840" s="2" t="str">
        <f>IFERROR(__xludf.DUMMYFUNCTION("GOOGLETRANSLATE(C840,""fr"",""en"")"),"I am very satisfied with the service and the price, hoping to get a better price next year. Thank you for your very good telephone reception!")</f>
        <v>I am very satisfied with the service and the price, hoping to get a better price next year. Thank you for your very good telephone reception!</v>
      </c>
    </row>
    <row r="841" ht="15.75" customHeight="1">
      <c r="A841" s="2">
        <v>1.0</v>
      </c>
      <c r="B841" s="2" t="s">
        <v>2341</v>
      </c>
      <c r="C841" s="2" t="s">
        <v>2342</v>
      </c>
      <c r="D841" s="2" t="s">
        <v>65</v>
      </c>
      <c r="E841" s="2" t="s">
        <v>14</v>
      </c>
      <c r="F841" s="2" t="s">
        <v>15</v>
      </c>
      <c r="G841" s="2" t="s">
        <v>409</v>
      </c>
      <c r="H841" s="2" t="s">
        <v>25</v>
      </c>
      <c r="I841" s="2" t="str">
        <f>IFERROR(__xludf.DUMMYFUNCTION("GOOGLETRANSLATE(C841,""fr"",""en"")"),"I am more than disappointed with ALLIANZ's service!!! 
I signed up for insurance in January and provided all the documents, twice.
They terminated my contract on February 22 for lack of proof, and I only found out about it yesterday, it’s scandalous!!! 
n"&amp;"o one can give me an answer when I call. I was told “this could happen because we have a lot of customers” YOU NEED TO KNOW HOW TO TAKE ASSUMPTION TO YOUR CUSTOMERS
What if I had had an accident? ")</f>
        <v>I am more than disappointed with ALLIANZ's service!!! 
I signed up for insurance in January and provided all the documents, twice.
They terminated my contract on February 22 for lack of proof, and I only found out about it yesterday, it’s scandalous!!! 
no one can give me an answer when I call. I was told “this could happen because we have a lot of customers” YOU NEED TO KNOW HOW TO TAKE ASSUMPTION TO YOUR CUSTOMERS
What if I had had an accident? </v>
      </c>
    </row>
    <row r="842" ht="15.75" customHeight="1">
      <c r="A842" s="2">
        <v>1.0</v>
      </c>
      <c r="B842" s="2" t="s">
        <v>2343</v>
      </c>
      <c r="C842" s="2" t="s">
        <v>2344</v>
      </c>
      <c r="D842" s="2" t="s">
        <v>80</v>
      </c>
      <c r="E842" s="2" t="s">
        <v>81</v>
      </c>
      <c r="F842" s="2" t="s">
        <v>15</v>
      </c>
      <c r="G842" s="2" t="s">
        <v>807</v>
      </c>
      <c r="H842" s="2" t="s">
        <v>111</v>
      </c>
      <c r="I842" s="2" t="str">
        <f>IFERROR(__xludf.DUMMYFUNCTION("GOOGLETRANSLATE(C842,""fr"",""en"")"),"I strongly advise against this insurance company for several reasons:
- on the information statement only the motorcycle bonus is retained unlike the competition which is based on the car bonus if it is better
- increase in the contribution by 3 following"&amp;" a change of motorcycle of the same brand but more recent model, i.e. 200 euros more expensive than the competition
-a termination of contract that I did not request (certainly a computer error...)")</f>
        <v>I strongly advise against this insurance company for several reasons:
- on the information statement only the motorcycle bonus is retained unlike the competition which is based on the car bonus if it is better
- increase in the contribution by 3 following a change of motorcycle of the same brand but more recent model, i.e. 200 euros more expensive than the competition
-a termination of contract that I did not request (certainly a computer error...)</v>
      </c>
    </row>
    <row r="843" ht="15.75" customHeight="1">
      <c r="A843" s="2">
        <v>1.0</v>
      </c>
      <c r="B843" s="2" t="s">
        <v>2345</v>
      </c>
      <c r="C843" s="2" t="s">
        <v>2346</v>
      </c>
      <c r="D843" s="2" t="s">
        <v>281</v>
      </c>
      <c r="E843" s="2" t="s">
        <v>39</v>
      </c>
      <c r="F843" s="2" t="s">
        <v>15</v>
      </c>
      <c r="G843" s="2" t="s">
        <v>203</v>
      </c>
      <c r="H843" s="2" t="s">
        <v>25</v>
      </c>
      <c r="I843" s="2" t="str">
        <f>IFERROR(__xludf.DUMMYFUNCTION("GOOGLETRANSLATE(C843,""fr"",""en"")"),"Very dissatisfied with mutual harmony, reimbursements are difficult to arrive and again, it is always necessary to provide supporting documents to which she has access but makes no effort. Always requests paid invoices and itemized invoices. Basically I h"&amp;"ave to pay their due dates and at the same time pay the healthcare bills. Looking forward to seeing elsewhere. ")</f>
        <v>Very dissatisfied with mutual harmony, reimbursements are difficult to arrive and again, it is always necessary to provide supporting documents to which she has access but makes no effort. Always requests paid invoices and itemized invoices. Basically I have to pay their due dates and at the same time pay the healthcare bills. Looking forward to seeing elsewhere. </v>
      </c>
    </row>
    <row r="844" ht="15.75" customHeight="1">
      <c r="A844" s="2">
        <v>4.0</v>
      </c>
      <c r="B844" s="2" t="s">
        <v>2347</v>
      </c>
      <c r="C844" s="2" t="s">
        <v>2348</v>
      </c>
      <c r="D844" s="2" t="s">
        <v>28</v>
      </c>
      <c r="E844" s="2" t="s">
        <v>14</v>
      </c>
      <c r="F844" s="2" t="s">
        <v>15</v>
      </c>
      <c r="G844" s="2" t="s">
        <v>1635</v>
      </c>
      <c r="H844" s="2" t="s">
        <v>30</v>
      </c>
      <c r="I844" s="2" t="str">
        <f>IFERROR(__xludf.DUMMYFUNCTION("GOOGLETRANSLATE(C844,""fr"",""en"")"),"Very friendly advice, on the other hand, with each call there is a customer satisfaction request which in the long run can be annoying. Otherwise overall satisfied for the moment.
THANKS                              ")</f>
        <v>Very friendly advice, on the other hand, with each call there is a customer satisfaction request which in the long run can be annoying. Otherwise overall satisfied for the moment.
THANKS                              </v>
      </c>
    </row>
    <row r="845" ht="15.75" customHeight="1">
      <c r="A845" s="2">
        <v>3.0</v>
      </c>
      <c r="B845" s="2" t="s">
        <v>2349</v>
      </c>
      <c r="C845" s="2" t="s">
        <v>2350</v>
      </c>
      <c r="D845" s="2" t="s">
        <v>13</v>
      </c>
      <c r="E845" s="2" t="s">
        <v>14</v>
      </c>
      <c r="F845" s="2" t="s">
        <v>15</v>
      </c>
      <c r="G845" s="2" t="s">
        <v>630</v>
      </c>
      <c r="H845" s="2" t="s">
        <v>286</v>
      </c>
      <c r="I845" s="2" t="str">
        <f>IFERROR(__xludf.DUMMYFUNCTION("GOOGLETRANSLATE(C845,""fr"",""en"")"),"I am satisfied with the service, I am not entirely satisfied with the price
I would like to see about insuring the 4 vehicles with you, my partner being insured with you and very satisfied ")</f>
        <v>I am satisfied with the service, I am not entirely satisfied with the price
I would like to see about insuring the 4 vehicles with you, my partner being insured with you and very satisfied </v>
      </c>
    </row>
    <row r="846" ht="15.75" customHeight="1">
      <c r="A846" s="2">
        <v>4.0</v>
      </c>
      <c r="B846" s="2" t="s">
        <v>2351</v>
      </c>
      <c r="C846" s="2" t="s">
        <v>2352</v>
      </c>
      <c r="D846" s="2" t="s">
        <v>28</v>
      </c>
      <c r="E846" s="2" t="s">
        <v>14</v>
      </c>
      <c r="F846" s="2" t="s">
        <v>15</v>
      </c>
      <c r="G846" s="2" t="s">
        <v>377</v>
      </c>
      <c r="H846" s="2" t="s">
        <v>17</v>
      </c>
      <c r="I846" s="2" t="str">
        <f>IFERROR(__xludf.DUMMYFUNCTION("GOOGLETRANSLATE(C846,""fr"",""en"")"),"simple and practical, I am satisfied with the speed of reaction of those advised. 
the prices are attractive as are the services offered by Olivier Assurance.  ")</f>
        <v>simple and practical, I am satisfied with the speed of reaction of those advised. 
the prices are attractive as are the services offered by Olivier Assurance.  </v>
      </c>
    </row>
    <row r="847" ht="15.75" customHeight="1">
      <c r="A847" s="2">
        <v>5.0</v>
      </c>
      <c r="B847" s="2" t="s">
        <v>2353</v>
      </c>
      <c r="C847" s="2" t="s">
        <v>2354</v>
      </c>
      <c r="D847" s="2" t="s">
        <v>38</v>
      </c>
      <c r="E847" s="2" t="s">
        <v>39</v>
      </c>
      <c r="F847" s="2" t="s">
        <v>15</v>
      </c>
      <c r="G847" s="2" t="s">
        <v>155</v>
      </c>
      <c r="H847" s="2" t="s">
        <v>71</v>
      </c>
      <c r="I847" s="2" t="str">
        <f>IFERROR(__xludf.DUMMYFUNCTION("GOOGLETRANSLATE(C847,""fr"",""en"")"),"A big thank you to Pape who responded efficiently to my request.
Very courteous on the phone, friendly, he was able to manage my file quickly. Good day.")</f>
        <v>A big thank you to Pape who responded efficiently to my request.
Very courteous on the phone, friendly, he was able to manage my file quickly. Good day.</v>
      </c>
    </row>
    <row r="848" ht="15.75" customHeight="1">
      <c r="A848" s="2">
        <v>4.0</v>
      </c>
      <c r="B848" s="2" t="s">
        <v>2355</v>
      </c>
      <c r="C848" s="2" t="s">
        <v>2356</v>
      </c>
      <c r="D848" s="2" t="s">
        <v>13</v>
      </c>
      <c r="E848" s="2" t="s">
        <v>14</v>
      </c>
      <c r="F848" s="2" t="s">
        <v>15</v>
      </c>
      <c r="G848" s="2" t="s">
        <v>1165</v>
      </c>
      <c r="H848" s="2" t="s">
        <v>21</v>
      </c>
      <c r="I848" s="2" t="str">
        <f>IFERROR(__xludf.DUMMYFUNCTION("GOOGLETRANSLATE(C848,""fr"",""en"")"),"simple and practical, I subscribed online very quickly and without major difficulties.
I am waiting to see how my file is processed.")</f>
        <v>simple and practical, I subscribed online very quickly and without major difficulties.
I am waiting to see how my file is processed.</v>
      </c>
    </row>
    <row r="849" ht="15.75" customHeight="1">
      <c r="A849" s="2">
        <v>2.0</v>
      </c>
      <c r="B849" s="2" t="s">
        <v>2357</v>
      </c>
      <c r="C849" s="2" t="s">
        <v>2358</v>
      </c>
      <c r="D849" s="2" t="s">
        <v>254</v>
      </c>
      <c r="E849" s="2" t="s">
        <v>14</v>
      </c>
      <c r="F849" s="2" t="s">
        <v>15</v>
      </c>
      <c r="G849" s="2" t="s">
        <v>1159</v>
      </c>
      <c r="H849" s="2" t="s">
        <v>108</v>
      </c>
      <c r="I849" s="2" t="str">
        <f>IFERROR(__xludf.DUMMYFUNCTION("GOOGLETRANSLATE(C849,""fr"",""en"")"),"The advertisements on TV are lies, there are people who will listen to you or support you.
The only times I try to contact them to find out where my file for an auto accident is, I get screwed up like a bitch, excuse me for this term but that's the feelin"&amp;"g I have had.
It's been 2 weeks.
I call an expert number attached in an email.
And after insisting that someone pick up, a woman Nathalie answers me a little curtly without hello.
Yes, politeness is not given to everyone unfortunately.
I explain the situa"&amp;"tion and she stops me by saying that this problem does not concern her and that for the moment it is being examined and she picks up by vaguely answering my questions, I was left speechless after that! !!!!
We feel accused for crimes not committed.
As som"&amp;"eone who is anxious, that doesn't make me want to contact them again for advancement, which will surely be a different person explaining the problem, if they are willing.   
There is not this proximity like my former insurer with friendly and attentive pe"&amp;"ople in physical terms. 
Once this story is over, I go back to my old insurer
In my personal opinion, I advise against it, it's like taking out insurance online with no one listening to you")</f>
        <v>The advertisements on TV are lies, there are people who will listen to you or support you.
The only times I try to contact them to find out where my file for an auto accident is, I get screwed up like a bitch, excuse me for this term but that's the feeling I have had.
It's been 2 weeks.
I call an expert number attached in an email.
And after insisting that someone pick up, a woman Nathalie answers me a little curtly without hello.
Yes, politeness is not given to everyone unfortunately.
I explain the situation and she stops me by saying that this problem does not concern her and that for the moment it is being examined and she picks up by vaguely answering my questions, I was left speechless after that! !!!!
We feel accused for crimes not committed.
As someone who is anxious, that doesn't make me want to contact them again for advancement, which will surely be a different person explaining the problem, if they are willing.   
There is not this proximity like my former insurer with friendly and attentive people in physical terms. 
Once this story is over, I go back to my old insurer
In my personal opinion, I advise against it, it's like taking out insurance online with no one listening to you</v>
      </c>
    </row>
    <row r="850" ht="15.75" customHeight="1">
      <c r="A850" s="2">
        <v>4.0</v>
      </c>
      <c r="B850" s="2" t="s">
        <v>2359</v>
      </c>
      <c r="C850" s="2" t="s">
        <v>2360</v>
      </c>
      <c r="D850" s="2" t="s">
        <v>145</v>
      </c>
      <c r="E850" s="2" t="s">
        <v>14</v>
      </c>
      <c r="F850" s="2" t="s">
        <v>15</v>
      </c>
      <c r="G850" s="2" t="s">
        <v>516</v>
      </c>
      <c r="H850" s="2" t="s">
        <v>442</v>
      </c>
      <c r="I850" s="2" t="str">
        <f>IFERROR(__xludf.DUMMYFUNCTION("GOOGLETRANSLATE(C850,""fr"",""en"")"),"former nexx customer 2010 to 2017 then maaf 2017 to 2019, 2 NR claims and all taken care of! car loan for 6 months, nothing to say, the best in terms of guarantee and even in eastern countries.
Except that following the sale of my mondeo he refuses to tak"&amp;"e me back!...I'm sad")</f>
        <v>former nexx customer 2010 to 2017 then maaf 2017 to 2019, 2 NR claims and all taken care of! car loan for 6 months, nothing to say, the best in terms of guarantee and even in eastern countries.
Except that following the sale of my mondeo he refuses to take me back!...I'm sad</v>
      </c>
    </row>
    <row r="851" ht="15.75" customHeight="1">
      <c r="A851" s="2">
        <v>3.0</v>
      </c>
      <c r="B851" s="2" t="s">
        <v>2361</v>
      </c>
      <c r="C851" s="2" t="s">
        <v>2362</v>
      </c>
      <c r="D851" s="2" t="s">
        <v>80</v>
      </c>
      <c r="E851" s="2" t="s">
        <v>81</v>
      </c>
      <c r="F851" s="2" t="s">
        <v>15</v>
      </c>
      <c r="G851" s="2" t="s">
        <v>1260</v>
      </c>
      <c r="H851" s="2" t="s">
        <v>46</v>
      </c>
      <c r="I851" s="2" t="str">
        <f>IFERROR(__xludf.DUMMYFUNCTION("GOOGLETRANSLATE(C851,""fr"",""en"")"),"I AM PRETTY SATISFIED SPEED SIMPLICITY RATHER AVERAGE PRICE;
EVERYTHING IS MORE WELL EXPLAINED AND UNDERSTANDABLE
THAT'S ALL I HAVE TO SAY THANK YOU")</f>
        <v>I AM PRETTY SATISFIED SPEED SIMPLICITY RATHER AVERAGE PRICE;
EVERYTHING IS MORE WELL EXPLAINED AND UNDERSTANDABLE
THAT'S ALL I HAVE TO SAY THANK YOU</v>
      </c>
    </row>
    <row r="852" ht="15.75" customHeight="1">
      <c r="A852" s="2">
        <v>2.0</v>
      </c>
      <c r="B852" s="2" t="s">
        <v>2363</v>
      </c>
      <c r="C852" s="2" t="s">
        <v>2364</v>
      </c>
      <c r="D852" s="2" t="s">
        <v>303</v>
      </c>
      <c r="E852" s="2" t="s">
        <v>14</v>
      </c>
      <c r="F852" s="2" t="s">
        <v>15</v>
      </c>
      <c r="G852" s="2" t="s">
        <v>25</v>
      </c>
      <c r="H852" s="2" t="s">
        <v>25</v>
      </c>
      <c r="I852" s="2" t="str">
        <f>IFERROR(__xludf.DUMMYFUNCTION("GOOGLETRANSLATE(C852,""fr"",""en"")"),"Mutual insurance company that does not listen to its customers. Very disappointed even though I had been with them for 40 years, I see myself obliged to leave them with regret.")</f>
        <v>Mutual insurance company that does not listen to its customers. Very disappointed even though I had been with them for 40 years, I see myself obliged to leave them with regret.</v>
      </c>
    </row>
    <row r="853" ht="15.75" customHeight="1">
      <c r="A853" s="2">
        <v>5.0</v>
      </c>
      <c r="B853" s="2" t="s">
        <v>2365</v>
      </c>
      <c r="C853" s="2" t="s">
        <v>2366</v>
      </c>
      <c r="D853" s="2" t="s">
        <v>28</v>
      </c>
      <c r="E853" s="2" t="s">
        <v>14</v>
      </c>
      <c r="F853" s="2" t="s">
        <v>15</v>
      </c>
      <c r="G853" s="2" t="s">
        <v>260</v>
      </c>
      <c r="H853" s="2" t="s">
        <v>71</v>
      </c>
      <c r="I853" s="2" t="str">
        <f>IFERROR(__xludf.DUMMYFUNCTION("GOOGLETRANSLATE(C853,""fr"",""en"")"),"I find that Olivier assurance is:
- Speed ​​to get a quote,
- Fairly quick return,
- Very attractive price,
- Quality service,
- Fast response time")</f>
        <v>I find that Olivier assurance is:
- Speed ​​to get a quote,
- Fairly quick return,
- Very attractive price,
- Quality service,
- Fast response time</v>
      </c>
    </row>
    <row r="854" ht="15.75" customHeight="1">
      <c r="A854" s="2">
        <v>1.0</v>
      </c>
      <c r="B854" s="2" t="s">
        <v>2367</v>
      </c>
      <c r="C854" s="2" t="s">
        <v>2368</v>
      </c>
      <c r="D854" s="2" t="s">
        <v>60</v>
      </c>
      <c r="E854" s="2" t="s">
        <v>61</v>
      </c>
      <c r="F854" s="2" t="s">
        <v>15</v>
      </c>
      <c r="G854" s="2" t="s">
        <v>2369</v>
      </c>
      <c r="H854" s="2" t="s">
        <v>216</v>
      </c>
      <c r="I854" s="2" t="str">
        <f>IFERROR(__xludf.DUMMYFUNCTION("GOOGLETRANSLATE(C854,""fr"",""en"")"),"Very bad investment on my part with a negative return for the year 2018 of -7.4% on a defensive mandate in managed management!!
I would unreservedly advise against this overexposed product in terms of advertising. ")</f>
        <v>Very bad investment on my part with a negative return for the year 2018 of -7.4% on a defensive mandate in managed management!!
I would unreservedly advise against this overexposed product in terms of advertising. </v>
      </c>
    </row>
    <row r="855" ht="15.75" customHeight="1">
      <c r="A855" s="2">
        <v>5.0</v>
      </c>
      <c r="B855" s="2" t="s">
        <v>2370</v>
      </c>
      <c r="C855" s="2" t="s">
        <v>2371</v>
      </c>
      <c r="D855" s="2" t="s">
        <v>80</v>
      </c>
      <c r="E855" s="2" t="s">
        <v>81</v>
      </c>
      <c r="F855" s="2" t="s">
        <v>15</v>
      </c>
      <c r="G855" s="2" t="s">
        <v>2372</v>
      </c>
      <c r="H855" s="2" t="s">
        <v>83</v>
      </c>
      <c r="I855" s="2" t="str">
        <f>IFERROR(__xludf.DUMMYFUNCTION("GOOGLETRANSLATE(C855,""fr"",""en"")"),"I AM SATISFIED WITH THE SIMPLE AND PRACTICAL SERVICE THE INSURANCE RATES ARE CORRECT THE COMMUNICATION IS VERY GOOD                                   ")</f>
        <v>I AM SATISFIED WITH THE SIMPLE AND PRACTICAL SERVICE THE INSURANCE RATES ARE CORRECT THE COMMUNICATION IS VERY GOOD                                   </v>
      </c>
    </row>
    <row r="856" ht="15.75" customHeight="1">
      <c r="A856" s="2">
        <v>1.0</v>
      </c>
      <c r="B856" s="2" t="s">
        <v>2373</v>
      </c>
      <c r="C856" s="2" t="s">
        <v>2374</v>
      </c>
      <c r="D856" s="2" t="s">
        <v>13</v>
      </c>
      <c r="E856" s="2" t="s">
        <v>14</v>
      </c>
      <c r="F856" s="2" t="s">
        <v>15</v>
      </c>
      <c r="G856" s="2" t="s">
        <v>203</v>
      </c>
      <c r="H856" s="2" t="s">
        <v>25</v>
      </c>
      <c r="I856" s="2" t="str">
        <f>IFERROR(__xludf.DUMMYFUNCTION("GOOGLETRANSLATE(C856,""fr"",""en"")"),"I'm waiting to see the exceptional offers so promised. I'm waiting to see what offers might change my mind in the future. In short, no favorable opinion for the moment")</f>
        <v>I'm waiting to see the exceptional offers so promised. I'm waiting to see what offers might change my mind in the future. In short, no favorable opinion for the moment</v>
      </c>
    </row>
    <row r="857" ht="15.75" customHeight="1">
      <c r="A857" s="2">
        <v>1.0</v>
      </c>
      <c r="B857" s="2" t="s">
        <v>2375</v>
      </c>
      <c r="C857" s="2" t="s">
        <v>2376</v>
      </c>
      <c r="D857" s="2" t="s">
        <v>465</v>
      </c>
      <c r="E857" s="2" t="s">
        <v>39</v>
      </c>
      <c r="F857" s="2" t="s">
        <v>15</v>
      </c>
      <c r="G857" s="2" t="s">
        <v>2377</v>
      </c>
      <c r="H857" s="2" t="s">
        <v>576</v>
      </c>
      <c r="I857" s="2" t="str">
        <f>IFERROR(__xludf.DUMMYFUNCTION("GOOGLETRANSLATE(C857,""fr"",""en"")"),"We have taken out a Balance contract for two people. Gradually, reimbursements were slow to arrive, or even no longer took place for certain excess fees (ophthalmology), even though we had chosen this formula because it reimbursed us. We had to constantly"&amp;" keep an eye on our expenses and our reimbursements. The icing on the cake was when we decided to leave last November, benefiting from compulsory family-based company mutual insurance. MGEN, despite our numerous reminders, has never canceled the Noémie te"&amp;"letransmission, preventing our current mutual from reimbursing us for our care. Two months later, we had to call Social Security directly to have them stop the teletransmission. Incidentally, 135 euros of contributions were taken from our account for the "&amp;"month of December and have still not been refunded to us, despite our numerous complaints. Mutual to flee.")</f>
        <v>We have taken out a Balance contract for two people. Gradually, reimbursements were slow to arrive, or even no longer took place for certain excess fees (ophthalmology), even though we had chosen this formula because it reimbursed us. We had to constantly keep an eye on our expenses and our reimbursements. The icing on the cake was when we decided to leave last November, benefiting from compulsory family-based company mutual insurance. MGEN, despite our numerous reminders, has never canceled the Noémie teletransmission, preventing our current mutual from reimbursing us for our care. Two months later, we had to call Social Security directly to have them stop the teletransmission. Incidentally, 135 euros of contributions were taken from our account for the month of December and have still not been refunded to us, despite our numerous complaints. Mutual to flee.</v>
      </c>
    </row>
    <row r="858" ht="15.75" customHeight="1">
      <c r="A858" s="2">
        <v>5.0</v>
      </c>
      <c r="B858" s="2" t="s">
        <v>2378</v>
      </c>
      <c r="C858" s="2" t="s">
        <v>2379</v>
      </c>
      <c r="D858" s="2" t="s">
        <v>13</v>
      </c>
      <c r="E858" s="2" t="s">
        <v>14</v>
      </c>
      <c r="F858" s="2" t="s">
        <v>15</v>
      </c>
      <c r="G858" s="2" t="s">
        <v>16</v>
      </c>
      <c r="H858" s="2" t="s">
        <v>17</v>
      </c>
      <c r="I858" s="2" t="str">
        <f>IFERROR(__xludf.DUMMYFUNCTION("GOOGLETRANSLATE(C858,""fr"",""en"")"),"Very simple steps to follow, ultra competitive prices! Thank you for saving me from the clutches of Groupama who, even after 11 years with them without any incident on my vehicle, take €24/month from me for less than 8,000km/year. ")</f>
        <v>Very simple steps to follow, ultra competitive prices! Thank you for saving me from the clutches of Groupama who, even after 11 years with them without any incident on my vehicle, take €24/month from me for less than 8,000km/year. </v>
      </c>
    </row>
    <row r="859" ht="15.75" customHeight="1">
      <c r="A859" s="2">
        <v>1.0</v>
      </c>
      <c r="B859" s="2" t="s">
        <v>2380</v>
      </c>
      <c r="C859" s="2" t="s">
        <v>2381</v>
      </c>
      <c r="D859" s="2" t="s">
        <v>303</v>
      </c>
      <c r="E859" s="2" t="s">
        <v>129</v>
      </c>
      <c r="F859" s="2" t="s">
        <v>15</v>
      </c>
      <c r="G859" s="2" t="s">
        <v>2382</v>
      </c>
      <c r="H859" s="2" t="s">
        <v>389</v>
      </c>
      <c r="I859" s="2" t="str">
        <f>IFERROR(__xludf.DUMMYFUNCTION("GOOGLETRANSLATE(C859,""fr"",""en"")"),"Following an error by the customer advisor, I found myself with 2 insurance contracts for my house. One in the name of Sci and one in my own name.
Despite dozens of exchanges by telephone and emails, Macif does not want to admit its error, nor cancel one "&amp;"of my two contracts and even less reimburse me!
My only solution is to delete all my contracts and bank account with Macif and call on a mediator.
This is the solidarity of the Macif “Mutuelle”....")</f>
        <v>Following an error by the customer advisor, I found myself with 2 insurance contracts for my house. One in the name of Sci and one in my own name.
Despite dozens of exchanges by telephone and emails, Macif does not want to admit its error, nor cancel one of my two contracts and even less reimburse me!
My only solution is to delete all my contracts and bank account with Macif and call on a mediator.
This is the solidarity of the Macif “Mutuelle”....</v>
      </c>
    </row>
    <row r="860" ht="15.75" customHeight="1">
      <c r="A860" s="2">
        <v>2.0</v>
      </c>
      <c r="B860" s="2" t="s">
        <v>2383</v>
      </c>
      <c r="C860" s="2" t="s">
        <v>2384</v>
      </c>
      <c r="D860" s="2" t="s">
        <v>190</v>
      </c>
      <c r="E860" s="2" t="s">
        <v>14</v>
      </c>
      <c r="F860" s="2" t="s">
        <v>15</v>
      </c>
      <c r="G860" s="2" t="s">
        <v>1483</v>
      </c>
      <c r="H860" s="2" t="s">
        <v>83</v>
      </c>
      <c r="I860" s="2" t="str">
        <f>IFERROR(__xludf.DUMMYFUNCTION("GOOGLETRANSLATE(C860,""fr"",""en"")"),"Disappointing after having been a member for more than 10 years, canceling because of 4 disasters from 2016 to 2020 including 2 not responsible 
I don't find that fair and loyalty and years without claims unfortunately don't count. ")</f>
        <v>Disappointing after having been a member for more than 10 years, canceling because of 4 disasters from 2016 to 2020 including 2 not responsible 
I don't find that fair and loyalty and years without claims unfortunately don't count. </v>
      </c>
    </row>
    <row r="861" ht="15.75" customHeight="1">
      <c r="A861" s="2">
        <v>2.0</v>
      </c>
      <c r="B861" s="2" t="s">
        <v>2385</v>
      </c>
      <c r="C861" s="2" t="s">
        <v>2386</v>
      </c>
      <c r="D861" s="2" t="s">
        <v>28</v>
      </c>
      <c r="E861" s="2" t="s">
        <v>14</v>
      </c>
      <c r="F861" s="2" t="s">
        <v>15</v>
      </c>
      <c r="G861" s="2" t="s">
        <v>2387</v>
      </c>
      <c r="H861" s="2" t="s">
        <v>448</v>
      </c>
      <c r="I861" s="2" t="str">
        <f>IFERROR(__xludf.DUMMYFUNCTION("GOOGLETRANSLATE(C861,""fr"",""en"")"),"My companion made sure at the Olivier last week on the phone with the salespeople everything is possible. in the morning he calls to carry out the subscription on a vehicle that we had to buy in the evening, an hour later he decides to withdraw except tha"&amp;"t in the meantime he has given his card number, the insurance debits him directly for 250.00 euros, he sends a letter of withdrawal having not purchased the vehicle. He sent the ARC last week being within the legal withdrawal period to date with news apar"&amp;"t from the debit on his account and when he called to find out how the reimbursement was going the advisor told him that there would be costs linked to termination even though it is a withdrawal the vehicle was not even in our possession no contract signe"&amp;"d!!!!.this did not prevent them from debiting his account despite everything. It's pathetic, deplorable customer service, I planned to take my 2 vehicles home but after this episode that's out of the question. I recommended them for the price. But to flee"&amp;"! I appealed to my legal protection there are laws which regulate consumers I will not let this pass, they know how to call you back within a minute for the subscription on the other hand to have explanations on the reimbursement of the amount debited wit"&amp;"hout having signed no contract by dematerialized means significant sum and still no news")</f>
        <v>My companion made sure at the Olivier last week on the phone with the salespeople everything is possible. in the morning he calls to carry out the subscription on a vehicle that we had to buy in the evening, an hour later he decides to withdraw except that in the meantime he has given his card number, the insurance debits him directly for 250.00 euros, he sends a letter of withdrawal having not purchased the vehicle. He sent the ARC last week being within the legal withdrawal period to date with news apart from the debit on his account and when he called to find out how the reimbursement was going the advisor told him that there would be costs linked to termination even though it is a withdrawal the vehicle was not even in our possession no contract signed!!!!.this did not prevent them from debiting his account despite everything. It's pathetic, deplorable customer service, I planned to take my 2 vehicles home but after this episode that's out of the question. I recommended them for the price. But to flee! I appealed to my legal protection there are laws which regulate consumers I will not let this pass, they know how to call you back within a minute for the subscription on the other hand to have explanations on the reimbursement of the amount debited without having signed no contract by dematerialized means significant sum and still no news</v>
      </c>
    </row>
    <row r="862" ht="15.75" customHeight="1">
      <c r="A862" s="2">
        <v>4.0</v>
      </c>
      <c r="B862" s="2" t="s">
        <v>2388</v>
      </c>
      <c r="C862" s="2" t="s">
        <v>2389</v>
      </c>
      <c r="D862" s="2" t="s">
        <v>80</v>
      </c>
      <c r="E862" s="2" t="s">
        <v>81</v>
      </c>
      <c r="F862" s="2" t="s">
        <v>15</v>
      </c>
      <c r="G862" s="2" t="s">
        <v>2390</v>
      </c>
      <c r="H862" s="2" t="s">
        <v>30</v>
      </c>
      <c r="I862" s="2" t="str">
        <f>IFERROR(__xludf.DUMMYFUNCTION("GOOGLETRANSLATE(C862,""fr"",""en"")"),"attractive value for money motorcycle insurance!
I have a friend who is insured with you and he advised me to get a quote for my next motorcycle, done!")</f>
        <v>attractive value for money motorcycle insurance!
I have a friend who is insured with you and he advised me to get a quote for my next motorcycle, done!</v>
      </c>
    </row>
    <row r="863" ht="15.75" customHeight="1">
      <c r="A863" s="2">
        <v>1.0</v>
      </c>
      <c r="B863" s="2" t="s">
        <v>2391</v>
      </c>
      <c r="C863" s="2" t="s">
        <v>2392</v>
      </c>
      <c r="D863" s="2" t="s">
        <v>80</v>
      </c>
      <c r="E863" s="2" t="s">
        <v>81</v>
      </c>
      <c r="F863" s="2" t="s">
        <v>15</v>
      </c>
      <c r="G863" s="2" t="s">
        <v>1322</v>
      </c>
      <c r="H863" s="2" t="s">
        <v>467</v>
      </c>
      <c r="I863" s="2" t="str">
        <f>IFERROR(__xludf.DUMMYFUNCTION("GOOGLETRANSLATE(C863,""fr"",""en"")"),"Run away 
The steps to register are easy and payments are even faster 
On the other hand I had a scooter with a proven value of 3000 euros and they only want to compensate me 800 euros Of course disputed I have not had any news for more than 3 months The "&amp;"insurance is not a member of insurance mediation so you can always run if you don't like any decision
Loss in February still not reimbursed in September")</f>
        <v>Run away 
The steps to register are easy and payments are even faster 
On the other hand I had a scooter with a proven value of 3000 euros and they only want to compensate me 800 euros Of course disputed I have not had any news for more than 3 months The insurance is not a member of insurance mediation so you can always run if you don't like any decision
Loss in February still not reimbursed in September</v>
      </c>
    </row>
    <row r="864" ht="15.75" customHeight="1">
      <c r="A864" s="2">
        <v>4.0</v>
      </c>
      <c r="B864" s="2" t="s">
        <v>2393</v>
      </c>
      <c r="C864" s="2" t="s">
        <v>2394</v>
      </c>
      <c r="D864" s="2" t="s">
        <v>80</v>
      </c>
      <c r="E864" s="2" t="s">
        <v>81</v>
      </c>
      <c r="F864" s="2" t="s">
        <v>15</v>
      </c>
      <c r="G864" s="2" t="s">
        <v>1747</v>
      </c>
      <c r="H864" s="2" t="s">
        <v>21</v>
      </c>
      <c r="I864" s="2" t="str">
        <f>IFERROR(__xludf.DUMMYFUNCTION("GOOGLETRANSLATE(C864,""fr"",""en"")"),"I am very satisfied with the customer service. Pleasant staff who take the time to advise us, which is very appreciable.
The only thing that's a shame is that there's no app...")</f>
        <v>I am very satisfied with the customer service. Pleasant staff who take the time to advise us, which is very appreciable.
The only thing that's a shame is that there's no app...</v>
      </c>
    </row>
    <row r="865" ht="15.75" customHeight="1">
      <c r="A865" s="2">
        <v>1.0</v>
      </c>
      <c r="B865" s="2" t="s">
        <v>2395</v>
      </c>
      <c r="C865" s="2" t="s">
        <v>2396</v>
      </c>
      <c r="D865" s="2" t="s">
        <v>322</v>
      </c>
      <c r="E865" s="2" t="s">
        <v>14</v>
      </c>
      <c r="F865" s="2" t="s">
        <v>15</v>
      </c>
      <c r="G865" s="2" t="s">
        <v>2397</v>
      </c>
      <c r="H865" s="2" t="s">
        <v>328</v>
      </c>
      <c r="I865" s="2" t="str">
        <f>IFERROR(__xludf.DUMMYFUNCTION("GOOGLETRANSLATE(C865,""fr"",""en"")"),"I took out a car contract with Active Assurance, I have since sent the requested papers in order to finalize it, but they refuse a perfectly valid statement of situation for who knows what reason. since unable to connect to client access ")</f>
        <v>I took out a car contract with Active Assurance, I have since sent the requested papers in order to finalize it, but they refuse a perfectly valid statement of situation for who knows what reason. since unable to connect to client access </v>
      </c>
    </row>
    <row r="866" ht="15.75" customHeight="1">
      <c r="A866" s="2">
        <v>1.0</v>
      </c>
      <c r="B866" s="2" t="s">
        <v>2398</v>
      </c>
      <c r="C866" s="2" t="s">
        <v>2399</v>
      </c>
      <c r="D866" s="2" t="s">
        <v>13</v>
      </c>
      <c r="E866" s="2" t="s">
        <v>14</v>
      </c>
      <c r="F866" s="2" t="s">
        <v>15</v>
      </c>
      <c r="G866" s="2" t="s">
        <v>2400</v>
      </c>
      <c r="H866" s="2" t="s">
        <v>224</v>
      </c>
      <c r="I866" s="2" t="str">
        <f>IFERROR(__xludf.DUMMYFUNCTION("GOOGLETRANSLATE(C866,""fr"",""en"")"),"Above all, you shouldn't have any problems because they won't hesitate to push you down instead of defending you.")</f>
        <v>Above all, you shouldn't have any problems because they won't hesitate to push you down instead of defending you.</v>
      </c>
    </row>
    <row r="867" ht="15.75" customHeight="1">
      <c r="A867" s="2">
        <v>3.0</v>
      </c>
      <c r="B867" s="2" t="s">
        <v>2401</v>
      </c>
      <c r="C867" s="2" t="s">
        <v>2402</v>
      </c>
      <c r="D867" s="2" t="s">
        <v>664</v>
      </c>
      <c r="E867" s="2" t="s">
        <v>39</v>
      </c>
      <c r="F867" s="2" t="s">
        <v>15</v>
      </c>
      <c r="G867" s="2" t="s">
        <v>771</v>
      </c>
      <c r="H867" s="2" t="s">
        <v>256</v>
      </c>
      <c r="I867" s="2" t="str">
        <f>IFERROR(__xludf.DUMMYFUNCTION("GOOGLETRANSLATE(C867,""fr"",""en"")"),"New customer with you, very satisfied with the customer service on the phone I had as advisor Ikram, super friendly, friendly, attentive to the problem, nothing to complain about.")</f>
        <v>New customer with you, very satisfied with the customer service on the phone I had as advisor Ikram, super friendly, friendly, attentive to the problem, nothing to complain about.</v>
      </c>
    </row>
    <row r="868" ht="15.75" customHeight="1">
      <c r="A868" s="2">
        <v>4.0</v>
      </c>
      <c r="B868" s="2" t="s">
        <v>2403</v>
      </c>
      <c r="C868" s="2" t="s">
        <v>2404</v>
      </c>
      <c r="D868" s="2" t="s">
        <v>28</v>
      </c>
      <c r="E868" s="2" t="s">
        <v>14</v>
      </c>
      <c r="F868" s="2" t="s">
        <v>15</v>
      </c>
      <c r="G868" s="2" t="s">
        <v>2405</v>
      </c>
      <c r="H868" s="2" t="s">
        <v>71</v>
      </c>
      <c r="I868" s="2" t="str">
        <f>IFERROR(__xludf.DUMMYFUNCTION("GOOGLETRANSLATE(C868,""fr"",""en"")"),"I am satisfied with the price and the reception by telephone, I would recommend Olivier Assurance to those around me and especially to my loved ones. I am sorry for the delay in signing my contract.")</f>
        <v>I am satisfied with the price and the reception by telephone, I would recommend Olivier Assurance to those around me and especially to my loved ones. I am sorry for the delay in signing my contract.</v>
      </c>
    </row>
    <row r="869" ht="15.75" customHeight="1">
      <c r="A869" s="2">
        <v>2.0</v>
      </c>
      <c r="B869" s="2" t="s">
        <v>2406</v>
      </c>
      <c r="C869" s="2" t="s">
        <v>2407</v>
      </c>
      <c r="D869" s="2" t="s">
        <v>303</v>
      </c>
      <c r="E869" s="2" t="s">
        <v>14</v>
      </c>
      <c r="F869" s="2" t="s">
        <v>15</v>
      </c>
      <c r="G869" s="2" t="s">
        <v>317</v>
      </c>
      <c r="H869" s="2" t="s">
        <v>25</v>
      </c>
      <c r="I869" s="2" t="str">
        <f>IFERROR(__xludf.DUMMYFUNCTION("GOOGLETRANSLATE(C869,""fr"",""en"")"),"Very disappointed with the Macif disaster service despite several reminders, my request is not processed, I advise against it.
The price is advantageous but lacks professionalism in the responses ")</f>
        <v>Very disappointed with the Macif disaster service despite several reminders, my request is not processed, I advise against it.
The price is advantageous but lacks professionalism in the responses </v>
      </c>
    </row>
    <row r="870" ht="15.75" customHeight="1">
      <c r="A870" s="2">
        <v>4.0</v>
      </c>
      <c r="B870" s="2" t="s">
        <v>2408</v>
      </c>
      <c r="C870" s="2" t="s">
        <v>2409</v>
      </c>
      <c r="D870" s="2" t="s">
        <v>28</v>
      </c>
      <c r="E870" s="2" t="s">
        <v>14</v>
      </c>
      <c r="F870" s="2" t="s">
        <v>15</v>
      </c>
      <c r="G870" s="2" t="s">
        <v>2410</v>
      </c>
      <c r="H870" s="2" t="s">
        <v>83</v>
      </c>
      <c r="I870" s="2" t="str">
        <f>IFERROR(__xludf.DUMMYFUNCTION("GOOGLETRANSLATE(C870,""fr"",""en"")"),"I am satisfied with the telephone reception and the advice I received by telephone
Documents received quickly by email, everything is ok.
Fair price and quickly assured")</f>
        <v>I am satisfied with the telephone reception and the advice I received by telephone
Documents received quickly by email, everything is ok.
Fair price and quickly assured</v>
      </c>
    </row>
    <row r="871" ht="15.75" customHeight="1">
      <c r="A871" s="2">
        <v>3.0</v>
      </c>
      <c r="B871" s="2" t="s">
        <v>2411</v>
      </c>
      <c r="C871" s="2" t="s">
        <v>2412</v>
      </c>
      <c r="D871" s="2" t="s">
        <v>13</v>
      </c>
      <c r="E871" s="2" t="s">
        <v>14</v>
      </c>
      <c r="F871" s="2" t="s">
        <v>15</v>
      </c>
      <c r="G871" s="2" t="s">
        <v>300</v>
      </c>
      <c r="H871" s="2" t="s">
        <v>111</v>
      </c>
      <c r="I871" s="2" t="str">
        <f>IFERROR(__xludf.DUMMYFUNCTION("GOOGLETRANSLATE(C871,""fr"",""en"")"),"I am satisfied with these services and the price you offer but for now I am a new customer to see later in the duration thank you for your service ")</f>
        <v>I am satisfied with these services and the price you offer but for now I am a new customer to see later in the duration thank you for your service </v>
      </c>
    </row>
    <row r="872" ht="15.75" customHeight="1">
      <c r="A872" s="2">
        <v>4.0</v>
      </c>
      <c r="B872" s="2" t="s">
        <v>2413</v>
      </c>
      <c r="C872" s="2" t="s">
        <v>2414</v>
      </c>
      <c r="D872" s="2" t="s">
        <v>530</v>
      </c>
      <c r="E872" s="2" t="s">
        <v>39</v>
      </c>
      <c r="F872" s="2" t="s">
        <v>15</v>
      </c>
      <c r="G872" s="2" t="s">
        <v>2415</v>
      </c>
      <c r="H872" s="2" t="s">
        <v>108</v>
      </c>
      <c r="I872" s="2" t="str">
        <f>IFERROR(__xludf.DUMMYFUNCTION("GOOGLETRANSLATE(C872,""fr"",""en"")"),"Very good telephone reception and clear and unambiguous answers. The sometimes long waiting time is compensated by an automatic callback offer. Top")</f>
        <v>Very good telephone reception and clear and unambiguous answers. The sometimes long waiting time is compensated by an automatic callback offer. Top</v>
      </c>
    </row>
    <row r="873" ht="15.75" customHeight="1">
      <c r="A873" s="2">
        <v>5.0</v>
      </c>
      <c r="B873" s="2" t="s">
        <v>2416</v>
      </c>
      <c r="C873" s="2" t="s">
        <v>2417</v>
      </c>
      <c r="D873" s="2" t="s">
        <v>128</v>
      </c>
      <c r="E873" s="2" t="s">
        <v>14</v>
      </c>
      <c r="F873" s="2" t="s">
        <v>15</v>
      </c>
      <c r="G873" s="2" t="s">
        <v>2418</v>
      </c>
      <c r="H873" s="2" t="s">
        <v>256</v>
      </c>
      <c r="I873" s="2" t="str">
        <f>IFERROR(__xludf.DUMMYFUNCTION("GOOGLETRANSLATE(C873,""fr"",""en"")"),"Top notch insurance! Best contract on the market! I used the assistant, they are really helpful and pleasant. Always someone to answer my questions. Qualified staff.")</f>
        <v>Top notch insurance! Best contract on the market! I used the assistant, they are really helpful and pleasant. Always someone to answer my questions. Qualified staff.</v>
      </c>
    </row>
    <row r="874" ht="15.75" customHeight="1">
      <c r="A874" s="2">
        <v>5.0</v>
      </c>
      <c r="B874" s="2" t="s">
        <v>2419</v>
      </c>
      <c r="C874" s="2" t="s">
        <v>2420</v>
      </c>
      <c r="D874" s="2" t="s">
        <v>28</v>
      </c>
      <c r="E874" s="2" t="s">
        <v>14</v>
      </c>
      <c r="F874" s="2" t="s">
        <v>15</v>
      </c>
      <c r="G874" s="2" t="s">
        <v>1407</v>
      </c>
      <c r="H874" s="2" t="s">
        <v>30</v>
      </c>
      <c r="I874" s="2" t="str">
        <f>IFERROR(__xludf.DUMMYFUNCTION("GOOGLETRANSLATE(C874,""fr"",""en"")"),"Following a quote made online, the sales team was responsive and attentive. The prices defy all competition. The procedures are simplified via the internet. So far, everything is perfect.")</f>
        <v>Following a quote made online, the sales team was responsive and attentive. The prices defy all competition. The procedures are simplified via the internet. So far, everything is perfect.</v>
      </c>
    </row>
    <row r="875" ht="15.75" customHeight="1">
      <c r="A875" s="2">
        <v>5.0</v>
      </c>
      <c r="B875" s="2" t="s">
        <v>2421</v>
      </c>
      <c r="C875" s="2" t="s">
        <v>2422</v>
      </c>
      <c r="D875" s="2" t="s">
        <v>197</v>
      </c>
      <c r="E875" s="2" t="s">
        <v>81</v>
      </c>
      <c r="F875" s="2" t="s">
        <v>15</v>
      </c>
      <c r="G875" s="2" t="s">
        <v>2423</v>
      </c>
      <c r="H875" s="2" t="s">
        <v>74</v>
      </c>
      <c r="I875" s="2" t="str">
        <f>IFERROR(__xludf.DUMMYFUNCTION("GOOGLETRANSLATE(C875,""fr"",""en"")"),"You are at the top speed and efficiency are your key words, thank you")</f>
        <v>You are at the top speed and efficiency are your key words, thank you</v>
      </c>
    </row>
    <row r="876" ht="15.75" customHeight="1">
      <c r="A876" s="2">
        <v>4.0</v>
      </c>
      <c r="B876" s="2" t="s">
        <v>2424</v>
      </c>
      <c r="C876" s="2" t="s">
        <v>2425</v>
      </c>
      <c r="D876" s="2" t="s">
        <v>44</v>
      </c>
      <c r="E876" s="2" t="s">
        <v>39</v>
      </c>
      <c r="F876" s="2" t="s">
        <v>15</v>
      </c>
      <c r="G876" s="2" t="s">
        <v>2127</v>
      </c>
      <c r="H876" s="2" t="s">
        <v>46</v>
      </c>
      <c r="I876" s="2" t="str">
        <f>IFERROR(__xludf.DUMMYFUNCTION("GOOGLETRANSLATE(C876,""fr"",""en"")"),"Taking out my complementary health insurance contract with April was very simple: practical, quick to complete and perfectly suited to my needs. It's positive.")</f>
        <v>Taking out my complementary health insurance contract with April was very simple: practical, quick to complete and perfectly suited to my needs. It's positive.</v>
      </c>
    </row>
    <row r="877" ht="15.75" customHeight="1">
      <c r="A877" s="2">
        <v>2.0</v>
      </c>
      <c r="B877" s="2" t="s">
        <v>2426</v>
      </c>
      <c r="C877" s="2" t="s">
        <v>2427</v>
      </c>
      <c r="D877" s="2" t="s">
        <v>197</v>
      </c>
      <c r="E877" s="2" t="s">
        <v>81</v>
      </c>
      <c r="F877" s="2" t="s">
        <v>15</v>
      </c>
      <c r="G877" s="2" t="s">
        <v>2428</v>
      </c>
      <c r="H877" s="2" t="s">
        <v>228</v>
      </c>
      <c r="I877" s="2" t="str">
        <f>IFERROR(__xludf.DUMMYFUNCTION("GOOGLETRANSLATE(C877,""fr"",""en"")"),"Following the accident I was unable to call for assistance as I was being looked after by the firefighters
So the gendarmerie called their repairer to remove my motorcycle. To recover it I advanced the repair costs which must be covered by the assistance "&amp;"and 2 months after sending the invoice still no reimbursement despite the multiple relaunches.Amv it is the assistance which must pay we are relaunching them and the same speech for 2 months")</f>
        <v>Following the accident I was unable to call for assistance as I was being looked after by the firefighters
So the gendarmerie called their repairer to remove my motorcycle. To recover it I advanced the repair costs which must be covered by the assistance and 2 months after sending the invoice still no reimbursement despite the multiple relaunches.Amv it is the assistance which must pay we are relaunching them and the same speech for 2 months</v>
      </c>
    </row>
    <row r="878" ht="15.75" customHeight="1">
      <c r="A878" s="2">
        <v>5.0</v>
      </c>
      <c r="B878" s="2" t="s">
        <v>2429</v>
      </c>
      <c r="C878" s="2" t="s">
        <v>2430</v>
      </c>
      <c r="D878" s="2" t="s">
        <v>28</v>
      </c>
      <c r="E878" s="2" t="s">
        <v>14</v>
      </c>
      <c r="F878" s="2" t="s">
        <v>15</v>
      </c>
      <c r="G878" s="2" t="s">
        <v>82</v>
      </c>
      <c r="H878" s="2" t="s">
        <v>83</v>
      </c>
      <c r="I878" s="2" t="str">
        <f>IFERROR(__xludf.DUMMYFUNCTION("GOOGLETRANSLATE(C878,""fr"",""en"")"),"I am satisfied, speed and efficiency from quote to contract/.in addition very competitive prices and a most pleasant welcome.
I will recommend l'olivier to my friends
")</f>
        <v>I am satisfied, speed and efficiency from quote to contract/.in addition very competitive prices and a most pleasant welcome.
I will recommend l'olivier to my friends
</v>
      </c>
    </row>
    <row r="879" ht="15.75" customHeight="1">
      <c r="A879" s="2">
        <v>5.0</v>
      </c>
      <c r="B879" s="2" t="s">
        <v>2431</v>
      </c>
      <c r="C879" s="2" t="s">
        <v>2432</v>
      </c>
      <c r="D879" s="2" t="s">
        <v>13</v>
      </c>
      <c r="E879" s="2" t="s">
        <v>14</v>
      </c>
      <c r="F879" s="2" t="s">
        <v>15</v>
      </c>
      <c r="G879" s="2" t="s">
        <v>2186</v>
      </c>
      <c r="H879" s="2" t="s">
        <v>17</v>
      </c>
      <c r="I879" s="2" t="str">
        <f>IFERROR(__xludf.DUMMYFUNCTION("GOOGLETRANSLATE(C879,""fr"",""en"")"),"As a secondary driver, Direct Insurance was a very good choice, now I am happy with my first car and reliable and convenient insurance!")</f>
        <v>As a secondary driver, Direct Insurance was a very good choice, now I am happy with my first car and reliable and convenient insurance!</v>
      </c>
    </row>
    <row r="880" ht="15.75" customHeight="1">
      <c r="A880" s="2">
        <v>2.0</v>
      </c>
      <c r="B880" s="2" t="s">
        <v>2433</v>
      </c>
      <c r="C880" s="2" t="s">
        <v>2434</v>
      </c>
      <c r="D880" s="2" t="s">
        <v>13</v>
      </c>
      <c r="E880" s="2" t="s">
        <v>14</v>
      </c>
      <c r="F880" s="2" t="s">
        <v>15</v>
      </c>
      <c r="G880" s="2" t="s">
        <v>2435</v>
      </c>
      <c r="H880" s="2" t="s">
        <v>414</v>
      </c>
      <c r="I880" s="2" t="str">
        <f>IFERROR(__xludf.DUMMYFUNCTION("GOOGLETRANSLATE(C880,""fr"",""en"")"),"ah, not at all satisfied, I have the impression that the more loyalty you have with Direct Assurance, the more your bill becomes bitter, from 55 euros to my first subscription after 2 years I am at more than 67 euros ")</f>
        <v>ah, not at all satisfied, I have the impression that the more loyalty you have with Direct Assurance, the more your bill becomes bitter, from 55 euros to my first subscription after 2 years I am at more than 67 euros </v>
      </c>
    </row>
    <row r="881" ht="15.75" customHeight="1">
      <c r="A881" s="2">
        <v>4.0</v>
      </c>
      <c r="B881" s="2" t="s">
        <v>2436</v>
      </c>
      <c r="C881" s="2" t="s">
        <v>2437</v>
      </c>
      <c r="D881" s="2" t="s">
        <v>28</v>
      </c>
      <c r="E881" s="2" t="s">
        <v>14</v>
      </c>
      <c r="F881" s="2" t="s">
        <v>15</v>
      </c>
      <c r="G881" s="2" t="s">
        <v>676</v>
      </c>
      <c r="H881" s="2" t="s">
        <v>111</v>
      </c>
      <c r="I881" s="2" t="str">
        <f>IFERROR(__xludf.DUMMYFUNCTION("GOOGLETRANSLATE(C881,""fr"",""en"")"),"I am satisfied with the service.
Price wise I thought I had a better price than that but still happy with it.
Two out of 3 cars at L'olivier Assurance deserved a better contract.")</f>
        <v>I am satisfied with the service.
Price wise I thought I had a better price than that but still happy with it.
Two out of 3 cars at L'olivier Assurance deserved a better contract.</v>
      </c>
    </row>
    <row r="882" ht="15.75" customHeight="1">
      <c r="A882" s="2">
        <v>1.0</v>
      </c>
      <c r="B882" s="2" t="s">
        <v>2438</v>
      </c>
      <c r="C882" s="2" t="s">
        <v>2439</v>
      </c>
      <c r="D882" s="2" t="s">
        <v>38</v>
      </c>
      <c r="E882" s="2" t="s">
        <v>39</v>
      </c>
      <c r="F882" s="2" t="s">
        <v>15</v>
      </c>
      <c r="G882" s="2" t="s">
        <v>557</v>
      </c>
      <c r="H882" s="2" t="s">
        <v>557</v>
      </c>
      <c r="I882" s="2" t="str">
        <f>IFERROR(__xludf.DUMMYFUNCTION("GOOGLETRANSLATE(C882,""fr"",""en"")"),"Absolutely avoid! I subscribed to this mutual insurance following a mutual insurance comparison site. I wanted to withdraw within the deadline, having made the decision too quickly, but there: impossible!! Each time they find something that I should have "&amp;"done more to demonstrate my desire to leave them. I blocked the direct debits but nothing happened...!!!! I'm getting desperate, I can't pay two mutual insurance!!! ")</f>
        <v>Absolutely avoid! I subscribed to this mutual insurance following a mutual insurance comparison site. I wanted to withdraw within the deadline, having made the decision too quickly, but there: impossible!! Each time they find something that I should have done more to demonstrate my desire to leave them. I blocked the direct debits but nothing happened...!!!! I'm getting desperate, I can't pay two mutual insurance!!! </v>
      </c>
    </row>
    <row r="883" ht="15.75" customHeight="1">
      <c r="A883" s="2">
        <v>1.0</v>
      </c>
      <c r="B883" s="2" t="s">
        <v>2440</v>
      </c>
      <c r="C883" s="2" t="s">
        <v>2441</v>
      </c>
      <c r="D883" s="2" t="s">
        <v>465</v>
      </c>
      <c r="E883" s="2" t="s">
        <v>39</v>
      </c>
      <c r="F883" s="2" t="s">
        <v>15</v>
      </c>
      <c r="G883" s="2" t="s">
        <v>2442</v>
      </c>
      <c r="H883" s="2" t="s">
        <v>507</v>
      </c>
      <c r="I883" s="2" t="str">
        <f>IFERROR(__xludf.DUMMYFUNCTION("GOOGLETRANSLATE(C883,""fr"",""en"")"),"What a kata! Soaring contributions and less and less well-reimbursed care. No responsiveness, 15 days for a response by email... I send a formal termination letter and no response... neither on the phone, nor by email, nor in agency!")</f>
        <v>What a kata! Soaring contributions and less and less well-reimbursed care. No responsiveness, 15 days for a response by email... I send a formal termination letter and no response... neither on the phone, nor by email, nor in agency!</v>
      </c>
    </row>
    <row r="884" ht="15.75" customHeight="1">
      <c r="A884" s="2">
        <v>1.0</v>
      </c>
      <c r="B884" s="2" t="s">
        <v>2443</v>
      </c>
      <c r="C884" s="2" t="s">
        <v>2444</v>
      </c>
      <c r="D884" s="2" t="s">
        <v>28</v>
      </c>
      <c r="E884" s="2" t="s">
        <v>14</v>
      </c>
      <c r="F884" s="2" t="s">
        <v>15</v>
      </c>
      <c r="G884" s="2" t="s">
        <v>2445</v>
      </c>
      <c r="H884" s="2" t="s">
        <v>994</v>
      </c>
      <c r="I884" s="2" t="str">
        <f>IFERROR(__xludf.DUMMYFUNCTION("GOOGLETRANSLATE(C884,""fr"",""en"")"),"after a claim which took 6 months to be resolved, I expressed a grievous note to the claims department which deals with my daughter's file and 30 minutes later it was sanctioned by an email ruling my claim on a 50/ 50 with the third party who caused the l"&amp;"oss for which my daughter was not at fault!! well done! for an insurance company that must defend the interests of members, it’s scandalous! Incompetent insurer! and unscrupulous!
")</f>
        <v>after a claim which took 6 months to be resolved, I expressed a grievous note to the claims department which deals with my daughter's file and 30 minutes later it was sanctioned by an email ruling my claim on a 50/ 50 with the third party who caused the loss for which my daughter was not at fault!! well done! for an insurance company that must defend the interests of members, it’s scandalous! Incompetent insurer! and unscrupulous!
</v>
      </c>
    </row>
    <row r="885" ht="15.75" customHeight="1">
      <c r="A885" s="2">
        <v>3.0</v>
      </c>
      <c r="B885" s="2" t="s">
        <v>2446</v>
      </c>
      <c r="C885" s="2" t="s">
        <v>2447</v>
      </c>
      <c r="D885" s="2" t="s">
        <v>13</v>
      </c>
      <c r="E885" s="2" t="s">
        <v>14</v>
      </c>
      <c r="F885" s="2" t="s">
        <v>15</v>
      </c>
      <c r="G885" s="2" t="s">
        <v>2448</v>
      </c>
      <c r="H885" s="2" t="s">
        <v>286</v>
      </c>
      <c r="I885" s="2" t="str">
        <f>IFERROR(__xludf.DUMMYFUNCTION("GOOGLETRANSLATE(C885,""fr"",""en"")"),"RAS for the moment but 
I regret not being able to immediately see the quote and in particular the conditions of Bros de glace (franchisee or not)........")</f>
        <v>RAS for the moment but 
I regret not being able to immediately see the quote and in particular the conditions of Bros de glace (franchisee or not)........</v>
      </c>
    </row>
    <row r="886" ht="15.75" customHeight="1">
      <c r="A886" s="2">
        <v>1.0</v>
      </c>
      <c r="B886" s="2" t="s">
        <v>2449</v>
      </c>
      <c r="C886" s="2" t="s">
        <v>2450</v>
      </c>
      <c r="D886" s="2" t="s">
        <v>65</v>
      </c>
      <c r="E886" s="2" t="s">
        <v>14</v>
      </c>
      <c r="F886" s="2" t="s">
        <v>15</v>
      </c>
      <c r="G886" s="2" t="s">
        <v>2451</v>
      </c>
      <c r="H886" s="2" t="s">
        <v>224</v>
      </c>
      <c r="I886" s="2" t="str">
        <f>IFERROR(__xludf.DUMMYFUNCTION("GOOGLETRANSLATE(C886,""fr"",""en"")"),"This is insurance that takes time to reimburse you and overwhelms you with paperwork before being able to reimburse you even in the event of a non-fault claim.")</f>
        <v>This is insurance that takes time to reimburse you and overwhelms you with paperwork before being able to reimburse you even in the event of a non-fault claim.</v>
      </c>
    </row>
    <row r="887" ht="15.75" customHeight="1">
      <c r="A887" s="2">
        <v>4.0</v>
      </c>
      <c r="B887" s="2" t="s">
        <v>2452</v>
      </c>
      <c r="C887" s="2" t="s">
        <v>2453</v>
      </c>
      <c r="D887" s="2" t="s">
        <v>28</v>
      </c>
      <c r="E887" s="2" t="s">
        <v>14</v>
      </c>
      <c r="F887" s="2" t="s">
        <v>15</v>
      </c>
      <c r="G887" s="2" t="s">
        <v>2192</v>
      </c>
      <c r="H887" s="2" t="s">
        <v>71</v>
      </c>
      <c r="I887" s="2" t="str">
        <f>IFERROR(__xludf.DUMMYFUNCTION("GOOGLETRANSLATE(C887,""fr"",""en"")"),"I am satisfied with the service, very good value for money and very easy to use.
We are thinking of insuring our other vehicles as well as our accommodation.")</f>
        <v>I am satisfied with the service, very good value for money and very easy to use.
We are thinking of insuring our other vehicles as well as our accommodation.</v>
      </c>
    </row>
    <row r="888" ht="15.75" customHeight="1">
      <c r="A888" s="2">
        <v>5.0</v>
      </c>
      <c r="B888" s="2" t="s">
        <v>2454</v>
      </c>
      <c r="C888" s="2" t="s">
        <v>2455</v>
      </c>
      <c r="D888" s="2" t="s">
        <v>13</v>
      </c>
      <c r="E888" s="2" t="s">
        <v>14</v>
      </c>
      <c r="F888" s="2" t="s">
        <v>15</v>
      </c>
      <c r="G888" s="2" t="s">
        <v>1635</v>
      </c>
      <c r="H888" s="2" t="s">
        <v>30</v>
      </c>
      <c r="I888" s="2" t="str">
        <f>IFERROR(__xludf.DUMMYFUNCTION("GOOGLETRANSLATE(C888,""fr"",""en"")"),"I am very satisfied with the customer service with the service offered to the customer and the support to find the solutions relating to our requests")</f>
        <v>I am very satisfied with the customer service with the service offered to the customer and the support to find the solutions relating to our requests</v>
      </c>
    </row>
    <row r="889" ht="15.75" customHeight="1">
      <c r="A889" s="2">
        <v>4.0</v>
      </c>
      <c r="B889" s="2" t="s">
        <v>2456</v>
      </c>
      <c r="C889" s="2" t="s">
        <v>2457</v>
      </c>
      <c r="D889" s="2" t="s">
        <v>28</v>
      </c>
      <c r="E889" s="2" t="s">
        <v>14</v>
      </c>
      <c r="F889" s="2" t="s">
        <v>15</v>
      </c>
      <c r="G889" s="2" t="s">
        <v>970</v>
      </c>
      <c r="H889" s="2" t="s">
        <v>21</v>
      </c>
      <c r="I889" s="2" t="str">
        <f>IFERROR(__xludf.DUMMYFUNCTION("GOOGLETRANSLATE(C889,""fr"",""en"")"),"quick, simple and clear adhesion.
Fast and efficient telephone reception, clear information, price always too high but competitive. 
I don't know what more I can say.")</f>
        <v>quick, simple and clear adhesion.
Fast and efficient telephone reception, clear information, price always too high but competitive. 
I don't know what more I can say.</v>
      </c>
    </row>
    <row r="890" ht="15.75" customHeight="1">
      <c r="A890" s="2">
        <v>4.0</v>
      </c>
      <c r="B890" s="2" t="s">
        <v>585</v>
      </c>
      <c r="C890" s="2" t="s">
        <v>2458</v>
      </c>
      <c r="D890" s="2" t="s">
        <v>1242</v>
      </c>
      <c r="E890" s="2" t="s">
        <v>129</v>
      </c>
      <c r="F890" s="2" t="s">
        <v>15</v>
      </c>
      <c r="G890" s="2" t="s">
        <v>388</v>
      </c>
      <c r="H890" s="2" t="s">
        <v>389</v>
      </c>
      <c r="I890" s="2" t="str">
        <f>IFERROR(__xludf.DUMMYFUNCTION("GOOGLETRANSLATE(C890,""fr"",""en"")"),"We had 2 claims: water damage and a household appliance damaged by lightning and we had no problem with the insurance. The only downside for us is that not being a customer of the bank other than home insurance, we cannot have a customer area on the inter"&amp;"net.")</f>
        <v>We had 2 claims: water damage and a household appliance damaged by lightning and we had no problem with the insurance. The only downside for us is that not being a customer of the bank other than home insurance, we cannot have a customer area on the internet.</v>
      </c>
    </row>
    <row r="891" ht="15.75" customHeight="1">
      <c r="A891" s="2">
        <v>4.0</v>
      </c>
      <c r="B891" s="2" t="s">
        <v>2459</v>
      </c>
      <c r="C891" s="2" t="s">
        <v>2460</v>
      </c>
      <c r="D891" s="2" t="s">
        <v>13</v>
      </c>
      <c r="E891" s="2" t="s">
        <v>14</v>
      </c>
      <c r="F891" s="2" t="s">
        <v>15</v>
      </c>
      <c r="G891" s="2" t="s">
        <v>111</v>
      </c>
      <c r="H891" s="2" t="s">
        <v>111</v>
      </c>
      <c r="I891" s="2" t="str">
        <f>IFERROR(__xludf.DUMMYFUNCTION("GOOGLETRANSLATE(C891,""fr"",""en"")"),"Easy and quick subscription, reduced bill due to too many telephone reminders. For my part, I like to take the time to think ALONE before committing.")</f>
        <v>Easy and quick subscription, reduced bill due to too many telephone reminders. For my part, I like to take the time to think ALONE before committing.</v>
      </c>
    </row>
    <row r="892" ht="15.75" customHeight="1">
      <c r="A892" s="2">
        <v>3.0</v>
      </c>
      <c r="B892" s="2" t="s">
        <v>2461</v>
      </c>
      <c r="C892" s="2" t="s">
        <v>2462</v>
      </c>
      <c r="D892" s="2" t="s">
        <v>13</v>
      </c>
      <c r="E892" s="2" t="s">
        <v>14</v>
      </c>
      <c r="F892" s="2" t="s">
        <v>15</v>
      </c>
      <c r="G892" s="2" t="s">
        <v>2463</v>
      </c>
      <c r="H892" s="2" t="s">
        <v>286</v>
      </c>
      <c r="I892" s="2" t="str">
        <f>IFERROR(__xludf.DUMMYFUNCTION("GOOGLETRANSLATE(C892,""fr"",""en"")"),"Prices at direct tend to increase and are no longer competitive. The online service is very good and the advisors are very friendly.  On the other hand, the personal space is not updated regularly, we find ourselves with quotes from 2 or 3 years ago and w"&amp;"hich are still displayed..")</f>
        <v>Prices at direct tend to increase and are no longer competitive. The online service is very good and the advisors are very friendly.  On the other hand, the personal space is not updated regularly, we find ourselves with quotes from 2 or 3 years ago and which are still displayed..</v>
      </c>
    </row>
    <row r="893" ht="15.75" customHeight="1">
      <c r="A893" s="2">
        <v>1.0</v>
      </c>
      <c r="B893" s="2" t="s">
        <v>2464</v>
      </c>
      <c r="C893" s="2" t="s">
        <v>2465</v>
      </c>
      <c r="D893" s="2" t="s">
        <v>322</v>
      </c>
      <c r="E893" s="2" t="s">
        <v>14</v>
      </c>
      <c r="F893" s="2" t="s">
        <v>15</v>
      </c>
      <c r="G893" s="2" t="s">
        <v>2466</v>
      </c>
      <c r="H893" s="2" t="s">
        <v>1720</v>
      </c>
      <c r="I893" s="2" t="str">
        <f>IFERROR(__xludf.DUMMYFUNCTION("GOOGLETRANSLATE(C893,""fr"",""en"")"),"Hello, I would like to know if you have a number on which I can reach you from the meeting! Because 0892020423 does not work. Thanks in advance                     .
                                         .    
.
.
.
.
"&amp;" 
.
.
.
.
.")</f>
        <v>Hello, I would like to know if you have a number on which I can reach you from the meeting! Because 0892020423 does not work. Thanks in advance                     .
                                         .    
.
.
.
.
.
.
.
.
.</v>
      </c>
    </row>
    <row r="894" ht="15.75" customHeight="1">
      <c r="A894" s="2">
        <v>3.0</v>
      </c>
      <c r="B894" s="2" t="s">
        <v>2467</v>
      </c>
      <c r="C894" s="2" t="s">
        <v>2468</v>
      </c>
      <c r="D894" s="2" t="s">
        <v>13</v>
      </c>
      <c r="E894" s="2" t="s">
        <v>14</v>
      </c>
      <c r="F894" s="2" t="s">
        <v>15</v>
      </c>
      <c r="G894" s="2" t="s">
        <v>2073</v>
      </c>
      <c r="H894" s="2" t="s">
        <v>17</v>
      </c>
      <c r="I894" s="2" t="str">
        <f>IFERROR(__xludf.DUMMYFUNCTION("GOOGLETRANSLATE(C894,""fr"",""en"")"),"Simple and quick, on the other hand, add broken glass and reduce the excess
Costs well over 100€. otherwise good quality site and advisor
Very responsive.")</f>
        <v>Simple and quick, on the other hand, add broken glass and reduce the excess
Costs well over 100€. otherwise good quality site and advisor
Very responsive.</v>
      </c>
    </row>
    <row r="895" ht="15.75" customHeight="1">
      <c r="A895" s="2">
        <v>3.0</v>
      </c>
      <c r="B895" s="2" t="s">
        <v>2469</v>
      </c>
      <c r="C895" s="2" t="s">
        <v>2470</v>
      </c>
      <c r="D895" s="2" t="s">
        <v>13</v>
      </c>
      <c r="E895" s="2" t="s">
        <v>14</v>
      </c>
      <c r="F895" s="2" t="s">
        <v>15</v>
      </c>
      <c r="G895" s="2" t="s">
        <v>2471</v>
      </c>
      <c r="H895" s="2" t="s">
        <v>385</v>
      </c>
      <c r="I895" s="2" t="str">
        <f>IFERROR(__xludf.DUMMYFUNCTION("GOOGLETRANSLATE(C895,""fr"",""en"")"),"very good company. attentive staff, quick response. very responsive and above all efficient assistance. tire burst, car immobilized. troubleshoot 30MN later")</f>
        <v>very good company. attentive staff, quick response. very responsive and above all efficient assistance. tire burst, car immobilized. troubleshoot 30MN later</v>
      </c>
    </row>
    <row r="896" ht="15.75" customHeight="1">
      <c r="A896" s="2">
        <v>4.0</v>
      </c>
      <c r="B896" s="2" t="s">
        <v>2472</v>
      </c>
      <c r="C896" s="2" t="s">
        <v>2473</v>
      </c>
      <c r="D896" s="2" t="s">
        <v>530</v>
      </c>
      <c r="E896" s="2" t="s">
        <v>39</v>
      </c>
      <c r="F896" s="2" t="s">
        <v>15</v>
      </c>
      <c r="G896" s="2" t="s">
        <v>696</v>
      </c>
      <c r="H896" s="2" t="s">
        <v>111</v>
      </c>
      <c r="I896" s="2" t="str">
        <f>IFERROR(__xludf.DUMMYFUNCTION("GOOGLETRANSLATE(C896,""fr"",""en"")"),"I changed mutual insurance two years ago to subscribe to MGP. I got a lower premium price than I previously paid for similar health coverage.
Reimbursements are very quick after transmission by Social Security.")</f>
        <v>I changed mutual insurance two years ago to subscribe to MGP. I got a lower premium price than I previously paid for similar health coverage.
Reimbursements are very quick after transmission by Social Security.</v>
      </c>
    </row>
    <row r="897" ht="15.75" customHeight="1">
      <c r="A897" s="2">
        <v>2.0</v>
      </c>
      <c r="B897" s="2" t="s">
        <v>2474</v>
      </c>
      <c r="C897" s="2" t="s">
        <v>2475</v>
      </c>
      <c r="D897" s="2" t="s">
        <v>13</v>
      </c>
      <c r="E897" s="2" t="s">
        <v>129</v>
      </c>
      <c r="F897" s="2" t="s">
        <v>15</v>
      </c>
      <c r="G897" s="2" t="s">
        <v>2476</v>
      </c>
      <c r="H897" s="2" t="s">
        <v>994</v>
      </c>
      <c r="I897" s="2" t="str">
        <f>IFERROR(__xludf.DUMMYFUNCTION("GOOGLETRANSLATE(C897,""fr"",""en"")"),"Since 06/13 I have been trying to contact insurance directly by phone, email, whatsapp but I am told that all the lines are busy due to bad weather.
I have sent several emails via the website, sometimes I receive confirmation emails and sometimes nothing."&amp;"
When I receive confirmation emails that my messages have gone through, I am told that they will contact me within 24 hours but I have never been called back 10 days later.
Today I'm fed up, insurance is unreachable, I regret having subscribed to insura"&amp;"nce online, I was afraid of contacting anyone when I subscribed, my fear has just been confirmed.
I can't take it anymore, they are doing everything to ensure that I am not taken care of, for 2 weeks I have had no advisor who contacted me or responded de"&amp;"spite messages, emails and calls.
TO RUN!!!!!")</f>
        <v>Since 06/13 I have been trying to contact insurance directly by phone, email, whatsapp but I am told that all the lines are busy due to bad weather.
I have sent several emails via the website, sometimes I receive confirmation emails and sometimes nothing.
When I receive confirmation emails that my messages have gone through, I am told that they will contact me within 24 hours but I have never been called back 10 days later.
Today I'm fed up, insurance is unreachable, I regret having subscribed to insurance online, I was afraid of contacting anyone when I subscribed, my fear has just been confirmed.
I can't take it anymore, they are doing everything to ensure that I am not taken care of, for 2 weeks I have had no advisor who contacted me or responded despite messages, emails and calls.
TO RUN!!!!!</v>
      </c>
    </row>
    <row r="898" ht="15.75" customHeight="1">
      <c r="A898" s="2">
        <v>1.0</v>
      </c>
      <c r="B898" s="2" t="s">
        <v>2477</v>
      </c>
      <c r="C898" s="2" t="s">
        <v>2478</v>
      </c>
      <c r="D898" s="2" t="s">
        <v>80</v>
      </c>
      <c r="E898" s="2" t="s">
        <v>81</v>
      </c>
      <c r="F898" s="2" t="s">
        <v>15</v>
      </c>
      <c r="G898" s="2" t="s">
        <v>2479</v>
      </c>
      <c r="H898" s="2" t="s">
        <v>139</v>
      </c>
      <c r="I898" s="2" t="str">
        <f>IFERROR(__xludf.DUMMYFUNCTION("GOOGLETRANSLATE(C898,""fr"",""en"")"),"Insurance not serious, I sign contract with April Moto and until today I have not received my green card, there are always a few things missing and each time in 10 days, definitely not serious")</f>
        <v>Insurance not serious, I sign contract with April Moto and until today I have not received my green card, there are always a few things missing and each time in 10 days, definitely not serious</v>
      </c>
    </row>
    <row r="899" ht="15.75" customHeight="1">
      <c r="A899" s="2">
        <v>1.0</v>
      </c>
      <c r="B899" s="2" t="s">
        <v>2480</v>
      </c>
      <c r="C899" s="2" t="s">
        <v>2481</v>
      </c>
      <c r="D899" s="2" t="s">
        <v>38</v>
      </c>
      <c r="E899" s="2" t="s">
        <v>39</v>
      </c>
      <c r="F899" s="2" t="s">
        <v>15</v>
      </c>
      <c r="G899" s="2" t="s">
        <v>477</v>
      </c>
      <c r="H899" s="2" t="s">
        <v>46</v>
      </c>
      <c r="I899" s="2" t="str">
        <f>IFERROR(__xludf.DUMMYFUNCTION("GOOGLETRANSLATE(C899,""fr"",""en"")"),"Refunds are non-existent 
Fortunately there is social security 
I do not recommend this mutual 
I am in category 3 and for more than 2000 euros per year that is what we pay it is better not to insure 
I barely had €500 reimbursed in the year for me and my"&amp;" wife.
Mutual insurance companies make money on the backs of policyholders, which is why there are so many of them!
")</f>
        <v>Refunds are non-existent 
Fortunately there is social security 
I do not recommend this mutual 
I am in category 3 and for more than 2000 euros per year that is what we pay it is better not to insure 
I barely had €500 reimbursed in the year for me and my wife.
Mutual insurance companies make money on the backs of policyholders, which is why there are so many of them!
</v>
      </c>
    </row>
    <row r="900" ht="15.75" customHeight="1">
      <c r="A900" s="2">
        <v>1.0</v>
      </c>
      <c r="B900" s="2" t="s">
        <v>2482</v>
      </c>
      <c r="C900" s="2" t="s">
        <v>2483</v>
      </c>
      <c r="D900" s="2" t="s">
        <v>13</v>
      </c>
      <c r="E900" s="2" t="s">
        <v>129</v>
      </c>
      <c r="F900" s="2" t="s">
        <v>15</v>
      </c>
      <c r="G900" s="2" t="s">
        <v>633</v>
      </c>
      <c r="H900" s="2" t="s">
        <v>634</v>
      </c>
      <c r="I900" s="2" t="str">
        <f>IFERROR(__xludf.DUMMYFUNCTION("GOOGLETRANSLATE(C900,""fr"",""en"")"),"Following the sending of 2 registered termination requests, they did not take one of them into account and I had to pay insurance for an apartment that I no longer lived in for the year.
I had already insured the new one and now they have terminated my co"&amp;"ntract for lack of payment in January (without any warning!) However I still have to pay the contribution for the year 2020! No way to resolve the problem amicably with their customer service based in North Africa.
TO AVOID AT ALL COSTS!")</f>
        <v>Following the sending of 2 registered termination requests, they did not take one of them into account and I had to pay insurance for an apartment that I no longer lived in for the year.
I had already insured the new one and now they have terminated my contract for lack of payment in January (without any warning!) However I still have to pay the contribution for the year 2020! No way to resolve the problem amicably with their customer service based in North Africa.
TO AVOID AT ALL COSTS!</v>
      </c>
    </row>
    <row r="901" ht="15.75" customHeight="1">
      <c r="A901" s="2">
        <v>5.0</v>
      </c>
      <c r="B901" s="2" t="s">
        <v>2484</v>
      </c>
      <c r="C901" s="2" t="s">
        <v>2485</v>
      </c>
      <c r="D901" s="2" t="s">
        <v>80</v>
      </c>
      <c r="E901" s="2" t="s">
        <v>81</v>
      </c>
      <c r="F901" s="2" t="s">
        <v>15</v>
      </c>
      <c r="G901" s="2" t="s">
        <v>2127</v>
      </c>
      <c r="H901" s="2" t="s">
        <v>46</v>
      </c>
      <c r="I901" s="2" t="str">
        <f>IFERROR(__xludf.DUMMYFUNCTION("GOOGLETRANSLATE(C901,""fr"",""en"")"),"I am satisfied with the service the prices suit me I will be delighted to tell my friends about it And explain to them that this insurance is one of the easiest I have seen on the Internet I thank you for your professionalism")</f>
        <v>I am satisfied with the service the prices suit me I will be delighted to tell my friends about it And explain to them that this insurance is one of the easiest I have seen on the Internet I thank you for your professionalism</v>
      </c>
    </row>
    <row r="902" ht="15.75" customHeight="1">
      <c r="A902" s="2">
        <v>4.0</v>
      </c>
      <c r="B902" s="2" t="s">
        <v>2486</v>
      </c>
      <c r="C902" s="2" t="s">
        <v>2487</v>
      </c>
      <c r="D902" s="2" t="s">
        <v>80</v>
      </c>
      <c r="E902" s="2" t="s">
        <v>81</v>
      </c>
      <c r="F902" s="2" t="s">
        <v>15</v>
      </c>
      <c r="G902" s="2" t="s">
        <v>251</v>
      </c>
      <c r="H902" s="2" t="s">
        <v>83</v>
      </c>
      <c r="I902" s="2" t="str">
        <f>IFERROR(__xludf.DUMMYFUNCTION("GOOGLETRANSLATE(C902,""fr"",""en"")"),"Fast, effective, inexpensive, let's see what it gives in the future in terms of insurance
Knowing that I will soon be moving too I will see if the procedures are simple or not")</f>
        <v>Fast, effective, inexpensive, let's see what it gives in the future in terms of insurance
Knowing that I will soon be moving too I will see if the procedures are simple or not</v>
      </c>
    </row>
    <row r="903" ht="15.75" customHeight="1">
      <c r="A903" s="2">
        <v>3.0</v>
      </c>
      <c r="B903" s="2" t="s">
        <v>2488</v>
      </c>
      <c r="C903" s="2" t="s">
        <v>2489</v>
      </c>
      <c r="D903" s="2" t="s">
        <v>254</v>
      </c>
      <c r="E903" s="2" t="s">
        <v>14</v>
      </c>
      <c r="F903" s="2" t="s">
        <v>15</v>
      </c>
      <c r="G903" s="2" t="s">
        <v>1230</v>
      </c>
      <c r="H903" s="2" t="s">
        <v>21</v>
      </c>
      <c r="I903" s="2" t="str">
        <f>IFERROR(__xludf.DUMMYFUNCTION("GOOGLETRANSLATE(C903,""fr"",""en"")"),"I have a Comprehensive Vehicle policy for a car, and a Multi-Risk Home policy for my main home in 92 and a vacation apartment in Cannes.
This insurance is expensive but serious
I don't drive much and I regret that the price paid doesn't take this into acc"&amp;"ount ")</f>
        <v>I have a Comprehensive Vehicle policy for a car, and a Multi-Risk Home policy for my main home in 92 and a vacation apartment in Cannes.
This insurance is expensive but serious
I don't drive much and I regret that the price paid doesn't take this into account </v>
      </c>
    </row>
    <row r="904" ht="15.75" customHeight="1">
      <c r="A904" s="2">
        <v>2.0</v>
      </c>
      <c r="B904" s="2" t="s">
        <v>2490</v>
      </c>
      <c r="C904" s="2" t="s">
        <v>2491</v>
      </c>
      <c r="D904" s="2" t="s">
        <v>875</v>
      </c>
      <c r="E904" s="2" t="s">
        <v>50</v>
      </c>
      <c r="F904" s="2" t="s">
        <v>15</v>
      </c>
      <c r="G904" s="2" t="s">
        <v>620</v>
      </c>
      <c r="H904" s="2" t="s">
        <v>17</v>
      </c>
      <c r="I904" s="2" t="str">
        <f>IFERROR(__xludf.DUMMYFUNCTION("GOOGLETRANSLATE(C904,""fr"",""en"")"),"Excellent initial contact, I was sold a dream and above all lies! When I needed to be reimbursed for part of the treatment costs for my dog, there was a waiting period for this, a refusal for that and I was not reimbursed for anything.
RUN THEM")</f>
        <v>Excellent initial contact, I was sold a dream and above all lies! When I needed to be reimbursed for part of the treatment costs for my dog, there was a waiting period for this, a refusal for that and I was not reimbursed for anything.
RUN THEM</v>
      </c>
    </row>
    <row r="905" ht="15.75" customHeight="1">
      <c r="A905" s="2">
        <v>1.0</v>
      </c>
      <c r="B905" s="2" t="s">
        <v>2492</v>
      </c>
      <c r="C905" s="2" t="s">
        <v>2493</v>
      </c>
      <c r="D905" s="2" t="s">
        <v>89</v>
      </c>
      <c r="E905" s="2" t="s">
        <v>39</v>
      </c>
      <c r="F905" s="2" t="s">
        <v>15</v>
      </c>
      <c r="G905" s="2" t="s">
        <v>2494</v>
      </c>
      <c r="H905" s="2" t="s">
        <v>228</v>
      </c>
      <c r="I905" s="2" t="str">
        <f>IFERROR(__xludf.DUMMYFUNCTION("GOOGLETRANSLATE(C905,""fr"",""en"")"),"I strongly advise against AFI.
I signed a complementary health insurance (hospitalization) at the end of February 2018. Electronic signature 03/01/2018.
The advisor then tells me that there is a one-month waiting period and that the insurance will take ef"&amp;"fect on 04/1/2018.
I was hospitalized one day (04/26 to 04/27).
The hospital center sent me a letter telling me that the insurance refused to cover this hospitalization because I was in the waiting period.
The month of March is not taken into account and "&amp;"the month of April is taken into account. So I paid 1 month for nothing 
Thank you AFI 
")</f>
        <v>I strongly advise against AFI.
I signed a complementary health insurance (hospitalization) at the end of February 2018. Electronic signature 03/01/2018.
The advisor then tells me that there is a one-month waiting period and that the insurance will take effect on 04/1/2018.
I was hospitalized one day (04/26 to 04/27).
The hospital center sent me a letter telling me that the insurance refused to cover this hospitalization because I was in the waiting period.
The month of March is not taken into account and the month of April is taken into account. So I paid 1 month for nothing 
Thank you AFI 
</v>
      </c>
    </row>
    <row r="906" ht="15.75" customHeight="1">
      <c r="A906" s="2">
        <v>4.0</v>
      </c>
      <c r="B906" s="2" t="s">
        <v>2495</v>
      </c>
      <c r="C906" s="2" t="s">
        <v>2496</v>
      </c>
      <c r="D906" s="2" t="s">
        <v>13</v>
      </c>
      <c r="E906" s="2" t="s">
        <v>14</v>
      </c>
      <c r="F906" s="2" t="s">
        <v>15</v>
      </c>
      <c r="G906" s="2" t="s">
        <v>1016</v>
      </c>
      <c r="H906" s="2" t="s">
        <v>30</v>
      </c>
      <c r="I906" s="2" t="str">
        <f>IFERROR(__xludf.DUMMYFUNCTION("GOOGLETRANSLATE(C906,""fr"",""en"")"),"Satisfied with your services.
Ready to recommend them.
I have already completed this document once, it is not very difficult for me to do it again.
Wishing you good reception")</f>
        <v>Satisfied with your services.
Ready to recommend them.
I have already completed this document once, it is not very difficult for me to do it again.
Wishing you good reception</v>
      </c>
    </row>
    <row r="907" ht="15.75" customHeight="1">
      <c r="A907" s="2">
        <v>3.0</v>
      </c>
      <c r="B907" s="2" t="s">
        <v>2497</v>
      </c>
      <c r="C907" s="2" t="s">
        <v>2498</v>
      </c>
      <c r="D907" s="2" t="s">
        <v>28</v>
      </c>
      <c r="E907" s="2" t="s">
        <v>14</v>
      </c>
      <c r="F907" s="2" t="s">
        <v>15</v>
      </c>
      <c r="G907" s="2" t="s">
        <v>985</v>
      </c>
      <c r="H907" s="2" t="s">
        <v>21</v>
      </c>
      <c r="I907" s="2" t="str">
        <f>IFERROR(__xludf.DUMMYFUNCTION("GOOGLETRANSLATE(C907,""fr"",""en"")"),"Satisfied with the opening of the file but high transfer costs 183 euros for a deadline of 65 euros it's hard if the possibility of having a refund would be welcome ")</f>
        <v>Satisfied with the opening of the file but high transfer costs 183 euros for a deadline of 65 euros it's hard if the possibility of having a refund would be welcome </v>
      </c>
    </row>
    <row r="908" ht="15.75" customHeight="1">
      <c r="A908" s="2">
        <v>3.0</v>
      </c>
      <c r="B908" s="2" t="s">
        <v>2499</v>
      </c>
      <c r="C908" s="2" t="s">
        <v>2500</v>
      </c>
      <c r="D908" s="2" t="s">
        <v>13</v>
      </c>
      <c r="E908" s="2" t="s">
        <v>14</v>
      </c>
      <c r="F908" s="2" t="s">
        <v>15</v>
      </c>
      <c r="G908" s="2" t="s">
        <v>1536</v>
      </c>
      <c r="H908" s="2" t="s">
        <v>83</v>
      </c>
      <c r="I908" s="2" t="str">
        <f>IFERROR(__xludf.DUMMYFUNCTION("GOOGLETRANSLATE(C908,""fr"",""en"")"),"Complicated to finalize the contract
we receive an email without explanation
good customer service on the phone
correct prices
nothing more...")</f>
        <v>Complicated to finalize the contract
we receive an email without explanation
good customer service on the phone
correct prices
nothing more...</v>
      </c>
    </row>
    <row r="909" ht="15.75" customHeight="1">
      <c r="A909" s="2">
        <v>4.0</v>
      </c>
      <c r="B909" s="2" t="s">
        <v>2501</v>
      </c>
      <c r="C909" s="2" t="s">
        <v>2502</v>
      </c>
      <c r="D909" s="2" t="s">
        <v>13</v>
      </c>
      <c r="E909" s="2" t="s">
        <v>14</v>
      </c>
      <c r="F909" s="2" t="s">
        <v>15</v>
      </c>
      <c r="G909" s="2" t="s">
        <v>1162</v>
      </c>
      <c r="H909" s="2" t="s">
        <v>71</v>
      </c>
      <c r="I909" s="2" t="str">
        <f>IFERROR(__xludf.DUMMYFUNCTION("GOOGLETRANSLATE(C909,""fr"",""en"")"),"super responsive contact services. Good support. very fast.
Online subscription request made with a person on chat.
Very good customer service I recommend")</f>
        <v>super responsive contact services. Good support. very fast.
Online subscription request made with a person on chat.
Very good customer service I recommend</v>
      </c>
    </row>
    <row r="910" ht="15.75" customHeight="1">
      <c r="A910" s="2">
        <v>4.0</v>
      </c>
      <c r="B910" s="2" t="s">
        <v>2503</v>
      </c>
      <c r="C910" s="2" t="s">
        <v>2504</v>
      </c>
      <c r="D910" s="2" t="s">
        <v>13</v>
      </c>
      <c r="E910" s="2" t="s">
        <v>14</v>
      </c>
      <c r="F910" s="2" t="s">
        <v>15</v>
      </c>
      <c r="G910" s="2" t="s">
        <v>82</v>
      </c>
      <c r="H910" s="2" t="s">
        <v>83</v>
      </c>
      <c r="I910" s="2" t="str">
        <f>IFERROR(__xludf.DUMMYFUNCTION("GOOGLETRANSLATE(C910,""fr"",""en"")"),"Very simple and intuitive when registering on the site. affordable prices and everything is clear. To see in the long term but for the moment it is starting very well.")</f>
        <v>Very simple and intuitive when registering on the site. affordable prices and everything is clear. To see in the long term but for the moment it is starting very well.</v>
      </c>
    </row>
    <row r="911" ht="15.75" customHeight="1">
      <c r="A911" s="2">
        <v>1.0</v>
      </c>
      <c r="B911" s="2" t="s">
        <v>2505</v>
      </c>
      <c r="C911" s="2" t="s">
        <v>2506</v>
      </c>
      <c r="D911" s="2" t="s">
        <v>190</v>
      </c>
      <c r="E911" s="2" t="s">
        <v>129</v>
      </c>
      <c r="F911" s="2" t="s">
        <v>15</v>
      </c>
      <c r="G911" s="2" t="s">
        <v>2507</v>
      </c>
      <c r="H911" s="2" t="s">
        <v>448</v>
      </c>
      <c r="I911" s="2" t="str">
        <f>IFERROR(__xludf.DUMMYFUNCTION("GOOGLETRANSLATE(C911,""fr"",""en"")"),"gmf!! apart from telling us ""your claim cannot be covered"" and increasing the contribution from 10.1 to 15.3% each year, what are you for, in fact?
All these assurances form a very opaque bubble, made up of unreachable individuals trained to manipulate"&amp;" you and force you to abandon the process. Avoid without hesitation, GMF in the lead!")</f>
        <v>gmf!! apart from telling us "your claim cannot be covered" and increasing the contribution from 10.1 to 15.3% each year, what are you for, in fact?
All these assurances form a very opaque bubble, made up of unreachable individuals trained to manipulate you and force you to abandon the process. Avoid without hesitation, GMF in the lead!</v>
      </c>
    </row>
    <row r="912" ht="15.75" customHeight="1">
      <c r="A912" s="2">
        <v>5.0</v>
      </c>
      <c r="B912" s="2" t="s">
        <v>2508</v>
      </c>
      <c r="C912" s="2" t="s">
        <v>2509</v>
      </c>
      <c r="D912" s="2" t="s">
        <v>197</v>
      </c>
      <c r="E912" s="2" t="s">
        <v>81</v>
      </c>
      <c r="F912" s="2" t="s">
        <v>15</v>
      </c>
      <c r="G912" s="2" t="s">
        <v>456</v>
      </c>
      <c r="H912" s="2" t="s">
        <v>111</v>
      </c>
      <c r="I912" s="2" t="str">
        <f>IFERROR(__xludf.DUMMYFUNCTION("GOOGLETRANSLATE(C912,""fr"",""en"")"),"SIMPLE TO USE AND PLEASANT EASY AND WELL EXPLAINED FOLLOWING THE TELEPHONE EXPLANATION I HOPE TO RECEIVE MY ROAD INSURANCE DRIVE IN COMPLETE SAFETY ")</f>
        <v>SIMPLE TO USE AND PLEASANT EASY AND WELL EXPLAINED FOLLOWING THE TELEPHONE EXPLANATION I HOPE TO RECEIVE MY ROAD INSURANCE DRIVE IN COMPLETE SAFETY </v>
      </c>
    </row>
    <row r="913" ht="15.75" customHeight="1">
      <c r="A913" s="2">
        <v>4.0</v>
      </c>
      <c r="B913" s="2" t="s">
        <v>2510</v>
      </c>
      <c r="C913" s="2" t="s">
        <v>2511</v>
      </c>
      <c r="D913" s="2" t="s">
        <v>28</v>
      </c>
      <c r="E913" s="2" t="s">
        <v>14</v>
      </c>
      <c r="F913" s="2" t="s">
        <v>15</v>
      </c>
      <c r="G913" s="2" t="s">
        <v>307</v>
      </c>
      <c r="H913" s="2" t="s">
        <v>71</v>
      </c>
      <c r="I913" s="2" t="str">
        <f>IFERROR(__xludf.DUMMYFUNCTION("GOOGLETRANSLATE(C913,""fr"",""en"")"),"The site is well done, the telephone service left a pleasant impression,
the prices are not the lowest, but do not exceed the competition,
 we will see in the long run... ")</f>
        <v>The site is well done, the telephone service left a pleasant impression,
the prices are not the lowest, but do not exceed the competition,
 we will see in the long run... </v>
      </c>
    </row>
    <row r="914" ht="15.75" customHeight="1">
      <c r="A914" s="2">
        <v>3.0</v>
      </c>
      <c r="B914" s="2" t="s">
        <v>2512</v>
      </c>
      <c r="C914" s="2" t="s">
        <v>2513</v>
      </c>
      <c r="D914" s="2" t="s">
        <v>664</v>
      </c>
      <c r="E914" s="2" t="s">
        <v>39</v>
      </c>
      <c r="F914" s="2" t="s">
        <v>15</v>
      </c>
      <c r="G914" s="2" t="s">
        <v>513</v>
      </c>
      <c r="H914" s="2" t="s">
        <v>381</v>
      </c>
      <c r="I914" s="2" t="str">
        <f>IFERROR(__xludf.DUMMYFUNCTION("GOOGLETRANSLATE(C914,""fr"",""en"")"),"I called customer service for a small problem, I found Sami very professional and efficient, he helped me very well, I am very satisfied with the service in general and with Sami in particular ")</f>
        <v>I called customer service for a small problem, I found Sami very professional and efficient, he helped me very well, I am very satisfied with the service in general and with Sami in particular </v>
      </c>
    </row>
    <row r="915" ht="15.75" customHeight="1">
      <c r="A915" s="2">
        <v>5.0</v>
      </c>
      <c r="B915" s="2" t="s">
        <v>2514</v>
      </c>
      <c r="C915" s="2" t="s">
        <v>2515</v>
      </c>
      <c r="D915" s="2" t="s">
        <v>13</v>
      </c>
      <c r="E915" s="2" t="s">
        <v>14</v>
      </c>
      <c r="F915" s="2" t="s">
        <v>15</v>
      </c>
      <c r="G915" s="2" t="s">
        <v>1488</v>
      </c>
      <c r="H915" s="2" t="s">
        <v>25</v>
      </c>
      <c r="I915" s="2" t="str">
        <f>IFERROR(__xludf.DUMMYFUNCTION("GOOGLETRANSLATE(C915,""fr"",""en"")"),"the advisor was very friendly on the phone, reasonable price and certificate received quickly!
I am satisfied and will happily recommend your insurance.")</f>
        <v>the advisor was very friendly on the phone, reasonable price and certificate received quickly!
I am satisfied and will happily recommend your insurance.</v>
      </c>
    </row>
    <row r="916" ht="15.75" customHeight="1">
      <c r="A916" s="2">
        <v>5.0</v>
      </c>
      <c r="B916" s="2" t="s">
        <v>2516</v>
      </c>
      <c r="C916" s="2" t="s">
        <v>2517</v>
      </c>
      <c r="D916" s="2" t="s">
        <v>28</v>
      </c>
      <c r="E916" s="2" t="s">
        <v>14</v>
      </c>
      <c r="F916" s="2" t="s">
        <v>15</v>
      </c>
      <c r="G916" s="2" t="s">
        <v>1829</v>
      </c>
      <c r="H916" s="2" t="s">
        <v>83</v>
      </c>
      <c r="I916" s="2" t="str">
        <f>IFERROR(__xludf.DUMMYFUNCTION("GOOGLETRANSLATE(C916,""fr"",""en"")"),"Procedure Simple, quick and efficient automobile contract subscription, attractive price, thank you, cordially Mr Meunier Jean-Jacques, thank you to your team.  ")</f>
        <v>Procedure Simple, quick and efficient automobile contract subscription, attractive price, thank you, cordially Mr Meunier Jean-Jacques, thank you to your team.  </v>
      </c>
    </row>
    <row r="917" ht="15.75" customHeight="1">
      <c r="A917" s="2">
        <v>4.0</v>
      </c>
      <c r="B917" s="2" t="s">
        <v>2518</v>
      </c>
      <c r="C917" s="2" t="s">
        <v>2519</v>
      </c>
      <c r="D917" s="2" t="s">
        <v>1242</v>
      </c>
      <c r="E917" s="2" t="s">
        <v>129</v>
      </c>
      <c r="F917" s="2" t="s">
        <v>15</v>
      </c>
      <c r="G917" s="2" t="s">
        <v>2520</v>
      </c>
      <c r="H917" s="2" t="s">
        <v>1332</v>
      </c>
      <c r="I917" s="2" t="str">
        <f>IFERROR(__xludf.DUMMYFUNCTION("GOOGLETRANSLATE(C917,""fr"",""en"")"),"Very good insurance. Following a terrible storm. ")</f>
        <v>Very good insurance. Following a terrible storm. </v>
      </c>
    </row>
    <row r="918" ht="15.75" customHeight="1">
      <c r="A918" s="2">
        <v>5.0</v>
      </c>
      <c r="B918" s="2" t="s">
        <v>2521</v>
      </c>
      <c r="C918" s="2" t="s">
        <v>2522</v>
      </c>
      <c r="D918" s="2" t="s">
        <v>13</v>
      </c>
      <c r="E918" s="2" t="s">
        <v>14</v>
      </c>
      <c r="F918" s="2" t="s">
        <v>15</v>
      </c>
      <c r="G918" s="2" t="s">
        <v>70</v>
      </c>
      <c r="H918" s="2" t="s">
        <v>71</v>
      </c>
      <c r="I918" s="2" t="str">
        <f>IFERROR(__xludf.DUMMYFUNCTION("GOOGLETRANSLATE(C918,""fr"",""en"")"),"very satisfied with the price and the guarantees everything is fine 
provided that the service is up to par in the event of a problem 
the guarantees seem to be on point")</f>
        <v>very satisfied with the price and the guarantees everything is fine 
provided that the service is up to par in the event of a problem 
the guarantees seem to be on point</v>
      </c>
    </row>
    <row r="919" ht="15.75" customHeight="1">
      <c r="A919" s="2">
        <v>5.0</v>
      </c>
      <c r="B919" s="2" t="s">
        <v>2523</v>
      </c>
      <c r="C919" s="2" t="s">
        <v>2524</v>
      </c>
      <c r="D919" s="2" t="s">
        <v>28</v>
      </c>
      <c r="E919" s="2" t="s">
        <v>14</v>
      </c>
      <c r="F919" s="2" t="s">
        <v>15</v>
      </c>
      <c r="G919" s="2" t="s">
        <v>1716</v>
      </c>
      <c r="H919" s="2" t="s">
        <v>83</v>
      </c>
      <c r="I919" s="2" t="str">
        <f>IFERROR(__xludf.DUMMYFUNCTION("GOOGLETRANSLATE(C919,""fr"",""en"")"),"I am very satisfied with the price and the service I recommend this insurance to you they are at the top thank you very much to you Mr Caid Samir thank you very much ")</f>
        <v>I am very satisfied with the price and the service I recommend this insurance to you they are at the top thank you very much to you Mr Caid Samir thank you very much </v>
      </c>
    </row>
    <row r="920" ht="15.75" customHeight="1">
      <c r="A920" s="2">
        <v>3.0</v>
      </c>
      <c r="B920" s="2" t="s">
        <v>2525</v>
      </c>
      <c r="C920" s="2" t="s">
        <v>2526</v>
      </c>
      <c r="D920" s="2" t="s">
        <v>13</v>
      </c>
      <c r="E920" s="2" t="s">
        <v>14</v>
      </c>
      <c r="F920" s="2" t="s">
        <v>15</v>
      </c>
      <c r="G920" s="2" t="s">
        <v>194</v>
      </c>
      <c r="H920" s="2" t="s">
        <v>83</v>
      </c>
      <c r="I920" s="2" t="str">
        <f>IFERROR(__xludf.DUMMYFUNCTION("GOOGLETRANSLATE(C920,""fr"",""en"")"),"difficult to find an online advisor
the online process is simple and quick
competitive price but clear information
I don't know if by adding contracts we benefit from a reduction?")</f>
        <v>difficult to find an online advisor
the online process is simple and quick
competitive price but clear information
I don't know if by adding contracts we benefit from a reduction?</v>
      </c>
    </row>
    <row r="921" ht="15.75" customHeight="1">
      <c r="A921" s="2">
        <v>4.0</v>
      </c>
      <c r="B921" s="2" t="s">
        <v>2527</v>
      </c>
      <c r="C921" s="2" t="s">
        <v>2528</v>
      </c>
      <c r="D921" s="2" t="s">
        <v>530</v>
      </c>
      <c r="E921" s="2" t="s">
        <v>39</v>
      </c>
      <c r="F921" s="2" t="s">
        <v>15</v>
      </c>
      <c r="G921" s="2" t="s">
        <v>503</v>
      </c>
      <c r="H921" s="2" t="s">
        <v>108</v>
      </c>
      <c r="I921" s="2" t="str">
        <f>IFERROR(__xludf.DUMMYFUNCTION("GOOGLETRANSLATE(C921,""fr"",""en"")"),"Excellent welcome, always attentive whatever the request. Note the great professionalism of the staff always available. Relatively short telephone waiting time")</f>
        <v>Excellent welcome, always attentive whatever the request. Note the great professionalism of the staff always available. Relatively short telephone waiting time</v>
      </c>
    </row>
    <row r="922" ht="15.75" customHeight="1">
      <c r="A922" s="2">
        <v>4.0</v>
      </c>
      <c r="B922" s="2" t="s">
        <v>2529</v>
      </c>
      <c r="C922" s="2" t="s">
        <v>2530</v>
      </c>
      <c r="D922" s="2" t="s">
        <v>28</v>
      </c>
      <c r="E922" s="2" t="s">
        <v>14</v>
      </c>
      <c r="F922" s="2" t="s">
        <v>15</v>
      </c>
      <c r="G922" s="2" t="s">
        <v>790</v>
      </c>
      <c r="H922" s="2" t="s">
        <v>71</v>
      </c>
      <c r="I922" s="2" t="str">
        <f>IFERROR(__xludf.DUMMYFUNCTION("GOOGLETRANSLATE(C922,""fr"",""en"")"),"Satisfied with the service, prices remain high for young people 
but fast service all the same and despite this you remain the cheapest 
Sincerely ")</f>
        <v>Satisfied with the service, prices remain high for young people 
but fast service all the same and despite this you remain the cheapest 
Sincerely </v>
      </c>
    </row>
    <row r="923" ht="15.75" customHeight="1">
      <c r="A923" s="2">
        <v>3.0</v>
      </c>
      <c r="B923" s="2" t="s">
        <v>2531</v>
      </c>
      <c r="C923" s="2" t="s">
        <v>2532</v>
      </c>
      <c r="D923" s="2" t="s">
        <v>65</v>
      </c>
      <c r="E923" s="2" t="s">
        <v>14</v>
      </c>
      <c r="F923" s="2" t="s">
        <v>15</v>
      </c>
      <c r="G923" s="2" t="s">
        <v>70</v>
      </c>
      <c r="H923" s="2" t="s">
        <v>71</v>
      </c>
      <c r="I923" s="2" t="str">
        <f>IFERROR(__xludf.DUMMYFUNCTION("GOOGLETRANSLATE(C923,""fr"",""en"")"),"I had a grim start to February.
I am asking to be compensated directly to repair the vehicle myself. 
The initial report of expertise is 2000€, as I am an individual he compensates me on the basis of a second report of 1537€.
But in addition they remove t"&amp;"he VAT so 1537€ - 299€ franchise - the VAT he gives me 962€.
Look for the error, he pays less because I am private but he withholds VAT like a pro.
I just called them, should they keep me informed?...")</f>
        <v>I had a grim start to February.
I am asking to be compensated directly to repair the vehicle myself. 
The initial report of expertise is 2000€, as I am an individual he compensates me on the basis of a second report of 1537€.
But in addition they remove the VAT so 1537€ - 299€ franchise - the VAT he gives me 962€.
Look for the error, he pays less because I am private but he withholds VAT like a pro.
I just called them, should they keep me informed?...</v>
      </c>
    </row>
    <row r="924" ht="15.75" customHeight="1">
      <c r="A924" s="2">
        <v>5.0</v>
      </c>
      <c r="B924" s="2" t="s">
        <v>2533</v>
      </c>
      <c r="C924" s="2" t="s">
        <v>2534</v>
      </c>
      <c r="D924" s="2" t="s">
        <v>28</v>
      </c>
      <c r="E924" s="2" t="s">
        <v>14</v>
      </c>
      <c r="F924" s="2" t="s">
        <v>15</v>
      </c>
      <c r="G924" s="2" t="s">
        <v>760</v>
      </c>
      <c r="H924" s="2" t="s">
        <v>111</v>
      </c>
      <c r="I924" s="2" t="str">
        <f>IFERROR(__xludf.DUMMYFUNCTION("GOOGLETRANSLATE(C924,""fr"",""en"")"),"very responsive and easy via the website, the hot line responds quickly, and following several calls, I always deal with very pleasant people on the phone")</f>
        <v>very responsive and easy via the website, the hot line responds quickly, and following several calls, I always deal with very pleasant people on the phone</v>
      </c>
    </row>
    <row r="925" ht="15.75" customHeight="1">
      <c r="A925" s="2">
        <v>4.0</v>
      </c>
      <c r="B925" s="2" t="s">
        <v>2535</v>
      </c>
      <c r="C925" s="2" t="s">
        <v>2536</v>
      </c>
      <c r="D925" s="2" t="s">
        <v>13</v>
      </c>
      <c r="E925" s="2" t="s">
        <v>14</v>
      </c>
      <c r="F925" s="2" t="s">
        <v>15</v>
      </c>
      <c r="G925" s="2" t="s">
        <v>16</v>
      </c>
      <c r="H925" s="2" t="s">
        <v>17</v>
      </c>
      <c r="I925" s="2" t="str">
        <f>IFERROR(__xludf.DUMMYFUNCTION("GOOGLETRANSLATE(C925,""fr"",""en"")"),"I am very happy. and I will also add my second car. thank you for the quality of service that I expect to be up to date and in line with my expectations. ")</f>
        <v>I am very happy. and I will also add my second car. thank you for the quality of service that I expect to be up to date and in line with my expectations. </v>
      </c>
    </row>
    <row r="926" ht="15.75" customHeight="1">
      <c r="A926" s="2">
        <v>1.0</v>
      </c>
      <c r="B926" s="2" t="s">
        <v>2537</v>
      </c>
      <c r="C926" s="2" t="s">
        <v>2538</v>
      </c>
      <c r="D926" s="2" t="s">
        <v>28</v>
      </c>
      <c r="E926" s="2" t="s">
        <v>14</v>
      </c>
      <c r="F926" s="2" t="s">
        <v>15</v>
      </c>
      <c r="G926" s="2" t="s">
        <v>470</v>
      </c>
      <c r="H926" s="2" t="s">
        <v>30</v>
      </c>
      <c r="I926" s="2" t="str">
        <f>IFERROR(__xludf.DUMMYFUNCTION("GOOGLETRANSLATE(C926,""fr"",""en"")"),"Good insurance until the day something happens to you for my fire file which took place in January and it is June I still cannot cancel my contract therefore to be deducted every month because the expert does not have wrote his report. The advisors who te"&amp;"ll you that I will be reimbursed while the manager says the opposite. Frankly, insurance to avoid. ")</f>
        <v>Good insurance until the day something happens to you for my fire file which took place in January and it is June I still cannot cancel my contract therefore to be deducted every month because the expert does not have wrote his report. The advisors who tell you that I will be reimbursed while the manager says the opposite. Frankly, insurance to avoid. </v>
      </c>
    </row>
    <row r="927" ht="15.75" customHeight="1">
      <c r="A927" s="2">
        <v>1.0</v>
      </c>
      <c r="B927" s="2" t="s">
        <v>2539</v>
      </c>
      <c r="C927" s="2" t="s">
        <v>2540</v>
      </c>
      <c r="D927" s="2" t="s">
        <v>13</v>
      </c>
      <c r="E927" s="2" t="s">
        <v>14</v>
      </c>
      <c r="F927" s="2" t="s">
        <v>15</v>
      </c>
      <c r="G927" s="2" t="s">
        <v>1488</v>
      </c>
      <c r="H927" s="2" t="s">
        <v>25</v>
      </c>
      <c r="I927" s="2" t="str">
        <f>IFERROR(__xludf.DUMMYFUNCTION("GOOGLETRANSLATE(C927,""fr"",""en"")"),"I am charged an increase for an accident even though I am the victim of a driver. I have absolutely not been compensated since 08/28. Not effective Direct insurance... ")</f>
        <v>I am charged an increase for an accident even though I am the victim of a driver. I have absolutely not been compensated since 08/28. Not effective Direct insurance... </v>
      </c>
    </row>
    <row r="928" ht="15.75" customHeight="1">
      <c r="A928" s="2">
        <v>2.0</v>
      </c>
      <c r="B928" s="2" t="s">
        <v>2541</v>
      </c>
      <c r="C928" s="2" t="s">
        <v>2542</v>
      </c>
      <c r="D928" s="2" t="s">
        <v>28</v>
      </c>
      <c r="E928" s="2" t="s">
        <v>14</v>
      </c>
      <c r="F928" s="2" t="s">
        <v>15</v>
      </c>
      <c r="G928" s="2" t="s">
        <v>2543</v>
      </c>
      <c r="H928" s="2" t="s">
        <v>275</v>
      </c>
      <c r="I928" s="2" t="str">
        <f>IFERROR(__xludf.DUMMYFUNCTION("GOOGLETRANSLATE(C928,""fr"",""en"")"),"It's been 6 months since I took out my insurance contract and still no definitive green card. I see that the problem is that it recurs in this company...
Sending at least 7 emails and 5 calls and still nothing  
In the meantime, I insured other vehicles e"&amp;"lsewhere and received definitive green cards.
Contract number:
1080145834")</f>
        <v>It's been 6 months since I took out my insurance contract and still no definitive green card. I see that the problem is that it recurs in this company...
Sending at least 7 emails and 5 calls and still nothing  
In the meantime, I insured other vehicles elsewhere and received definitive green cards.
Contract number:
1080145834</v>
      </c>
    </row>
    <row r="929" ht="15.75" customHeight="1">
      <c r="A929" s="2">
        <v>1.0</v>
      </c>
      <c r="B929" s="2" t="s">
        <v>2544</v>
      </c>
      <c r="C929" s="2" t="s">
        <v>2545</v>
      </c>
      <c r="D929" s="2" t="s">
        <v>284</v>
      </c>
      <c r="E929" s="2" t="s">
        <v>81</v>
      </c>
      <c r="F929" s="2" t="s">
        <v>15</v>
      </c>
      <c r="G929" s="2" t="s">
        <v>292</v>
      </c>
      <c r="H929" s="2" t="s">
        <v>25</v>
      </c>
      <c r="I929" s="2" t="str">
        <f>IFERROR(__xludf.DUMMYFUNCTION("GOOGLETRANSLATE(C929,""fr"",""en"")"),"Absolutely disgusted upon receipt of my 2021 expiry notice, 18% increase while with covid we have done 2800 km less with 2 insured scooters. I had also sent a letter in the spring requesting a reduction in bonus corresponding to forced non-use of our scoo"&amp;"ters, my wife working in catering and no longer having work... I received a very uncourteous letter;
Obviously we don't care about the world at the mutual, increasing their rates in such a period by 18%   
I'm looking for another insurance right away but"&amp;" in my opinion they all agreed ")</f>
        <v>Absolutely disgusted upon receipt of my 2021 expiry notice, 18% increase while with covid we have done 2800 km less with 2 insured scooters. I had also sent a letter in the spring requesting a reduction in bonus corresponding to forced non-use of our scooters, my wife working in catering and no longer having work... I received a very uncourteous letter;
Obviously we don't care about the world at the mutual, increasing their rates in such a period by 18%   
I'm looking for another insurance right away but in my opinion they all agreed </v>
      </c>
    </row>
    <row r="930" ht="15.75" customHeight="1">
      <c r="A930" s="2">
        <v>4.0</v>
      </c>
      <c r="B930" s="2" t="s">
        <v>2546</v>
      </c>
      <c r="C930" s="2" t="s">
        <v>2547</v>
      </c>
      <c r="D930" s="2" t="s">
        <v>28</v>
      </c>
      <c r="E930" s="2" t="s">
        <v>14</v>
      </c>
      <c r="F930" s="2" t="s">
        <v>15</v>
      </c>
      <c r="G930" s="2" t="s">
        <v>1750</v>
      </c>
      <c r="H930" s="2" t="s">
        <v>21</v>
      </c>
      <c r="I930" s="2" t="str">
        <f>IFERROR(__xludf.DUMMYFUNCTION("GOOGLETRANSLATE(C930,""fr"",""en"")"),"Fast service, satisfactory coverage, simple and fast process. The customer reviews also reassured me a lot, this insurance seems serious")</f>
        <v>Fast service, satisfactory coverage, simple and fast process. The customer reviews also reassured me a lot, this insurance seems serious</v>
      </c>
    </row>
    <row r="931" ht="15.75" customHeight="1">
      <c r="A931" s="2">
        <v>1.0</v>
      </c>
      <c r="B931" s="2" t="s">
        <v>2548</v>
      </c>
      <c r="C931" s="2" t="s">
        <v>2549</v>
      </c>
      <c r="D931" s="2" t="s">
        <v>33</v>
      </c>
      <c r="E931" s="2" t="s">
        <v>129</v>
      </c>
      <c r="F931" s="2" t="s">
        <v>15</v>
      </c>
      <c r="G931" s="2" t="s">
        <v>1109</v>
      </c>
      <c r="H931" s="2" t="s">
        <v>30</v>
      </c>
      <c r="I931" s="2" t="str">
        <f>IFERROR(__xludf.DUMMYFUNCTION("GOOGLETRANSLATE(C931,""fr"",""en"")"),"To avoid, like all insurance, as soon as we have to compensate for a loss, it's a whole program, we're all simply being led by boat. Flood with firefighter intervention since 01/31/2021 and file still at the same point. The expert gives are agreement and "&amp;"as the estimate is too high for them he mandates another expert. Lamentable in the meantime the floor is all swollen the doors no longer close. When the deadlines are it is taken it is good but when it has to go the other way it's lamentable.")</f>
        <v>To avoid, like all insurance, as soon as we have to compensate for a loss, it's a whole program, we're all simply being led by boat. Flood with firefighter intervention since 01/31/2021 and file still at the same point. The expert gives are agreement and as the estimate is too high for them he mandates another expert. Lamentable in the meantime the floor is all swollen the doors no longer close. When the deadlines are it is taken it is good but when it has to go the other way it's lamentable.</v>
      </c>
    </row>
    <row r="932" ht="15.75" customHeight="1">
      <c r="A932" s="2">
        <v>4.0</v>
      </c>
      <c r="B932" s="2" t="s">
        <v>2550</v>
      </c>
      <c r="C932" s="2" t="s">
        <v>2551</v>
      </c>
      <c r="D932" s="2" t="s">
        <v>80</v>
      </c>
      <c r="E932" s="2" t="s">
        <v>81</v>
      </c>
      <c r="F932" s="2" t="s">
        <v>15</v>
      </c>
      <c r="G932" s="2" t="s">
        <v>1716</v>
      </c>
      <c r="H932" s="2" t="s">
        <v>83</v>
      </c>
      <c r="I932" s="2" t="str">
        <f>IFERROR(__xludf.DUMMYFUNCTION("GOOGLETRANSLATE(C932,""fr"",""en"")"),"I am satisfied with the services offered by April moto 
Their site is easy to access and use as well as the prices are correct and quotes are simple and quick.")</f>
        <v>I am satisfied with the services offered by April moto 
Their site is easy to access and use as well as the prices are correct and quotes are simple and quick.</v>
      </c>
    </row>
    <row r="933" ht="15.75" customHeight="1">
      <c r="A933" s="2">
        <v>2.0</v>
      </c>
      <c r="B933" s="2" t="s">
        <v>2552</v>
      </c>
      <c r="C933" s="2" t="s">
        <v>2553</v>
      </c>
      <c r="D933" s="2" t="s">
        <v>89</v>
      </c>
      <c r="E933" s="2" t="s">
        <v>39</v>
      </c>
      <c r="F933" s="2" t="s">
        <v>15</v>
      </c>
      <c r="G933" s="2" t="s">
        <v>164</v>
      </c>
      <c r="H933" s="2" t="s">
        <v>30</v>
      </c>
      <c r="I933" s="2" t="str">
        <f>IFERROR(__xludf.DUMMYFUNCTION("GOOGLETRANSLATE(C933,""fr"",""en"")"),"I absolutely do not recommend this insurance company. 
It is necessary to follow and verify all reimbursements and I have been asking for additional dental care for a month without success, nor even a sign of life to my numerous emails and letters, I am n"&amp;"ot talking about the phone calls, which are long and tedious , which of course remain unanswered. ")</f>
        <v>I absolutely do not recommend this insurance company. 
It is necessary to follow and verify all reimbursements and I have been asking for additional dental care for a month without success, nor even a sign of life to my numerous emails and letters, I am not talking about the phone calls, which are long and tedious , which of course remain unanswered. </v>
      </c>
    </row>
    <row r="934" ht="15.75" customHeight="1">
      <c r="A934" s="2">
        <v>1.0</v>
      </c>
      <c r="B934" s="2" t="s">
        <v>2554</v>
      </c>
      <c r="C934" s="2" t="s">
        <v>2555</v>
      </c>
      <c r="D934" s="2" t="s">
        <v>13</v>
      </c>
      <c r="E934" s="2" t="s">
        <v>14</v>
      </c>
      <c r="F934" s="2" t="s">
        <v>15</v>
      </c>
      <c r="G934" s="2" t="s">
        <v>2556</v>
      </c>
      <c r="H934" s="2" t="s">
        <v>374</v>
      </c>
      <c r="I934" s="2" t="str">
        <f>IFERROR(__xludf.DUMMYFUNCTION("GOOGLETRANSLATE(C934,""fr"",""en"")")," I have been with Direct Assurance for 3 years and this will be the last. I had to put one star because it's not possible to give zero.
I contacted Direct Assurance in order to switch to monthly payments and stop paying my insurance all at once. They incr"&amp;"eased my insurance by almost 200 euros for this, ok no problem I accept. But SURPRISE they still debited me for more than 1400 euros in one go without warning me, which put me in a monumental bind at my bank. So, they increase my insurance by 200 euros fo"&amp;"r a monthly payment which they do not make and when I call to have them reimburse me the difference on the monthly payment they tell me within 48 hours we will reimburse you. A week later still nothing... I call back that day and they tell me that I have "&amp;"to wait that they don't have a deadline to give me that I just have to be patient...
I can tell you that this year will be my last year with them. A SHAME ")</f>
        <v> I have been with Direct Assurance for 3 years and this will be the last. I had to put one star because it's not possible to give zero.
I contacted Direct Assurance in order to switch to monthly payments and stop paying my insurance all at once. They increased my insurance by almost 200 euros for this, ok no problem I accept. But SURPRISE they still debited me for more than 1400 euros in one go without warning me, which put me in a monumental bind at my bank. So, they increase my insurance by 200 euros for a monthly payment which they do not make and when I call to have them reimburse me the difference on the monthly payment they tell me within 48 hours we will reimburse you. A week later still nothing... I call back that day and they tell me that I have to wait that they don't have a deadline to give me that I just have to be patient...
I can tell you that this year will be my last year with them. A SHAME </v>
      </c>
    </row>
    <row r="935" ht="15.75" customHeight="1">
      <c r="A935" s="2">
        <v>1.0</v>
      </c>
      <c r="B935" s="2" t="s">
        <v>2557</v>
      </c>
      <c r="C935" s="2" t="s">
        <v>2558</v>
      </c>
      <c r="D935" s="2" t="s">
        <v>28</v>
      </c>
      <c r="E935" s="2" t="s">
        <v>14</v>
      </c>
      <c r="F935" s="2" t="s">
        <v>15</v>
      </c>
      <c r="G935" s="2" t="s">
        <v>2507</v>
      </c>
      <c r="H935" s="2" t="s">
        <v>448</v>
      </c>
      <c r="I935" s="2" t="str">
        <f>IFERROR(__xludf.DUMMYFUNCTION("GOOGLETRANSLATE(C935,""fr"",""en"")"),"This insurance practices harassment, you receive SMS reminders, EMAIL, Registered letter for a payment not made even though your contract has been duly terminated 1 month ago. He tries to take sums directly from your account that you don't even know what "&amp;"it amounts to!!! They charge you rejection fees even though you are no longer a customer of theirs and claim to have a software bug!!!
Distrust distrust if you cancel a contract with them you are not at the end of your surprises!!!")</f>
        <v>This insurance practices harassment, you receive SMS reminders, EMAIL, Registered letter for a payment not made even though your contract has been duly terminated 1 month ago. He tries to take sums directly from your account that you don't even know what it amounts to!!! They charge you rejection fees even though you are no longer a customer of theirs and claim to have a software bug!!!
Distrust distrust if you cancel a contract with them you are not at the end of your surprises!!!</v>
      </c>
    </row>
    <row r="936" ht="15.75" customHeight="1">
      <c r="A936" s="2">
        <v>2.0</v>
      </c>
      <c r="B936" s="2" t="s">
        <v>2559</v>
      </c>
      <c r="C936" s="2" t="s">
        <v>2560</v>
      </c>
      <c r="D936" s="2" t="s">
        <v>13</v>
      </c>
      <c r="E936" s="2" t="s">
        <v>14</v>
      </c>
      <c r="F936" s="2" t="s">
        <v>15</v>
      </c>
      <c r="G936" s="2" t="s">
        <v>1533</v>
      </c>
      <c r="H936" s="2" t="s">
        <v>248</v>
      </c>
      <c r="I936" s="2" t="str">
        <f>IFERROR(__xludf.DUMMYFUNCTION("GOOGLETRANSLATE(C936,""fr"",""en"")"),"
The advertising made by Direct Insurance for the towing of the vehicle in the event of a breakdown is very attractive except that you must not forget to take out the extended warranty for a breakdown starting O Kms from you and for the car loan. You stil"&amp;"l need to know this if when subscribing, this is not specified. In addition, there is a flat rate of 153 euros for towing. in the event of a vehicle breakdown, which is perhaps sufficient if the breakdown occurs in a city but largely insufficient if it ha"&amp;"ppens on a motorway, especially since highway repairs are regulated. And of course, the amount of this package is indicated in the special conditions at the end of the general conditions which no one reads, especially when you sign a contract online, and "&amp;"the person signing the contract is careful not to mention. 
It's scary if a disaster occurs to the home. 
")</f>
        <v>
The advertising made by Direct Insurance for the towing of the vehicle in the event of a breakdown is very attractive except that you must not forget to take out the extended warranty for a breakdown starting O Kms from you and for the car loan. You still need to know this if when subscribing, this is not specified. In addition, there is a flat rate of 153 euros for towing. in the event of a vehicle breakdown, which is perhaps sufficient if the breakdown occurs in a city but largely insufficient if it happens on a motorway, especially since highway repairs are regulated. And of course, the amount of this package is indicated in the special conditions at the end of the general conditions which no one reads, especially when you sign a contract online, and the person signing the contract is careful not to mention. 
It's scary if a disaster occurs to the home. 
</v>
      </c>
    </row>
    <row r="937" ht="15.75" customHeight="1">
      <c r="A937" s="2">
        <v>2.0</v>
      </c>
      <c r="B937" s="2" t="s">
        <v>2561</v>
      </c>
      <c r="C937" s="2" t="s">
        <v>2562</v>
      </c>
      <c r="D937" s="2" t="s">
        <v>65</v>
      </c>
      <c r="E937" s="2" t="s">
        <v>137</v>
      </c>
      <c r="F937" s="2" t="s">
        <v>15</v>
      </c>
      <c r="G937" s="2" t="s">
        <v>2282</v>
      </c>
      <c r="H937" s="2" t="s">
        <v>139</v>
      </c>
      <c r="I937" s="2" t="str">
        <f>IFERROR(__xludf.DUMMYFUNCTION("GOOGLETRANSLATE(C937,""fr"",""en"")"),"To flee!! They fear neither their customers nor justice! Above all, do not subscribe in the event of a disaster, they are unaware of it!!! When you report your illness they make you even sicker!!! Run away!")</f>
        <v>To flee!! They fear neither their customers nor justice! Above all, do not subscribe in the event of a disaster, they are unaware of it!!! When you report your illness they make you even sicker!!! Run away!</v>
      </c>
    </row>
    <row r="938" ht="15.75" customHeight="1">
      <c r="A938" s="2">
        <v>4.0</v>
      </c>
      <c r="B938" s="2" t="s">
        <v>2563</v>
      </c>
      <c r="C938" s="2" t="s">
        <v>2564</v>
      </c>
      <c r="D938" s="2" t="s">
        <v>28</v>
      </c>
      <c r="E938" s="2" t="s">
        <v>14</v>
      </c>
      <c r="F938" s="2" t="s">
        <v>15</v>
      </c>
      <c r="G938" s="2" t="s">
        <v>793</v>
      </c>
      <c r="H938" s="2" t="s">
        <v>111</v>
      </c>
      <c r="I938" s="2" t="str">
        <f>IFERROR(__xludf.DUMMYFUNCTION("GOOGLETRANSLATE(C938,""fr"",""en"")"),"VERY SATISFIED. FLUID AND CLEAR COMMUNICATION, ATTRACTIVE PRICE. THE PERSON I HAD ONLINE WAS VERY LISTENING AND VERY PROFESSIONAL. GREAT SERVICE ")</f>
        <v>VERY SATISFIED. FLUID AND CLEAR COMMUNICATION, ATTRACTIVE PRICE. THE PERSON I HAD ONLINE WAS VERY LISTENING AND VERY PROFESSIONAL. GREAT SERVICE </v>
      </c>
    </row>
    <row r="939" ht="15.75" customHeight="1">
      <c r="A939" s="2">
        <v>1.0</v>
      </c>
      <c r="B939" s="2" t="s">
        <v>2565</v>
      </c>
      <c r="C939" s="2" t="s">
        <v>2566</v>
      </c>
      <c r="D939" s="2" t="s">
        <v>254</v>
      </c>
      <c r="E939" s="2" t="s">
        <v>129</v>
      </c>
      <c r="F939" s="2" t="s">
        <v>15</v>
      </c>
      <c r="G939" s="2" t="s">
        <v>2567</v>
      </c>
      <c r="H939" s="2" t="s">
        <v>74</v>
      </c>
      <c r="I939" s="2" t="str">
        <f>IFERROR(__xludf.DUMMYFUNCTION("GOOGLETRANSLATE(C939,""fr"",""en"")"),"It is often said that insurance only seems expensive before the accident. With MAIF, it's the opposite: insurance only turns out to be expensive when you have a claim and you notice that the level of compensation is ridiculously low, after the ""customer "&amp;"service"" (at all levels ) and other in-house “experts” intervened.
An insurer campaigning above all for its image in marketing and advertising, MAIF would do better to focus on its members, who like me have remained clinging to the image of a prestigious"&amp;" distant past which unfortunately continues to deteriorate without this seems to affect managers and staff")</f>
        <v>It is often said that insurance only seems expensive before the accident. With MAIF, it's the opposite: insurance only turns out to be expensive when you have a claim and you notice that the level of compensation is ridiculously low, after the "customer service" (at all levels ) and other in-house “experts” intervened.
An insurer campaigning above all for its image in marketing and advertising, MAIF would do better to focus on its members, who like me have remained clinging to the image of a prestigious distant past which unfortunately continues to deteriorate without this seems to affect managers and staff</v>
      </c>
    </row>
    <row r="940" ht="15.75" customHeight="1">
      <c r="A940" s="2">
        <v>2.0</v>
      </c>
      <c r="B940" s="2" t="s">
        <v>2568</v>
      </c>
      <c r="C940" s="2" t="s">
        <v>2569</v>
      </c>
      <c r="D940" s="2" t="s">
        <v>303</v>
      </c>
      <c r="E940" s="2" t="s">
        <v>129</v>
      </c>
      <c r="F940" s="2" t="s">
        <v>15</v>
      </c>
      <c r="G940" s="2" t="s">
        <v>536</v>
      </c>
      <c r="H940" s="2" t="s">
        <v>248</v>
      </c>
      <c r="I940" s="2" t="str">
        <f>IFERROR(__xludf.DUMMYFUNCTION("GOOGLETRANSLATE(C940,""fr"",""en"")"),"Do not take the cover for damage to exterior pipes, having the level 2 contract, I had the pit clogged he wanted to send me an expert the next day but as a result no expert called me they are not serious  ")</f>
        <v>Do not take the cover for damage to exterior pipes, having the level 2 contract, I had the pit clogged he wanted to send me an expert the next day but as a result no expert called me they are not serious  </v>
      </c>
    </row>
    <row r="941" ht="15.75" customHeight="1">
      <c r="A941" s="2">
        <v>5.0</v>
      </c>
      <c r="B941" s="2" t="s">
        <v>2570</v>
      </c>
      <c r="C941" s="2" t="s">
        <v>2571</v>
      </c>
      <c r="D941" s="2" t="s">
        <v>13</v>
      </c>
      <c r="E941" s="2" t="s">
        <v>14</v>
      </c>
      <c r="F941" s="2" t="s">
        <v>15</v>
      </c>
      <c r="G941" s="2" t="s">
        <v>198</v>
      </c>
      <c r="H941" s="2" t="s">
        <v>83</v>
      </c>
      <c r="I941" s="2" t="str">
        <f>IFERROR(__xludf.DUMMYFUNCTION("GOOGLETRANSLATE(C941,""fr"",""en"")"),"I am satisfied with the services. thank you very much for the speed of action. The customer area is very practical for having all your contracts in one place and having a single contact. THANKS")</f>
        <v>I am satisfied with the services. thank you very much for the speed of action. The customer area is very practical for having all your contracts in one place and having a single contact. THANKS</v>
      </c>
    </row>
    <row r="942" ht="15.75" customHeight="1">
      <c r="A942" s="2">
        <v>5.0</v>
      </c>
      <c r="B942" s="2" t="s">
        <v>2572</v>
      </c>
      <c r="C942" s="2" t="s">
        <v>2573</v>
      </c>
      <c r="D942" s="2" t="s">
        <v>197</v>
      </c>
      <c r="E942" s="2" t="s">
        <v>81</v>
      </c>
      <c r="F942" s="2" t="s">
        <v>15</v>
      </c>
      <c r="G942" s="2" t="s">
        <v>191</v>
      </c>
      <c r="H942" s="2" t="s">
        <v>111</v>
      </c>
      <c r="I942" s="2" t="str">
        <f>IFERROR(__xludf.DUMMYFUNCTION("GOOGLETRANSLATE(C942,""fr"",""en"")"),"I am in the process of changing all my vehicles to put them with you how happy I am how I say it all the time it is better to pay your insurer than ask him for anything your rates are really interesting have a good trip")</f>
        <v>I am in the process of changing all my vehicles to put them with you how happy I am how I say it all the time it is better to pay your insurer than ask him for anything your rates are really interesting have a good trip</v>
      </c>
    </row>
    <row r="943" ht="15.75" customHeight="1">
      <c r="A943" s="2">
        <v>1.0</v>
      </c>
      <c r="B943" s="2" t="s">
        <v>2574</v>
      </c>
      <c r="C943" s="2" t="s">
        <v>2575</v>
      </c>
      <c r="D943" s="2" t="s">
        <v>38</v>
      </c>
      <c r="E943" s="2" t="s">
        <v>39</v>
      </c>
      <c r="F943" s="2" t="s">
        <v>15</v>
      </c>
      <c r="G943" s="2" t="s">
        <v>2127</v>
      </c>
      <c r="H943" s="2" t="s">
        <v>21</v>
      </c>
      <c r="I943" s="2" t="str">
        <f>IFERROR(__xludf.DUMMYFUNCTION("GOOGLETRANSLATE(C943,""fr"",""en"")"),"I was tricked by an advisor by telephone, she made me join NEOLIANE but I am not at all happy with their services...since May 7, 2021 I have been waiting for the reimbursement statements, it is impossible to open the personal space. Impossible to send the"&amp;"m by email the statements from my health insurance 
Since May, Neoliane has not yet set up the FLUX with AMELI and my fund.
On the other hand, what works well is the monthly direct debit!!!
I wait a year and I leave them WITHOUT REGRET! 
MUTUAL to avoid.."&amp;".
")</f>
        <v>I was tricked by an advisor by telephone, she made me join NEOLIANE but I am not at all happy with their services...since May 7, 2021 I have been waiting for the reimbursement statements, it is impossible to open the personal space. Impossible to send them by email the statements from my health insurance 
Since May, Neoliane has not yet set up the FLUX with AMELI and my fund.
On the other hand, what works well is the monthly direct debit!!!
I wait a year and I leave them WITHOUT REGRET! 
MUTUAL to avoid...
</v>
      </c>
    </row>
    <row r="944" ht="15.75" customHeight="1">
      <c r="A944" s="2">
        <v>4.0</v>
      </c>
      <c r="B944" s="2" t="s">
        <v>2576</v>
      </c>
      <c r="C944" s="2" t="s">
        <v>2577</v>
      </c>
      <c r="D944" s="2" t="s">
        <v>13</v>
      </c>
      <c r="E944" s="2" t="s">
        <v>14</v>
      </c>
      <c r="F944" s="2" t="s">
        <v>15</v>
      </c>
      <c r="G944" s="2" t="s">
        <v>2578</v>
      </c>
      <c r="H944" s="2" t="s">
        <v>17</v>
      </c>
      <c r="I944" s="2" t="str">
        <f>IFERROR(__xludf.DUMMYFUNCTION("GOOGLETRANSLATE(C944,""fr"",""en"")"),"Very good price, the cheapest of all the quotes to see over time if there will be no problems in the event of a breakdown or other I hope that everything goes well and I would surely insure my other vehicle ")</f>
        <v>Very good price, the cheapest of all the quotes to see over time if there will be no problems in the event of a breakdown or other I hope that everything goes well and I would surely insure my other vehicle </v>
      </c>
    </row>
    <row r="945" ht="15.75" customHeight="1">
      <c r="A945" s="2">
        <v>1.0</v>
      </c>
      <c r="B945" s="2" t="s">
        <v>2579</v>
      </c>
      <c r="C945" s="2" t="s">
        <v>2580</v>
      </c>
      <c r="D945" s="2" t="s">
        <v>128</v>
      </c>
      <c r="E945" s="2" t="s">
        <v>14</v>
      </c>
      <c r="F945" s="2" t="s">
        <v>15</v>
      </c>
      <c r="G945" s="2" t="s">
        <v>673</v>
      </c>
      <c r="H945" s="2" t="s">
        <v>111</v>
      </c>
      <c r="I945" s="2" t="str">
        <f>IFERROR(__xludf.DUMMYFUNCTION("GOOGLETRANSLATE(C945,""fr"",""en"")"),"A breakdown in 4 years. Abroad completely zero customer service, no response, no solution. After more than 3 hours of waiting without solution and more than 20 calls we had to manage on our own with repairs and a taxi at our expense. Completely useless se"&amp;"rvice we will file a complaint!! Attention 
I strongly advise against")</f>
        <v>A breakdown in 4 years. Abroad completely zero customer service, no response, no solution. After more than 3 hours of waiting without solution and more than 20 calls we had to manage on our own with repairs and a taxi at our expense. Completely useless service we will file a complaint!! Attention 
I strongly advise against</v>
      </c>
    </row>
    <row r="946" ht="15.75" customHeight="1">
      <c r="A946" s="2">
        <v>5.0</v>
      </c>
      <c r="B946" s="2" t="s">
        <v>2581</v>
      </c>
      <c r="C946" s="2" t="s">
        <v>2582</v>
      </c>
      <c r="D946" s="2" t="s">
        <v>13</v>
      </c>
      <c r="E946" s="2" t="s">
        <v>14</v>
      </c>
      <c r="F946" s="2" t="s">
        <v>15</v>
      </c>
      <c r="G946" s="2" t="s">
        <v>539</v>
      </c>
      <c r="H946" s="2" t="s">
        <v>25</v>
      </c>
      <c r="I946" s="2" t="str">
        <f>IFERROR(__xludf.DUMMYFUNCTION("GOOGLETRANSLATE(C946,""fr"",""en"")"),"I am delighted with your service the price very good I hope to stay with you for a long time
")</f>
        <v>I am delighted with your service the price very good I hope to stay with you for a long time
</v>
      </c>
    </row>
    <row r="947" ht="15.75" customHeight="1">
      <c r="A947" s="2">
        <v>5.0</v>
      </c>
      <c r="B947" s="2" t="s">
        <v>2583</v>
      </c>
      <c r="C947" s="2" t="s">
        <v>2584</v>
      </c>
      <c r="D947" s="2" t="s">
        <v>28</v>
      </c>
      <c r="E947" s="2" t="s">
        <v>14</v>
      </c>
      <c r="F947" s="2" t="s">
        <v>15</v>
      </c>
      <c r="G947" s="2" t="s">
        <v>459</v>
      </c>
      <c r="H947" s="2" t="s">
        <v>25</v>
      </c>
      <c r="I947" s="2" t="str">
        <f>IFERROR(__xludf.DUMMYFUNCTION("GOOGLETRANSLATE(C947,""fr"",""en"")"),"Hello, it's quite simple, I compared several insurers and I didn't find any cheaper with such a level of guarantees, I strongly recommend Olivier Assurance, one of the rare insurers whose TV advertising is not lying!")</f>
        <v>Hello, it's quite simple, I compared several insurers and I didn't find any cheaper with such a level of guarantees, I strongly recommend Olivier Assurance, one of the rare insurers whose TV advertising is not lying!</v>
      </c>
    </row>
    <row r="948" ht="15.75" customHeight="1">
      <c r="A948" s="2">
        <v>5.0</v>
      </c>
      <c r="B948" s="2" t="s">
        <v>2585</v>
      </c>
      <c r="C948" s="2" t="s">
        <v>2586</v>
      </c>
      <c r="D948" s="2" t="s">
        <v>13</v>
      </c>
      <c r="E948" s="2" t="s">
        <v>14</v>
      </c>
      <c r="F948" s="2" t="s">
        <v>15</v>
      </c>
      <c r="G948" s="2" t="s">
        <v>2587</v>
      </c>
      <c r="H948" s="2" t="s">
        <v>125</v>
      </c>
      <c r="I948" s="2" t="str">
        <f>IFERROR(__xludf.DUMMYFUNCTION("GOOGLETRANSLATE(C948,""fr"",""en"")"),"Highly recommend. Simple and quick registration, attentive and competent advisors and best value for money. So what are you waiting for? Switch to Direct Assurance!")</f>
        <v>Highly recommend. Simple and quick registration, attentive and competent advisors and best value for money. So what are you waiting for? Switch to Direct Assurance!</v>
      </c>
    </row>
    <row r="949" ht="15.75" customHeight="1">
      <c r="A949" s="2">
        <v>1.0</v>
      </c>
      <c r="B949" s="2" t="s">
        <v>2588</v>
      </c>
      <c r="C949" s="2" t="s">
        <v>2589</v>
      </c>
      <c r="D949" s="2" t="s">
        <v>1008</v>
      </c>
      <c r="E949" s="2" t="s">
        <v>101</v>
      </c>
      <c r="F949" s="2" t="s">
        <v>15</v>
      </c>
      <c r="G949" s="2" t="s">
        <v>71</v>
      </c>
      <c r="H949" s="2" t="s">
        <v>71</v>
      </c>
      <c r="I949" s="2" t="str">
        <f>IFERROR(__xludf.DUMMYFUNCTION("GOOGLETRANSLATE(C949,""fr"",""en"")"),"I cannot contact a competent person to cancel my direct debit even though I have not asked for anything.
The counselor hung up on me.
A shame ")</f>
        <v>I cannot contact a competent person to cancel my direct debit even though I have not asked for anything.
The counselor hung up on me.
A shame </v>
      </c>
    </row>
    <row r="950" ht="15.75" customHeight="1">
      <c r="A950" s="2">
        <v>2.0</v>
      </c>
      <c r="B950" s="2" t="s">
        <v>2590</v>
      </c>
      <c r="C950" s="2" t="s">
        <v>2591</v>
      </c>
      <c r="D950" s="2" t="s">
        <v>120</v>
      </c>
      <c r="E950" s="2" t="s">
        <v>61</v>
      </c>
      <c r="F950" s="2" t="s">
        <v>15</v>
      </c>
      <c r="G950" s="2" t="s">
        <v>289</v>
      </c>
      <c r="H950" s="2" t="s">
        <v>30</v>
      </c>
      <c r="I950" s="2" t="str">
        <f>IFERROR(__xludf.DUMMYFUNCTION("GOOGLETRANSLATE(C950,""fr"",""en"")"),"Good morning,
My wife and I have two multi-support contracts with AFER opened in 1995. Until recent years we had been satisfied and had opened accounts for our children and grandchildren. With the current difficulties in obtaining good management of our m"&amp;"emberships as in the past, we regret our sponsorships. We have a dedicated advisor who also seems to be experiencing the current dysfunctions.
In fact, we had advances on two accounts and were planning to make payments to repay them. We were required to m"&amp;"ake them by check and reimburse in full, but the rules for advances specify that we can reimburse partially by check, transfer or payment. I asked the question in writing by having the correct procedure and again blocked by the advisor. This has been goin"&amp;"g on for 1 month (the funds have been paid) and the server, contrary to what is said, does not respond and refers to an advisor....it's lamentable. It is not enough to parade before the political authorities to be effective. I would like to contact the Me"&amp;"diator but I am looking for his contact details on the site. I am helpless and furious....")</f>
        <v>Good morning,
My wife and I have two multi-support contracts with AFER opened in 1995. Until recent years we had been satisfied and had opened accounts for our children and grandchildren. With the current difficulties in obtaining good management of our memberships as in the past, we regret our sponsorships. We have a dedicated advisor who also seems to be experiencing the current dysfunctions.
In fact, we had advances on two accounts and were planning to make payments to repay them. We were required to make them by check and reimburse in full, but the rules for advances specify that we can reimburse partially by check, transfer or payment. I asked the question in writing by having the correct procedure and again blocked by the advisor. This has been going on for 1 month (the funds have been paid) and the server, contrary to what is said, does not respond and refers to an advisor....it's lamentable. It is not enough to parade before the political authorities to be effective. I would like to contact the Mediator but I am looking for his contact details on the site. I am helpless and furious....</v>
      </c>
    </row>
    <row r="951" ht="15.75" customHeight="1">
      <c r="A951" s="2">
        <v>2.0</v>
      </c>
      <c r="B951" s="2" t="s">
        <v>2592</v>
      </c>
      <c r="C951" s="2" t="s">
        <v>2593</v>
      </c>
      <c r="D951" s="2" t="s">
        <v>128</v>
      </c>
      <c r="E951" s="2" t="s">
        <v>14</v>
      </c>
      <c r="F951" s="2" t="s">
        <v>15</v>
      </c>
      <c r="G951" s="2" t="s">
        <v>2594</v>
      </c>
      <c r="H951" s="2" t="s">
        <v>286</v>
      </c>
      <c r="I951" s="2" t="str">
        <f>IFERROR(__xludf.DUMMYFUNCTION("GOOGLETRANSLATE(C951,""fr"",""en"")"),"I would like to have my Auto Insurance re-evaluated.
I just changed cars; I looked into other insurances; 2 of them offered me more attractive prices for the m^m guaranteed.(
 so I would like this to be revised downward so that I will stay in PACIFICA for"&amp;" my AUTO and HOME contract.")</f>
        <v>I would like to have my Auto Insurance re-evaluated.
I just changed cars; I looked into other insurances; 2 of them offered me more attractive prices for the m^m guaranteed.(
 so I would like this to be revised downward so that I will stay in PACIFICA for my AUTO and HOME contract.</v>
      </c>
    </row>
    <row r="952" ht="15.75" customHeight="1">
      <c r="A952" s="2">
        <v>2.0</v>
      </c>
      <c r="B952" s="2" t="s">
        <v>2595</v>
      </c>
      <c r="C952" s="2" t="s">
        <v>2596</v>
      </c>
      <c r="D952" s="2" t="s">
        <v>303</v>
      </c>
      <c r="E952" s="2" t="s">
        <v>14</v>
      </c>
      <c r="F952" s="2" t="s">
        <v>15</v>
      </c>
      <c r="G952" s="2" t="s">
        <v>1919</v>
      </c>
      <c r="H952" s="2" t="s">
        <v>52</v>
      </c>
      <c r="I952" s="2" t="str">
        <f>IFERROR(__xludf.DUMMYFUNCTION("GOOGLETRANSLATE(C952,""fr"",""en"")"),"Car insurance is quite expensive.
The few times I contacted MACIF the waiting time for a response was very long and they are not inclined to grant the slightest commercial gesture despite the fact that I have never had an accident in 5 years and I have su"&amp;"bscribed to several contracts with them.
It's a shame.")</f>
        <v>Car insurance is quite expensive.
The few times I contacted MACIF the waiting time for a response was very long and they are not inclined to grant the slightest commercial gesture despite the fact that I have never had an accident in 5 years and I have subscribed to several contracts with them.
It's a shame.</v>
      </c>
    </row>
    <row r="953" ht="15.75" customHeight="1">
      <c r="A953" s="2">
        <v>5.0</v>
      </c>
      <c r="B953" s="2" t="s">
        <v>2597</v>
      </c>
      <c r="C953" s="2" t="s">
        <v>2598</v>
      </c>
      <c r="D953" s="2" t="s">
        <v>13</v>
      </c>
      <c r="E953" s="2" t="s">
        <v>14</v>
      </c>
      <c r="F953" s="2" t="s">
        <v>15</v>
      </c>
      <c r="G953" s="2" t="s">
        <v>676</v>
      </c>
      <c r="H953" s="2" t="s">
        <v>111</v>
      </c>
      <c r="I953" s="2" t="str">
        <f>IFERROR(__xludf.DUMMYFUNCTION("GOOGLETRANSLATE(C953,""fr"",""en"")"),"I am very satisfied with the speed price 
Prices are very attractive and competitive
The file was created in less than 5 minutes I recommend direct insurance to everyone
")</f>
        <v>I am very satisfied with the speed price 
Prices are very attractive and competitive
The file was created in less than 5 minutes I recommend direct insurance to everyone
</v>
      </c>
    </row>
    <row r="954" ht="15.75" customHeight="1">
      <c r="A954" s="2">
        <v>1.0</v>
      </c>
      <c r="B954" s="2" t="s">
        <v>2599</v>
      </c>
      <c r="C954" s="2" t="s">
        <v>2600</v>
      </c>
      <c r="D954" s="2" t="s">
        <v>219</v>
      </c>
      <c r="E954" s="2" t="s">
        <v>137</v>
      </c>
      <c r="F954" s="2" t="s">
        <v>15</v>
      </c>
      <c r="G954" s="2" t="s">
        <v>2601</v>
      </c>
      <c r="H954" s="2" t="s">
        <v>1332</v>
      </c>
      <c r="I954" s="2" t="str">
        <f>IFERROR(__xludf.DUMMYFUNCTION("GOOGLETRANSLATE(C954,""fr"",""en"")"),"Holder of a RETIREMENT SAVINGS PLAN contract, I made a total redemption request 2 months ago, the documents were sent and received. No responses from them to the various emails and I am still waiting for their payment, hence my money!!!  ")</f>
        <v>Holder of a RETIREMENT SAVINGS PLAN contract, I made a total redemption request 2 months ago, the documents were sent and received. No responses from them to the various emails and I am still waiting for their payment, hence my money!!!  </v>
      </c>
    </row>
    <row r="955" ht="15.75" customHeight="1">
      <c r="A955" s="2">
        <v>5.0</v>
      </c>
      <c r="B955" s="2" t="s">
        <v>2602</v>
      </c>
      <c r="C955" s="2" t="s">
        <v>2603</v>
      </c>
      <c r="D955" s="2" t="s">
        <v>28</v>
      </c>
      <c r="E955" s="2" t="s">
        <v>14</v>
      </c>
      <c r="F955" s="2" t="s">
        <v>15</v>
      </c>
      <c r="G955" s="2" t="s">
        <v>1165</v>
      </c>
      <c r="H955" s="2" t="s">
        <v>21</v>
      </c>
      <c r="I955" s="2" t="str">
        <f>IFERROR(__xludf.DUMMYFUNCTION("GOOGLETRANSLATE(C955,""fr"",""en"")"),"very satisfied with the price and the information given when requesting the quote from your colleague. Solutions found by the company within the limits of my financial budget")</f>
        <v>very satisfied with the price and the information given when requesting the quote from your colleague. Solutions found by the company within the limits of my financial budget</v>
      </c>
    </row>
    <row r="956" ht="15.75" customHeight="1">
      <c r="A956" s="2">
        <v>1.0</v>
      </c>
      <c r="B956" s="2" t="s">
        <v>2604</v>
      </c>
      <c r="C956" s="2" t="s">
        <v>2605</v>
      </c>
      <c r="D956" s="2" t="s">
        <v>1008</v>
      </c>
      <c r="E956" s="2" t="s">
        <v>101</v>
      </c>
      <c r="F956" s="2" t="s">
        <v>15</v>
      </c>
      <c r="G956" s="2" t="s">
        <v>2606</v>
      </c>
      <c r="H956" s="2" t="s">
        <v>474</v>
      </c>
      <c r="I956" s="2" t="str">
        <f>IFERROR(__xludf.DUMMYFUNCTION("GOOGLETRANSLATE(C956,""fr"",""en"")"),"Waiting for the reimbursement of annual contributions since July 2016 following the death of my husband in 2016. Deducted in 2017, made a formal notice but nothing in return either by email, mail... It's Cafpi for me proposed but really very disappointed "&amp;"with their incompetence. I don't know what to do anymore and Cafpi isn't moving either. If you have an idea. Many thanks")</f>
        <v>Waiting for the reimbursement of annual contributions since July 2016 following the death of my husband in 2016. Deducted in 2017, made a formal notice but nothing in return either by email, mail... It's Cafpi for me proposed but really very disappointed with their incompetence. I don't know what to do anymore and Cafpi isn't moving either. If you have an idea. Many thanks</v>
      </c>
    </row>
    <row r="957" ht="15.75" customHeight="1">
      <c r="A957" s="2">
        <v>4.0</v>
      </c>
      <c r="B957" s="2" t="s">
        <v>2607</v>
      </c>
      <c r="C957" s="2" t="s">
        <v>2608</v>
      </c>
      <c r="D957" s="2" t="s">
        <v>13</v>
      </c>
      <c r="E957" s="2" t="s">
        <v>14</v>
      </c>
      <c r="F957" s="2" t="s">
        <v>15</v>
      </c>
      <c r="G957" s="2" t="s">
        <v>198</v>
      </c>
      <c r="H957" s="2" t="s">
        <v>83</v>
      </c>
      <c r="I957" s="2" t="str">
        <f>IFERROR(__xludf.DUMMYFUNCTION("GOOGLETRANSLATE(C957,""fr"",""en"")"),"Attractive prices with good coverage overall. However, a relationship between existing contracts is not always very clear. to improve")</f>
        <v>Attractive prices with good coverage overall. However, a relationship between existing contracts is not always very clear. to improve</v>
      </c>
    </row>
    <row r="958" ht="15.75" customHeight="1">
      <c r="A958" s="2">
        <v>1.0</v>
      </c>
      <c r="B958" s="2" t="s">
        <v>2609</v>
      </c>
      <c r="C958" s="2" t="s">
        <v>2610</v>
      </c>
      <c r="D958" s="2" t="s">
        <v>799</v>
      </c>
      <c r="E958" s="2" t="s">
        <v>129</v>
      </c>
      <c r="F958" s="2" t="s">
        <v>15</v>
      </c>
      <c r="G958" s="2" t="s">
        <v>2611</v>
      </c>
      <c r="H958" s="2" t="s">
        <v>256</v>
      </c>
      <c r="I958" s="2" t="str">
        <f>IFERROR(__xludf.DUMMYFUNCTION("GOOGLETRANSLATE(C958,""fr"",""en"")"),"We have been Groupama customers for 14 years, having all our insurance with them. We are extremely disappointed with their responsiveness to the damage caused in a rental (roof leak).
In addition, we noticed an increase of 25% without justification...
We "&amp;"are very dissatisfied, no communication, a quote sent on October 3 and still waiting for them...
")</f>
        <v>We have been Groupama customers for 14 years, having all our insurance with them. We are extremely disappointed with their responsiveness to the damage caused in a rental (roof leak).
In addition, we noticed an increase of 25% without justification...
We are very dissatisfied, no communication, a quote sent on October 3 and still waiting for them...
</v>
      </c>
    </row>
    <row r="959" ht="15.75" customHeight="1">
      <c r="A959" s="2">
        <v>1.0</v>
      </c>
      <c r="B959" s="2" t="s">
        <v>2612</v>
      </c>
      <c r="C959" s="2" t="s">
        <v>2613</v>
      </c>
      <c r="D959" s="2" t="s">
        <v>254</v>
      </c>
      <c r="E959" s="2" t="s">
        <v>129</v>
      </c>
      <c r="F959" s="2" t="s">
        <v>15</v>
      </c>
      <c r="G959" s="2" t="s">
        <v>2614</v>
      </c>
      <c r="H959" s="2" t="s">
        <v>1213</v>
      </c>
      <c r="I959" s="2" t="str">
        <f>IFERROR(__xludf.DUMMYFUNCTION("GOOGLETRANSLATE(C959,""fr"",""en"")"),"Following the addition of a private parking box to my home insurance contract, I called MAIF to inform them of the change. This change is, in general, only materialized by a simple amendment that does not modify the insurance premium, or almost nothing. W"&amp;"hat a pleasant surprise to discover that the (primordial) minimum package that I had subscribed to until then does not provide for a simple parking box. It's impossible to get any constructive information over the phone, other than a summary of ""that's h"&amp;"ow it is."" I did not find the information excluding box insurance in the general conditions of the contract and the advisor was not able to clearly state the text to this effect. So I am forced to take out higher level insurance, causing my annual insura"&amp;"nce premium to skyrocket by more than 90 euros for a 12m2 box.")</f>
        <v>Following the addition of a private parking box to my home insurance contract, I called MAIF to inform them of the change. This change is, in general, only materialized by a simple amendment that does not modify the insurance premium, or almost nothing. What a pleasant surprise to discover that the (primordial) minimum package that I had subscribed to until then does not provide for a simple parking box. It's impossible to get any constructive information over the phone, other than a summary of "that's how it is." I did not find the information excluding box insurance in the general conditions of the contract and the advisor was not able to clearly state the text to this effect. So I am forced to take out higher level insurance, causing my annual insurance premium to skyrocket by more than 90 euros for a 12m2 box.</v>
      </c>
    </row>
    <row r="960" ht="15.75" customHeight="1">
      <c r="A960" s="2">
        <v>4.0</v>
      </c>
      <c r="B960" s="2" t="s">
        <v>2615</v>
      </c>
      <c r="C960" s="2" t="s">
        <v>2616</v>
      </c>
      <c r="D960" s="2" t="s">
        <v>28</v>
      </c>
      <c r="E960" s="2" t="s">
        <v>14</v>
      </c>
      <c r="F960" s="2" t="s">
        <v>15</v>
      </c>
      <c r="G960" s="2" t="s">
        <v>1371</v>
      </c>
      <c r="H960" s="2" t="s">
        <v>21</v>
      </c>
      <c r="I960" s="2" t="str">
        <f>IFERROR(__xludf.DUMMYFUNCTION("GOOGLETRANSLATE(C960,""fr"",""en"")"),"I am satisfied with the service, the staff listens to the person, when I called to inquire about my little problem with my new contract, they were attentive")</f>
        <v>I am satisfied with the service, the staff listens to the person, when I called to inquire about my little problem with my new contract, they were attentive</v>
      </c>
    </row>
    <row r="961" ht="15.75" customHeight="1">
      <c r="A961" s="2">
        <v>1.0</v>
      </c>
      <c r="B961" s="2" t="s">
        <v>2617</v>
      </c>
      <c r="C961" s="2" t="s">
        <v>2618</v>
      </c>
      <c r="D961" s="2" t="s">
        <v>465</v>
      </c>
      <c r="E961" s="2" t="s">
        <v>39</v>
      </c>
      <c r="F961" s="2" t="s">
        <v>15</v>
      </c>
      <c r="G961" s="2" t="s">
        <v>2619</v>
      </c>
      <c r="H961" s="2" t="s">
        <v>448</v>
      </c>
      <c r="I961" s="2" t="str">
        <f>IFERROR(__xludf.DUMMYFUNCTION("GOOGLETRANSLATE(C961,""fr"",""en"")"),"I had problems with the MGEN Istya Collectives mutual insurance company: no or no clear answer and ultimately if they are telling the truth, which I dispute, a very low reimbursement for dental expenses
I strongly advise against ")</f>
        <v>I had problems with the MGEN Istya Collectives mutual insurance company: no or no clear answer and ultimately if they are telling the truth, which I dispute, a very low reimbursement for dental expenses
I strongly advise against </v>
      </c>
    </row>
    <row r="962" ht="15.75" customHeight="1">
      <c r="A962" s="2">
        <v>2.0</v>
      </c>
      <c r="B962" s="2" t="s">
        <v>2620</v>
      </c>
      <c r="C962" s="2" t="s">
        <v>2621</v>
      </c>
      <c r="D962" s="2" t="s">
        <v>190</v>
      </c>
      <c r="E962" s="2" t="s">
        <v>129</v>
      </c>
      <c r="F962" s="2" t="s">
        <v>15</v>
      </c>
      <c r="G962" s="2" t="s">
        <v>70</v>
      </c>
      <c r="H962" s="2" t="s">
        <v>71</v>
      </c>
      <c r="I962" s="2" t="str">
        <f>IFERROR(__xludf.DUMMYFUNCTION("GOOGLETRANSLATE(C962,""fr"",""en"")"),"A real horror, I was knocked down on my bike more than a year ago now and despite my struggle to gather new proof of my good faith every month, I am the only one trying to get out of this mess, so that the opposing insured who denies outright (in their in"&amp;"terest), their insurance which protects them (obviously this is their role) the GMF is content to transmit the documents without even taking the trouble to read them. I therefore have no weight against them despite the findings, testimony, expert report e"&amp;"tc.
Today I received an email to inform me that the file is closed and that I must sit on the €1,300 in compensation caused by this accident. A file yet so easy to handle given the evidence and documents in my possession.
I, who have always been waiting f"&amp;"or the end of the disaster to terminate all of my contracts exclusively with the GMF, have now done so...
To flee urgently, even without having anyone in front of you, online insurance does it just as well for less.")</f>
        <v>A real horror, I was knocked down on my bike more than a year ago now and despite my struggle to gather new proof of my good faith every month, I am the only one trying to get out of this mess, so that the opposing insured who denies outright (in their interest), their insurance which protects them (obviously this is their role) the GMF is content to transmit the documents without even taking the trouble to read them. I therefore have no weight against them despite the findings, testimony, expert report etc.
Today I received an email to inform me that the file is closed and that I must sit on the €1,300 in compensation caused by this accident. A file yet so easy to handle given the evidence and documents in my possession.
I, who have always been waiting for the end of the disaster to terminate all of my contracts exclusively with the GMF, have now done so...
To flee urgently, even without having anyone in front of you, online insurance does it just as well for less.</v>
      </c>
    </row>
    <row r="963" ht="15.75" customHeight="1">
      <c r="A963" s="2">
        <v>5.0</v>
      </c>
      <c r="B963" s="2" t="s">
        <v>2622</v>
      </c>
      <c r="C963" s="2" t="s">
        <v>2623</v>
      </c>
      <c r="D963" s="2" t="s">
        <v>13</v>
      </c>
      <c r="E963" s="2" t="s">
        <v>14</v>
      </c>
      <c r="F963" s="2" t="s">
        <v>15</v>
      </c>
      <c r="G963" s="2" t="s">
        <v>434</v>
      </c>
      <c r="H963" s="2" t="s">
        <v>111</v>
      </c>
      <c r="I963" s="2" t="str">
        <f>IFERROR(__xludf.DUMMYFUNCTION("GOOGLETRANSLATE(C963,""fr"",""en"")"),"Top service, great prices, good application, I recommend direct insurance for many reasons, especially the price and quality of service. Jonathan ")</f>
        <v>Top service, great prices, good application, I recommend direct insurance for many reasons, especially the price and quality of service. Jonathan </v>
      </c>
    </row>
    <row r="964" ht="15.75" customHeight="1">
      <c r="A964" s="2">
        <v>1.0</v>
      </c>
      <c r="B964" s="2" t="s">
        <v>2624</v>
      </c>
      <c r="C964" s="2" t="s">
        <v>2625</v>
      </c>
      <c r="D964" s="2" t="s">
        <v>28</v>
      </c>
      <c r="E964" s="2" t="s">
        <v>14</v>
      </c>
      <c r="F964" s="2" t="s">
        <v>15</v>
      </c>
      <c r="G964" s="2" t="s">
        <v>1661</v>
      </c>
      <c r="H964" s="2" t="s">
        <v>108</v>
      </c>
      <c r="I964" s="2" t="str">
        <f>IFERROR(__xludf.DUMMYFUNCTION("GOOGLETRANSLATE(C964,""fr"",""en"")"),"Having been with them for many years, with several contracts, everything has been more or less normal and for the past year, they have become very harsh and find the slightest excuse not to reimburse even a broken glass. I did not change my registration c"&amp;"ard so we will not reimburse you, go and check with the competitors it is much better and I have already had the same thing elsewhere and I was reimbursed. Don't be fooled, we note it's based on before it changes ")</f>
        <v>Having been with them for many years, with several contracts, everything has been more or less normal and for the past year, they have become very harsh and find the slightest excuse not to reimburse even a broken glass. I did not change my registration card so we will not reimburse you, go and check with the competitors it is much better and I have already had the same thing elsewhere and I was reimbursed. Don't be fooled, we note it's based on before it changes </v>
      </c>
    </row>
    <row r="965" ht="15.75" customHeight="1">
      <c r="A965" s="2">
        <v>2.0</v>
      </c>
      <c r="B965" s="2" t="s">
        <v>2626</v>
      </c>
      <c r="C965" s="2" t="s">
        <v>2627</v>
      </c>
      <c r="D965" s="2" t="s">
        <v>13</v>
      </c>
      <c r="E965" s="2" t="s">
        <v>14</v>
      </c>
      <c r="F965" s="2" t="s">
        <v>15</v>
      </c>
      <c r="G965" s="2" t="s">
        <v>97</v>
      </c>
      <c r="H965" s="2" t="s">
        <v>25</v>
      </c>
      <c r="I965" s="2" t="str">
        <f>IFERROR(__xludf.DUMMYFUNCTION("GOOGLETRANSLATE(C965,""fr"",""en"")"),"a lot of disappointment following several reported disasters, one of which has still not been resolved. Never the same people on the phone, you have to repeat the same story each time")</f>
        <v>a lot of disappointment following several reported disasters, one of which has still not been resolved. Never the same people on the phone, you have to repeat the same story each time</v>
      </c>
    </row>
    <row r="966" ht="15.75" customHeight="1">
      <c r="A966" s="2">
        <v>1.0</v>
      </c>
      <c r="B966" s="2" t="s">
        <v>2628</v>
      </c>
      <c r="C966" s="2" t="s">
        <v>2629</v>
      </c>
      <c r="D966" s="2" t="s">
        <v>465</v>
      </c>
      <c r="E966" s="2" t="s">
        <v>39</v>
      </c>
      <c r="F966" s="2" t="s">
        <v>15</v>
      </c>
      <c r="G966" s="2" t="s">
        <v>2630</v>
      </c>
      <c r="H966" s="2" t="s">
        <v>467</v>
      </c>
      <c r="I966" s="2" t="str">
        <f>IFERROR(__xludf.DUMMYFUNCTION("GOOGLETRANSLATE(C966,""fr"",""en"")"),"Terrible... I strongly advise against it! Failure to take into account my numerous requests regarding the collection of contributions!!! Poor customer service! 1 year to respond to my first request!!! We may need to speed up the pace there! ")</f>
        <v>Terrible... I strongly advise against it! Failure to take into account my numerous requests regarding the collection of contributions!!! Poor customer service! 1 year to respond to my first request!!! We may need to speed up the pace there! </v>
      </c>
    </row>
    <row r="967" ht="15.75" customHeight="1">
      <c r="A967" s="2">
        <v>3.0</v>
      </c>
      <c r="B967" s="2" t="s">
        <v>2631</v>
      </c>
      <c r="C967" s="2" t="s">
        <v>2632</v>
      </c>
      <c r="D967" s="2" t="s">
        <v>28</v>
      </c>
      <c r="E967" s="2" t="s">
        <v>14</v>
      </c>
      <c r="F967" s="2" t="s">
        <v>15</v>
      </c>
      <c r="G967" s="2" t="s">
        <v>765</v>
      </c>
      <c r="H967" s="2" t="s">
        <v>361</v>
      </c>
      <c r="I967" s="2" t="str">
        <f>IFERROR(__xludf.DUMMYFUNCTION("GOOGLETRANSLATE(C967,""fr"",""en"")"),"Cheap insurance, very easy to take out, I would recommend it to a friend, very attractive price, I should check it out with the comparator on the internet, I did them during confinement and I have no regrets ")</f>
        <v>Cheap insurance, very easy to take out, I would recommend it to a friend, very attractive price, I should check it out with the comparator on the internet, I did them during confinement and I have no regrets </v>
      </c>
    </row>
    <row r="968" ht="15.75" customHeight="1">
      <c r="A968" s="2">
        <v>3.0</v>
      </c>
      <c r="B968" s="2" t="s">
        <v>2633</v>
      </c>
      <c r="C968" s="2" t="s">
        <v>2634</v>
      </c>
      <c r="D968" s="2" t="s">
        <v>530</v>
      </c>
      <c r="E968" s="2" t="s">
        <v>39</v>
      </c>
      <c r="F968" s="2" t="s">
        <v>15</v>
      </c>
      <c r="G968" s="2" t="s">
        <v>2635</v>
      </c>
      <c r="H968" s="2" t="s">
        <v>57</v>
      </c>
      <c r="I968" s="2" t="str">
        <f>IFERROR(__xludf.DUMMYFUNCTION("GOOGLETRANSLATE(C968,""fr"",""en"")"),"I am fully satisfied but the contributions are a little high
My contract was recently modified so no refund yet but I think it will be very good as before ")</f>
        <v>I am fully satisfied but the contributions are a little high
My contract was recently modified so no refund yet but I think it will be very good as before </v>
      </c>
    </row>
    <row r="969" ht="15.75" customHeight="1">
      <c r="A969" s="2">
        <v>4.0</v>
      </c>
      <c r="B969" s="2" t="s">
        <v>2636</v>
      </c>
      <c r="C969" s="2" t="s">
        <v>2637</v>
      </c>
      <c r="D969" s="2" t="s">
        <v>254</v>
      </c>
      <c r="E969" s="2" t="s">
        <v>14</v>
      </c>
      <c r="F969" s="2" t="s">
        <v>15</v>
      </c>
      <c r="G969" s="2" t="s">
        <v>1849</v>
      </c>
      <c r="H969" s="2" t="s">
        <v>46</v>
      </c>
      <c r="I969" s="2" t="str">
        <f>IFERROR(__xludf.DUMMYFUNCTION("GOOGLETRANSLATE(C969,""fr"",""en"")"),"Good morning
Having been insured with MAIF for more than 20 years, I am extremely satisfied with the services of this partner in whom I have complete confidence. Immediate and quality assistance, rapid and complete reimbursements, MAIF is a high quality i"&amp;"nsurer which offers, on the basis of the same contract or file, a multitude of products adapted to the various situations which require insurance (home, personal and professional car....).
To recommend.")</f>
        <v>Good morning
Having been insured with MAIF for more than 20 years, I am extremely satisfied with the services of this partner in whom I have complete confidence. Immediate and quality assistance, rapid and complete reimbursements, MAIF is a high quality insurer which offers, on the basis of the same contract or file, a multitude of products adapted to the various situations which require insurance (home, personal and professional car....).
To recommend.</v>
      </c>
    </row>
    <row r="970" ht="15.75" customHeight="1">
      <c r="A970" s="2">
        <v>4.0</v>
      </c>
      <c r="B970" s="2" t="s">
        <v>2638</v>
      </c>
      <c r="C970" s="2" t="s">
        <v>2639</v>
      </c>
      <c r="D970" s="2" t="s">
        <v>13</v>
      </c>
      <c r="E970" s="2" t="s">
        <v>14</v>
      </c>
      <c r="F970" s="2" t="s">
        <v>15</v>
      </c>
      <c r="G970" s="2" t="s">
        <v>793</v>
      </c>
      <c r="H970" s="2" t="s">
        <v>111</v>
      </c>
      <c r="I970" s="2" t="str">
        <f>IFERROR(__xludf.DUMMYFUNCTION("GOOGLETRANSLATE(C970,""fr"",""en"")"),"Rather satisfied, although the advisor I had twice did not call me back for information
The plus according to the reviews is that we have an advisor in case of problem
")</f>
        <v>Rather satisfied, although the advisor I had twice did not call me back for information
The plus according to the reviews is that we have an advisor in case of problem
</v>
      </c>
    </row>
    <row r="971" ht="15.75" customHeight="1">
      <c r="A971" s="2">
        <v>1.0</v>
      </c>
      <c r="B971" s="2" t="s">
        <v>2640</v>
      </c>
      <c r="C971" s="2" t="s">
        <v>2641</v>
      </c>
      <c r="D971" s="2" t="s">
        <v>530</v>
      </c>
      <c r="E971" s="2" t="s">
        <v>39</v>
      </c>
      <c r="F971" s="2" t="s">
        <v>15</v>
      </c>
      <c r="G971" s="2" t="s">
        <v>456</v>
      </c>
      <c r="H971" s="2" t="s">
        <v>111</v>
      </c>
      <c r="I971" s="2" t="str">
        <f>IFERROR(__xludf.DUMMYFUNCTION("GOOGLETRANSLATE(C971,""fr"",""en"")"),"Health coverage in terms of physiotherapy, dental and ophthalmology is catastrophic. I plan to change my mutual insurance at the end of the year to get better reimbursement ")</f>
        <v>Health coverage in terms of physiotherapy, dental and ophthalmology is catastrophic. I plan to change my mutual insurance at the end of the year to get better reimbursement </v>
      </c>
    </row>
    <row r="972" ht="15.75" customHeight="1">
      <c r="A972" s="2">
        <v>4.0</v>
      </c>
      <c r="B972" s="2" t="s">
        <v>2642</v>
      </c>
      <c r="C972" s="2" t="s">
        <v>2643</v>
      </c>
      <c r="D972" s="2" t="s">
        <v>322</v>
      </c>
      <c r="E972" s="2" t="s">
        <v>14</v>
      </c>
      <c r="F972" s="2" t="s">
        <v>15</v>
      </c>
      <c r="G972" s="2" t="s">
        <v>2644</v>
      </c>
      <c r="H972" s="2" t="s">
        <v>745</v>
      </c>
      <c r="I972" s="2" t="str">
        <f>IFERROR(__xludf.DUMMYFUNCTION("GOOGLETRANSLATE(C972,""fr"",""en"")"),"a laborious start to the contract, lack of communication, but subsequently the people contacted went out of their way to satisfy me competently, a good point for the future")</f>
        <v>a laborious start to the contract, lack of communication, but subsequently the people contacted went out of their way to satisfy me competently, a good point for the future</v>
      </c>
    </row>
    <row r="973" ht="15.75" customHeight="1">
      <c r="A973" s="2">
        <v>1.0</v>
      </c>
      <c r="B973" s="2" t="s">
        <v>2645</v>
      </c>
      <c r="C973" s="2" t="s">
        <v>2646</v>
      </c>
      <c r="D973" s="2" t="s">
        <v>190</v>
      </c>
      <c r="E973" s="2" t="s">
        <v>14</v>
      </c>
      <c r="F973" s="2" t="s">
        <v>15</v>
      </c>
      <c r="G973" s="2" t="s">
        <v>1117</v>
      </c>
      <c r="H973" s="2" t="s">
        <v>30</v>
      </c>
      <c r="I973" s="2" t="str">
        <f>IFERROR(__xludf.DUMMYFUNCTION("GOOGLETRANSLATE(C973,""fr"",""en"")"),"Everything is complicated at the G.M.F. Alas! Or even how to insure civil servants by granting privileges at their expense!
I deplore having had setbacks with a regional manager in Pays de la Loire who happily took advantage of also ensuring local elected"&amp;" officials to ensure, in addition to his income, his privileges: No comment but a parliamentary commission will have to, a day, investigate the G.M.F...
")</f>
        <v>Everything is complicated at the G.M.F. Alas! Or even how to insure civil servants by granting privileges at their expense!
I deplore having had setbacks with a regional manager in Pays de la Loire who happily took advantage of also ensuring local elected officials to ensure, in addition to his income, his privileges: No comment but a parliamentary commission will have to, a day, investigate the G.M.F...
</v>
      </c>
    </row>
    <row r="974" ht="15.75" customHeight="1">
      <c r="A974" s="2">
        <v>3.0</v>
      </c>
      <c r="B974" s="2" t="s">
        <v>2647</v>
      </c>
      <c r="C974" s="2" t="s">
        <v>2648</v>
      </c>
      <c r="D974" s="2" t="s">
        <v>13</v>
      </c>
      <c r="E974" s="2" t="s">
        <v>14</v>
      </c>
      <c r="F974" s="2" t="s">
        <v>15</v>
      </c>
      <c r="G974" s="2" t="s">
        <v>191</v>
      </c>
      <c r="H974" s="2" t="s">
        <v>111</v>
      </c>
      <c r="I974" s="2" t="str">
        <f>IFERROR(__xludf.DUMMYFUNCTION("GOOGLETRANSLATE(C974,""fr"",""en"")"),"I am satisfied with the service but the prices could be a little more attractive for a first contract. I would also have liked to be able to insure my home with a self-home package.")</f>
        <v>I am satisfied with the service but the prices could be a little more attractive for a first contract. I would also have liked to be able to insure my home with a self-home package.</v>
      </c>
    </row>
    <row r="975" ht="15.75" customHeight="1">
      <c r="A975" s="2">
        <v>4.0</v>
      </c>
      <c r="B975" s="2" t="s">
        <v>2649</v>
      </c>
      <c r="C975" s="2" t="s">
        <v>2650</v>
      </c>
      <c r="D975" s="2" t="s">
        <v>28</v>
      </c>
      <c r="E975" s="2" t="s">
        <v>14</v>
      </c>
      <c r="F975" s="2" t="s">
        <v>15</v>
      </c>
      <c r="G975" s="2" t="s">
        <v>1415</v>
      </c>
      <c r="H975" s="2" t="s">
        <v>46</v>
      </c>
      <c r="I975" s="2" t="str">
        <f>IFERROR(__xludf.DUMMYFUNCTION("GOOGLETRANSLATE(C975,""fr"",""en"")"),"satisfied with the fast, efficient, simple, detailed service with lots of detail to be sure of what they did. Hate to recommend your insurance to someone ")</f>
        <v>satisfied with the fast, efficient, simple, detailed service with lots of detail to be sure of what they did. Hate to recommend your insurance to someone </v>
      </c>
    </row>
    <row r="976" ht="15.75" customHeight="1">
      <c r="A976" s="2">
        <v>3.0</v>
      </c>
      <c r="B976" s="2" t="s">
        <v>2651</v>
      </c>
      <c r="C976" s="2" t="s">
        <v>2652</v>
      </c>
      <c r="D976" s="2" t="s">
        <v>465</v>
      </c>
      <c r="E976" s="2" t="s">
        <v>39</v>
      </c>
      <c r="F976" s="2" t="s">
        <v>15</v>
      </c>
      <c r="G976" s="2" t="s">
        <v>633</v>
      </c>
      <c r="H976" s="2" t="s">
        <v>634</v>
      </c>
      <c r="I976" s="2" t="str">
        <f>IFERROR(__xludf.DUMMYFUNCTION("GOOGLETRANSLATE(C976,""fr"",""en"")"),"Following surgery on a broken finger with excess fees. Local section contacted by telephone for support which replied YES. Then sending documents and not taking care of them. New telephone contact and response: No, we do not take charge, it is impossible "&amp;"for us to answer that.
Thank you MGEN. Have confidence...")</f>
        <v>Following surgery on a broken finger with excess fees. Local section contacted by telephone for support which replied YES. Then sending documents and not taking care of them. New telephone contact and response: No, we do not take charge, it is impossible for us to answer that.
Thank you MGEN. Have confidence...</v>
      </c>
    </row>
    <row r="977" ht="15.75" customHeight="1">
      <c r="A977" s="2">
        <v>5.0</v>
      </c>
      <c r="B977" s="2" t="s">
        <v>2653</v>
      </c>
      <c r="C977" s="2" t="s">
        <v>2654</v>
      </c>
      <c r="D977" s="2" t="s">
        <v>38</v>
      </c>
      <c r="E977" s="2" t="s">
        <v>39</v>
      </c>
      <c r="F977" s="2" t="s">
        <v>15</v>
      </c>
      <c r="G977" s="2" t="s">
        <v>2655</v>
      </c>
      <c r="H977" s="2" t="s">
        <v>94</v>
      </c>
      <c r="I977" s="2" t="str">
        <f>IFERROR(__xludf.DUMMYFUNCTION("GOOGLETRANSLATE(C977,""fr"",""en"")"),"Thanks to Daouda for solving my problem. He was attentive and very friendly. A top advisor. I immediately received the items I needed by email. ")</f>
        <v>Thanks to Daouda for solving my problem. He was attentive and very friendly. A top advisor. I immediately received the items I needed by email. </v>
      </c>
    </row>
    <row r="978" ht="15.75" customHeight="1">
      <c r="A978" s="2">
        <v>4.0</v>
      </c>
      <c r="B978" s="2" t="s">
        <v>2656</v>
      </c>
      <c r="C978" s="2" t="s">
        <v>2657</v>
      </c>
      <c r="D978" s="2" t="s">
        <v>13</v>
      </c>
      <c r="E978" s="2" t="s">
        <v>14</v>
      </c>
      <c r="F978" s="2" t="s">
        <v>15</v>
      </c>
      <c r="G978" s="2" t="s">
        <v>2658</v>
      </c>
      <c r="H978" s="2" t="s">
        <v>286</v>
      </c>
      <c r="I978" s="2" t="str">
        <f>IFERROR(__xludf.DUMMYFUNCTION("GOOGLETRANSLATE(C978,""fr"",""en"")"),"On the Direct Assurance Site to get a quote for my car, easy to use, leaky and well done.  the price of insurance is very attractive compared to the market")</f>
        <v>On the Direct Assurance Site to get a quote for my car, easy to use, leaky and well done.  the price of insurance is very attractive compared to the market</v>
      </c>
    </row>
    <row r="979" ht="15.75" customHeight="1">
      <c r="A979" s="2">
        <v>3.0</v>
      </c>
      <c r="B979" s="2" t="s">
        <v>2659</v>
      </c>
      <c r="C979" s="2" t="s">
        <v>2660</v>
      </c>
      <c r="D979" s="2" t="s">
        <v>80</v>
      </c>
      <c r="E979" s="2" t="s">
        <v>81</v>
      </c>
      <c r="F979" s="2" t="s">
        <v>15</v>
      </c>
      <c r="G979" s="2" t="s">
        <v>582</v>
      </c>
      <c r="H979" s="2" t="s">
        <v>17</v>
      </c>
      <c r="I979" s="2" t="str">
        <f>IFERROR(__xludf.DUMMYFUNCTION("GOOGLETRANSLATE(C979,""fr"",""en"")"),"I am satisfied with the service well explained
Simple, effective and above all at an affordable price, which is not given to everyone on online insurance ")</f>
        <v>I am satisfied with the service well explained
Simple, effective and above all at an affordable price, which is not given to everyone on online insurance </v>
      </c>
    </row>
    <row r="980" ht="15.75" customHeight="1">
      <c r="A980" s="2">
        <v>2.0</v>
      </c>
      <c r="B980" s="2" t="s">
        <v>2661</v>
      </c>
      <c r="C980" s="2" t="s">
        <v>2662</v>
      </c>
      <c r="D980" s="2" t="s">
        <v>145</v>
      </c>
      <c r="E980" s="2" t="s">
        <v>14</v>
      </c>
      <c r="F980" s="2" t="s">
        <v>15</v>
      </c>
      <c r="G980" s="2" t="s">
        <v>1149</v>
      </c>
      <c r="H980" s="2" t="s">
        <v>414</v>
      </c>
      <c r="I980" s="2" t="str">
        <f>IFERROR(__xludf.DUMMYFUNCTION("GOOGLETRANSLATE(C980,""fr"",""en"")"),"Even if you are insured for all risks, #Maaf uses its expert to contest the finding, which allows it not to reimburse you. I have a report stating that my car suffered an impact in a car wash. Although the conditions are admitted by the station, the exper"&amp;"t denies the incident without a convincing explanation. Conclusion: maaf does not reimburse me.
")</f>
        <v>Even if you are insured for all risks, #Maaf uses its expert to contest the finding, which allows it not to reimburse you. I have a report stating that my car suffered an impact in a car wash. Although the conditions are admitted by the station, the expert denies the incident without a convincing explanation. Conclusion: maaf does not reimburse me.
</v>
      </c>
    </row>
    <row r="981" ht="15.75" customHeight="1">
      <c r="A981" s="2">
        <v>2.0</v>
      </c>
      <c r="B981" s="2" t="s">
        <v>2663</v>
      </c>
      <c r="C981" s="2" t="s">
        <v>2664</v>
      </c>
      <c r="D981" s="2" t="s">
        <v>55</v>
      </c>
      <c r="E981" s="2" t="s">
        <v>39</v>
      </c>
      <c r="F981" s="2" t="s">
        <v>15</v>
      </c>
      <c r="G981" s="2" t="s">
        <v>1025</v>
      </c>
      <c r="H981" s="2" t="s">
        <v>57</v>
      </c>
      <c r="I981" s="2" t="str">
        <f>IFERROR(__xludf.DUMMYFUNCTION("GOOGLETRANSLATE(C981,""fr"",""en"")"),"To avoid
Impossible to obtain a refund despite a complete file and verification by the teleoperator who cannot communicate with the payments department.
Not serious. ")</f>
        <v>To avoid
Impossible to obtain a refund despite a complete file and verification by the teleoperator who cannot communicate with the payments department.
Not serious. </v>
      </c>
    </row>
    <row r="982" ht="15.75" customHeight="1">
      <c r="A982" s="2">
        <v>1.0</v>
      </c>
      <c r="B982" s="2" t="s">
        <v>2665</v>
      </c>
      <c r="C982" s="2" t="s">
        <v>2666</v>
      </c>
      <c r="D982" s="2" t="s">
        <v>412</v>
      </c>
      <c r="E982" s="2" t="s">
        <v>137</v>
      </c>
      <c r="F982" s="2" t="s">
        <v>15</v>
      </c>
      <c r="G982" s="2" t="s">
        <v>1901</v>
      </c>
      <c r="H982" s="2" t="s">
        <v>1213</v>
      </c>
      <c r="I982" s="2" t="str">
        <f>IFERROR(__xludf.DUMMYFUNCTION("GOOGLETRANSLATE(C982,""fr"",""en"")"),"Two months of waiting still without response despite several reminders!!!")</f>
        <v>Two months of waiting still without response despite several reminders!!!</v>
      </c>
    </row>
    <row r="983" ht="15.75" customHeight="1">
      <c r="A983" s="2">
        <v>2.0</v>
      </c>
      <c r="B983" s="2" t="s">
        <v>2667</v>
      </c>
      <c r="C983" s="2" t="s">
        <v>2668</v>
      </c>
      <c r="D983" s="2" t="s">
        <v>310</v>
      </c>
      <c r="E983" s="2" t="s">
        <v>14</v>
      </c>
      <c r="F983" s="2" t="s">
        <v>15</v>
      </c>
      <c r="G983" s="2" t="s">
        <v>2669</v>
      </c>
      <c r="H983" s="2" t="s">
        <v>248</v>
      </c>
      <c r="I983" s="2" t="str">
        <f>IFERROR(__xludf.DUMMYFUNCTION("GOOGLETRANSLATE(C983,""fr"",""en"")"),"I've been trying to contact Eurofil customer service for a week and apart from the background music, no advisor picks up!
The customer site does not allow you to receive a call back, making a quote requires contacting customer service... who does not resp"&amp;"ond!
for online insurance, the contract is terminated.
I am not desperate to get an advisor, but it will be to eliminate all my contracts.")</f>
        <v>I've been trying to contact Eurofil customer service for a week and apart from the background music, no advisor picks up!
The customer site does not allow you to receive a call back, making a quote requires contacting customer service... who does not respond!
for online insurance, the contract is terminated.
I am not desperate to get an advisor, but it will be to eliminate all my contracts.</v>
      </c>
    </row>
    <row r="984" ht="15.75" customHeight="1">
      <c r="A984" s="2">
        <v>1.0</v>
      </c>
      <c r="B984" s="2" t="s">
        <v>2670</v>
      </c>
      <c r="C984" s="2" t="s">
        <v>2671</v>
      </c>
      <c r="D984" s="2" t="s">
        <v>38</v>
      </c>
      <c r="E984" s="2" t="s">
        <v>39</v>
      </c>
      <c r="F984" s="2" t="s">
        <v>15</v>
      </c>
      <c r="G984" s="2" t="s">
        <v>2054</v>
      </c>
      <c r="H984" s="2" t="s">
        <v>57</v>
      </c>
      <c r="I984" s="2" t="str">
        <f>IFERROR(__xludf.DUMMYFUNCTION("GOOGLETRANSLATE(C984,""fr"",""en"")"),"This company is not reliable. 2 years ago, I NEVER obtained reimbursement for television costs while in hospital (2 months). In 2020, I had a spa treatment at LA BOURBOULE (63). 'still waiting for reimbursement of my expenses, despite the numerous complai"&amp;"nts from my broker. I am available for any information. Do not trust. Change insurer like I just did it.")</f>
        <v>This company is not reliable. 2 years ago, I NEVER obtained reimbursement for television costs while in hospital (2 months). In 2020, I had a spa treatment at LA BOURBOULE (63). 'still waiting for reimbursement of my expenses, despite the numerous complaints from my broker. I am available for any information. Do not trust. Change insurer like I just did it.</v>
      </c>
    </row>
    <row r="985" ht="15.75" customHeight="1">
      <c r="A985" s="2">
        <v>3.0</v>
      </c>
      <c r="B985" s="2" t="s">
        <v>2672</v>
      </c>
      <c r="C985" s="2" t="s">
        <v>2673</v>
      </c>
      <c r="D985" s="2" t="s">
        <v>80</v>
      </c>
      <c r="E985" s="2" t="s">
        <v>81</v>
      </c>
      <c r="F985" s="2" t="s">
        <v>15</v>
      </c>
      <c r="G985" s="2" t="s">
        <v>2674</v>
      </c>
      <c r="H985" s="2" t="s">
        <v>46</v>
      </c>
      <c r="I985" s="2" t="str">
        <f>IFERROR(__xludf.DUMMYFUNCTION("GOOGLETRANSLATE(C985,""fr"",""en"")"),"Very practical for subscription. Afterwards we will see how it is used.
I have nothing else to say at the moment, I will give my opinion later once I need their service.")</f>
        <v>Very practical for subscription. Afterwards we will see how it is used.
I have nothing else to say at the moment, I will give my opinion later once I need their service.</v>
      </c>
    </row>
    <row r="986" ht="15.75" customHeight="1">
      <c r="A986" s="2">
        <v>3.0</v>
      </c>
      <c r="B986" s="2" t="s">
        <v>2675</v>
      </c>
      <c r="C986" s="2" t="s">
        <v>2676</v>
      </c>
      <c r="D986" s="2" t="s">
        <v>28</v>
      </c>
      <c r="E986" s="2" t="s">
        <v>14</v>
      </c>
      <c r="F986" s="2" t="s">
        <v>15</v>
      </c>
      <c r="G986" s="2" t="s">
        <v>494</v>
      </c>
      <c r="H986" s="2" t="s">
        <v>83</v>
      </c>
      <c r="I986" s="2" t="str">
        <f>IFERROR(__xludf.DUMMYFUNCTION("GOOGLETRANSLATE(C986,""fr"",""en"")"),"I am satisfied with the quality of the welcome, all my questions were answered well and detailed. Price level the deposit didn't suit me too much")</f>
        <v>I am satisfied with the quality of the welcome, all my questions were answered well and detailed. Price level the deposit didn't suit me too much</v>
      </c>
    </row>
    <row r="987" ht="15.75" customHeight="1">
      <c r="A987" s="2">
        <v>5.0</v>
      </c>
      <c r="B987" s="2" t="s">
        <v>2677</v>
      </c>
      <c r="C987" s="2" t="s">
        <v>2678</v>
      </c>
      <c r="D987" s="2" t="s">
        <v>13</v>
      </c>
      <c r="E987" s="2" t="s">
        <v>14</v>
      </c>
      <c r="F987" s="2" t="s">
        <v>15</v>
      </c>
      <c r="G987" s="2" t="s">
        <v>24</v>
      </c>
      <c r="H987" s="2" t="s">
        <v>25</v>
      </c>
      <c r="I987" s="2" t="str">
        <f>IFERROR(__xludf.DUMMYFUNCTION("GOOGLETRANSLATE(C987,""fr"",""en"")"),"I am totally satisfied with the quick and easy service.
 I obtained the insurance quote online very quickly and I was able to sign up for the contract the same day")</f>
        <v>I am totally satisfied with the quick and easy service.
 I obtained the insurance quote online very quickly and I was able to sign up for the contract the same day</v>
      </c>
    </row>
    <row r="988" ht="15.75" customHeight="1">
      <c r="A988" s="2">
        <v>3.0</v>
      </c>
      <c r="B988" s="2" t="s">
        <v>2679</v>
      </c>
      <c r="C988" s="2" t="s">
        <v>2680</v>
      </c>
      <c r="D988" s="2" t="s">
        <v>38</v>
      </c>
      <c r="E988" s="2" t="s">
        <v>39</v>
      </c>
      <c r="F988" s="2" t="s">
        <v>15</v>
      </c>
      <c r="G988" s="2" t="s">
        <v>2681</v>
      </c>
      <c r="H988" s="2" t="s">
        <v>46</v>
      </c>
      <c r="I988" s="2" t="str">
        <f>IFERROR(__xludf.DUMMYFUNCTION("GOOGLETRANSLATE(C988,""fr"",""en"")"),"Rawane listens to members kindly with the expected responses.
                Sincerely.
   some brokers who manage my contracts switched to aesio with reimbursements lower than my current contract with you, why this policy.")</f>
        <v>Rawane listens to members kindly with the expected responses.
                Sincerely.
   some brokers who manage my contracts switched to aesio with reimbursements lower than my current contract with you, why this policy.</v>
      </c>
    </row>
    <row r="989" ht="15.75" customHeight="1">
      <c r="A989" s="2">
        <v>2.0</v>
      </c>
      <c r="B989" s="2" t="s">
        <v>2682</v>
      </c>
      <c r="C989" s="2" t="s">
        <v>2683</v>
      </c>
      <c r="D989" s="2" t="s">
        <v>1523</v>
      </c>
      <c r="E989" s="2" t="s">
        <v>101</v>
      </c>
      <c r="F989" s="2" t="s">
        <v>15</v>
      </c>
      <c r="G989" s="2" t="s">
        <v>2684</v>
      </c>
      <c r="H989" s="2" t="s">
        <v>1058</v>
      </c>
      <c r="I989" s="2" t="str">
        <f>IFERROR(__xludf.DUMMYFUNCTION("GOOGLETRANSLATE(C989,""fr"",""en"")"),"Very restrictive insurance regarding guarantees ")</f>
        <v>Very restrictive insurance regarding guarantees </v>
      </c>
    </row>
    <row r="990" ht="15.75" customHeight="1">
      <c r="A990" s="2">
        <v>5.0</v>
      </c>
      <c r="B990" s="2" t="s">
        <v>2685</v>
      </c>
      <c r="C990" s="2" t="s">
        <v>2686</v>
      </c>
      <c r="D990" s="2" t="s">
        <v>601</v>
      </c>
      <c r="E990" s="2" t="s">
        <v>39</v>
      </c>
      <c r="F990" s="2" t="s">
        <v>15</v>
      </c>
      <c r="G990" s="2" t="s">
        <v>2687</v>
      </c>
      <c r="H990" s="2" t="s">
        <v>57</v>
      </c>
      <c r="I990" s="2" t="str">
        <f>IFERROR(__xludf.DUMMYFUNCTION("GOOGLETRANSLATE(C990,""fr"",""en"")"),"This mutual insurance has given me complete satisfaction for many years. I tried to change it, but wasted effort it's the best quality/price ratio!
")</f>
        <v>This mutual insurance has given me complete satisfaction for many years. I tried to change it, but wasted effort it's the best quality/price ratio!
</v>
      </c>
    </row>
    <row r="991" ht="15.75" customHeight="1">
      <c r="A991" s="2">
        <v>1.0</v>
      </c>
      <c r="B991" s="2" t="s">
        <v>2688</v>
      </c>
      <c r="C991" s="2" t="s">
        <v>2689</v>
      </c>
      <c r="D991" s="2" t="s">
        <v>190</v>
      </c>
      <c r="E991" s="2" t="s">
        <v>14</v>
      </c>
      <c r="F991" s="2" t="s">
        <v>15</v>
      </c>
      <c r="G991" s="2" t="s">
        <v>978</v>
      </c>
      <c r="H991" s="2" t="s">
        <v>17</v>
      </c>
      <c r="I991" s="2" t="str">
        <f>IFERROR(__xludf.DUMMYFUNCTION("GOOGLETRANSLATE(C991,""fr"",""en"")"),"Insurance which reimburses very poorly, care coverage is reimbursed very poorly, FOR MY PREGNANCY SUVIS APPOINTMENTS I HAVE ALMOST NOT BEEN COVERED WITH THE BASIC Formula; Among other things, it is called the insurance of civil servants but presents almos"&amp;"t no advantages for us; I plan to change insurance as soon as I give birth;")</f>
        <v>Insurance which reimburses very poorly, care coverage is reimbursed very poorly, FOR MY PREGNANCY SUVIS APPOINTMENTS I HAVE ALMOST NOT BEEN COVERED WITH THE BASIC Formula; Among other things, it is called the insurance of civil servants but presents almost no advantages for us; I plan to change insurance as soon as I give birth;</v>
      </c>
    </row>
    <row r="992" ht="15.75" customHeight="1">
      <c r="A992" s="2">
        <v>4.0</v>
      </c>
      <c r="B992" s="2" t="s">
        <v>2690</v>
      </c>
      <c r="C992" s="2" t="s">
        <v>2691</v>
      </c>
      <c r="D992" s="2" t="s">
        <v>80</v>
      </c>
      <c r="E992" s="2" t="s">
        <v>81</v>
      </c>
      <c r="F992" s="2" t="s">
        <v>15</v>
      </c>
      <c r="G992" s="2" t="s">
        <v>608</v>
      </c>
      <c r="H992" s="2" t="s">
        <v>71</v>
      </c>
      <c r="I992" s="2" t="str">
        <f>IFERROR(__xludf.DUMMYFUNCTION("GOOGLETRANSLATE(C992,""fr"",""en"")"),"I EXPRESSED YOU MY OPINION EVERYTHING IS NICKEL I HOPE THAT I WILL NOT BE DISAPPOINTED LATER SINCE I HAVE PAID 
SINCERELY 
JLOUIS ALADENISE")</f>
        <v>I EXPRESSED YOU MY OPINION EVERYTHING IS NICKEL I HOPE THAT I WILL NOT BE DISAPPOINTED LATER SINCE I HAVE PAID 
SINCERELY 
JLOUIS ALADENISE</v>
      </c>
    </row>
    <row r="993" ht="15.75" customHeight="1">
      <c r="A993" s="2">
        <v>3.0</v>
      </c>
      <c r="B993" s="2" t="s">
        <v>2692</v>
      </c>
      <c r="C993" s="2" t="s">
        <v>2693</v>
      </c>
      <c r="D993" s="2" t="s">
        <v>190</v>
      </c>
      <c r="E993" s="2" t="s">
        <v>14</v>
      </c>
      <c r="F993" s="2" t="s">
        <v>15</v>
      </c>
      <c r="G993" s="2" t="s">
        <v>1187</v>
      </c>
      <c r="H993" s="2" t="s">
        <v>111</v>
      </c>
      <c r="I993" s="2" t="str">
        <f>IFERROR(__xludf.DUMMYFUNCTION("GOOGLETRANSLATE(C993,""fr"",""en"")"),"Speed ​​of information, high frankness. I still remain a customer hoping that GMF will grant a small discount!!!....Because I have been a customer for a certain number of years.")</f>
        <v>Speed ​​of information, high frankness. I still remain a customer hoping that GMF will grant a small discount!!!....Because I have been a customer for a certain number of years.</v>
      </c>
    </row>
    <row r="994" ht="15.75" customHeight="1">
      <c r="A994" s="2">
        <v>5.0</v>
      </c>
      <c r="B994" s="2" t="s">
        <v>2694</v>
      </c>
      <c r="C994" s="2" t="s">
        <v>2695</v>
      </c>
      <c r="D994" s="2" t="s">
        <v>13</v>
      </c>
      <c r="E994" s="2" t="s">
        <v>14</v>
      </c>
      <c r="F994" s="2" t="s">
        <v>15</v>
      </c>
      <c r="G994" s="2" t="s">
        <v>821</v>
      </c>
      <c r="H994" s="2" t="s">
        <v>71</v>
      </c>
      <c r="I994" s="2" t="str">
        <f>IFERROR(__xludf.DUMMYFUNCTION("GOOGLETRANSLATE(C994,""fr"",""en"")"),"Very satisfactory service.
Rapid and very competent and professional telephone reception and information.
The prices are correct and reasonable.")</f>
        <v>Very satisfactory service.
Rapid and very competent and professional telephone reception and information.
The prices are correct and reasonable.</v>
      </c>
    </row>
    <row r="995" ht="15.75" customHeight="1">
      <c r="A995" s="2">
        <v>5.0</v>
      </c>
      <c r="B995" s="2" t="s">
        <v>2696</v>
      </c>
      <c r="C995" s="2" t="s">
        <v>2697</v>
      </c>
      <c r="D995" s="2" t="s">
        <v>197</v>
      </c>
      <c r="E995" s="2" t="s">
        <v>81</v>
      </c>
      <c r="F995" s="2" t="s">
        <v>15</v>
      </c>
      <c r="G995" s="2" t="s">
        <v>56</v>
      </c>
      <c r="H995" s="2" t="s">
        <v>57</v>
      </c>
      <c r="I995" s="2" t="str">
        <f>IFERROR(__xludf.DUMMYFUNCTION("GOOGLETRANSLATE(C995,""fr"",""en"")"),"I am very satisfied with my AMV insurance.
The price is very attractive 
I recently had a small accident. 
I was well advised to report this loss.
I would like to take this opportunity to say THANK YOU!
")</f>
        <v>I am very satisfied with my AMV insurance.
The price is very attractive 
I recently had a small accident. 
I was well advised to report this loss.
I would like to take this opportunity to say THANK YOU!
</v>
      </c>
    </row>
    <row r="996" ht="15.75" customHeight="1">
      <c r="A996" s="2">
        <v>2.0</v>
      </c>
      <c r="B996" s="2" t="s">
        <v>2698</v>
      </c>
      <c r="C996" s="2" t="s">
        <v>2699</v>
      </c>
      <c r="D996" s="2" t="s">
        <v>254</v>
      </c>
      <c r="E996" s="2" t="s">
        <v>14</v>
      </c>
      <c r="F996" s="2" t="s">
        <v>15</v>
      </c>
      <c r="G996" s="2" t="s">
        <v>2700</v>
      </c>
      <c r="H996" s="2" t="s">
        <v>1344</v>
      </c>
      <c r="I996" s="2" t="str">
        <f>IFERROR(__xludf.DUMMYFUNCTION("GOOGLETRANSLATE(C996,""fr"",""en"")"),"Customer service is not at all responsive, you have two questions about your contributions and you immediately have to contact the head office which is often closed to them. no one responds to you by email, no one responds to you via the members area. ")</f>
        <v>Customer service is not at all responsive, you have two questions about your contributions and you immediately have to contact the head office which is often closed to them. no one responds to you by email, no one responds to you via the members area. </v>
      </c>
    </row>
    <row r="997" ht="15.75" customHeight="1">
      <c r="A997" s="2">
        <v>3.0</v>
      </c>
      <c r="B997" s="2" t="s">
        <v>2701</v>
      </c>
      <c r="C997" s="2" t="s">
        <v>2702</v>
      </c>
      <c r="D997" s="2" t="s">
        <v>664</v>
      </c>
      <c r="E997" s="2" t="s">
        <v>39</v>
      </c>
      <c r="F997" s="2" t="s">
        <v>15</v>
      </c>
      <c r="G997" s="2" t="s">
        <v>1595</v>
      </c>
      <c r="H997" s="2" t="s">
        <v>474</v>
      </c>
      <c r="I997" s="2" t="str">
        <f>IFERROR(__xludf.DUMMYFUNCTION("GOOGLETRANSLATE(C997,""fr"",""en"")"),"satisfied with your mutual insurance, please contact us again for new contacts because I have been with you since 2013 the reimbursements are satisfactory")</f>
        <v>satisfied with your mutual insurance, please contact us again for new contacts because I have been with you since 2013 the reimbursements are satisfactory</v>
      </c>
    </row>
    <row r="998" ht="15.75" customHeight="1">
      <c r="A998" s="2">
        <v>1.0</v>
      </c>
      <c r="B998" s="2" t="s">
        <v>2703</v>
      </c>
      <c r="C998" s="2" t="s">
        <v>2704</v>
      </c>
      <c r="D998" s="2" t="s">
        <v>799</v>
      </c>
      <c r="E998" s="2" t="s">
        <v>129</v>
      </c>
      <c r="F998" s="2" t="s">
        <v>15</v>
      </c>
      <c r="G998" s="2" t="s">
        <v>2705</v>
      </c>
      <c r="H998" s="2" t="s">
        <v>994</v>
      </c>
      <c r="I998" s="2" t="str">
        <f>IFERROR(__xludf.DUMMYFUNCTION("GOOGLETRANSLATE(C998,""fr"",""en"")"),"NOT RECOMMENDED!!! termination of contracts under bogus pretexts. They register requests for information on contract coverage in claims declarations! I requested information on contract coverage more than a year ago and I still waiting for a response desp"&amp;"ite two reminders.")</f>
        <v>NOT RECOMMENDED!!! termination of contracts under bogus pretexts. They register requests for information on contract coverage in claims declarations! I requested information on contract coverage more than a year ago and I still waiting for a response despite two reminders.</v>
      </c>
    </row>
    <row r="999" ht="15.75" customHeight="1">
      <c r="A999" s="2">
        <v>2.0</v>
      </c>
      <c r="B999" s="2" t="s">
        <v>2706</v>
      </c>
      <c r="C999" s="2" t="s">
        <v>2707</v>
      </c>
      <c r="D999" s="2" t="s">
        <v>13</v>
      </c>
      <c r="E999" s="2" t="s">
        <v>14</v>
      </c>
      <c r="F999" s="2" t="s">
        <v>15</v>
      </c>
      <c r="G999" s="2" t="s">
        <v>82</v>
      </c>
      <c r="H999" s="2" t="s">
        <v>83</v>
      </c>
      <c r="I999" s="2" t="str">
        <f>IFERROR(__xludf.DUMMYFUNCTION("GOOGLETRANSLATE(C999,""fr"",""en"")"),"Considering the price for a small Fiât 500 petrol 1.2 from 2014 it's exaggerated, I'm really on it fortunately it's not my daughter who will pay for the insurance 
How can a student pay €2,200 for car insurance per year????")</f>
        <v>Considering the price for a small Fiât 500 petrol 1.2 from 2014 it's exaggerated, I'm really on it fortunately it's not my daughter who will pay for the insurance 
How can a student pay €2,200 for car insurance per year????</v>
      </c>
    </row>
    <row r="1000" ht="15.75" customHeight="1">
      <c r="A1000" s="2">
        <v>2.0</v>
      </c>
      <c r="B1000" s="2" t="s">
        <v>2708</v>
      </c>
      <c r="C1000" s="2" t="s">
        <v>2709</v>
      </c>
      <c r="D1000" s="2" t="s">
        <v>28</v>
      </c>
      <c r="E1000" s="2" t="s">
        <v>14</v>
      </c>
      <c r="F1000" s="2" t="s">
        <v>15</v>
      </c>
      <c r="G1000" s="2" t="s">
        <v>2507</v>
      </c>
      <c r="H1000" s="2" t="s">
        <v>448</v>
      </c>
      <c r="I1000" s="2" t="str">
        <f>IFERROR(__xludf.DUMMYFUNCTION("GOOGLETRANSLATE(C1000,""fr"",""en"")"),"After having subscribed to the Olivier car insurance and having checked that it applies the Hammon law I realized 2 months later that it had not been applied I therefore paid for 2 months 2 insurance after having called the Olivier and that it is their er"&amp;"ror no commercial gesture still offered me a refund despite paying more than 200th because of their error in short a shame on all floors a pitiful organization and after-sales service of the same level don't make sure there 
The price but which announce"&amp;"s the color of the poor quality of the organization and the after-sales service
")</f>
        <v>After having subscribed to the Olivier car insurance and having checked that it applies the Hammon law I realized 2 months later that it had not been applied I therefore paid for 2 months 2 insurance after having called the Olivier and that it is their error no commercial gesture still offered me a refund despite paying more than 200th because of their error in short a shame on all floors a pitiful organization and after-sales service of the same level don't make sure there 
The price but which announces the color of the poor quality of the organization and the after-sales service
</v>
      </c>
    </row>
    <row r="1001" ht="15.75" customHeight="1">
      <c r="A1001" s="2">
        <v>4.0</v>
      </c>
      <c r="B1001" s="2" t="s">
        <v>2710</v>
      </c>
      <c r="C1001" s="2" t="s">
        <v>2711</v>
      </c>
      <c r="D1001" s="2" t="s">
        <v>13</v>
      </c>
      <c r="E1001" s="2" t="s">
        <v>14</v>
      </c>
      <c r="F1001" s="2" t="s">
        <v>15</v>
      </c>
      <c r="G1001" s="2" t="s">
        <v>676</v>
      </c>
      <c r="H1001" s="2" t="s">
        <v>111</v>
      </c>
      <c r="I1001" s="2" t="str">
        <f>IFERROR(__xludf.DUMMYFUNCTION("GOOGLETRANSLATE(C1001,""fr"",""en"")"),"The service is fast and efficient. The prices are attractive. The different options offered allow you to choose the right insurance for each driver.")</f>
        <v>The service is fast and efficient. The prices are attractive. The different options offered allow you to choose the right insurance for each driver.</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2022-12-16T15:48:20Z</dcterms:created>
</cp:coreProperties>
</file>