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640" tabRatio="889" activeTab="7"/>
  </bookViews>
  <sheets>
    <sheet name="Storage Based Sizing" sheetId="2" r:id="rId1"/>
    <sheet name="Questions for sizing" sheetId="3" r:id="rId2"/>
    <sheet name="Hadoop Cluster Sizing" sheetId="5" r:id="rId3"/>
    <sheet name="Dictionaries" sheetId="6" state="hidden" r:id="rId4"/>
    <sheet name="Cluster Configuration" sheetId="7" r:id="rId5"/>
    <sheet name="YARN Configuration" sheetId="8" r:id="rId6"/>
    <sheet name="MapReduce Configuration" sheetId="9" r:id="rId7"/>
    <sheet name="Sizing Exercise" sheetId="12" r:id="rId8"/>
    <sheet name="BOM" sheetId="13"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1" i="9" l="1"/>
  <c r="F40" i="9"/>
  <c r="F39" i="9"/>
  <c r="F38" i="9"/>
  <c r="F37" i="9"/>
  <c r="F34" i="9"/>
  <c r="F33" i="9"/>
  <c r="F32" i="9"/>
  <c r="F31" i="9"/>
  <c r="F30" i="9"/>
  <c r="F29" i="9"/>
  <c r="F26" i="9"/>
  <c r="F25" i="9"/>
  <c r="F24" i="9"/>
  <c r="F23" i="9"/>
  <c r="F22" i="9"/>
  <c r="E52" i="8"/>
  <c r="E51" i="8"/>
  <c r="E28" i="7"/>
  <c r="E30" i="7"/>
  <c r="E50" i="8"/>
  <c r="E49" i="8"/>
  <c r="F8" i="8"/>
  <c r="E48" i="8"/>
  <c r="E47" i="8"/>
  <c r="E46" i="8"/>
  <c r="E45" i="8"/>
  <c r="F15" i="8"/>
  <c r="F39" i="8"/>
  <c r="F38" i="8"/>
  <c r="F28" i="7"/>
  <c r="F31" i="7"/>
  <c r="F16" i="8"/>
  <c r="F37" i="8"/>
  <c r="F36" i="8"/>
  <c r="F9" i="8"/>
  <c r="C13" i="6"/>
  <c r="C12" i="6"/>
  <c r="C11" i="6"/>
  <c r="C10" i="6"/>
  <c r="C9" i="6"/>
  <c r="C8" i="6"/>
  <c r="C7" i="6"/>
  <c r="C6" i="6"/>
  <c r="C5" i="6"/>
  <c r="C4" i="6"/>
  <c r="C3" i="6"/>
  <c r="C2" i="6"/>
  <c r="C19" i="5"/>
  <c r="C26" i="5"/>
  <c r="C16" i="5"/>
  <c r="C22" i="5"/>
  <c r="C29" i="5"/>
  <c r="C34" i="5"/>
  <c r="C45" i="5"/>
  <c r="C44" i="5"/>
  <c r="C33" i="5"/>
  <c r="C43" i="5"/>
  <c r="C42" i="5"/>
  <c r="C41" i="5"/>
  <c r="C17" i="5"/>
  <c r="C23" i="5"/>
  <c r="C32" i="5"/>
  <c r="C40" i="5"/>
  <c r="C39" i="5"/>
  <c r="C38" i="5"/>
  <c r="C37" i="5"/>
  <c r="C31" i="5"/>
  <c r="C30" i="5"/>
</calcChain>
</file>

<file path=xl/sharedStrings.xml><?xml version="1.0" encoding="utf-8"?>
<sst xmlns="http://schemas.openxmlformats.org/spreadsheetml/2006/main" count="469" uniqueCount="392">
  <si>
    <t>Average daily ingest rate</t>
  </si>
  <si>
    <t>1 TB</t>
  </si>
  <si>
    <t>Replication factor</t>
  </si>
  <si>
    <t>3 (copies of each block)</t>
  </si>
  <si>
    <t>Daily raw consumption</t>
  </si>
  <si>
    <t>3 TB</t>
  </si>
  <si>
    <t>Ingest × replication</t>
  </si>
  <si>
    <t>Node raw storage</t>
  </si>
  <si>
    <t>24 TB</t>
  </si>
  <si>
    <t>12 × 2 TB SATA II HDD</t>
  </si>
  <si>
    <t>MapReduce temp space reserve</t>
  </si>
  <si>
    <t>For intermediate MapReduce data</t>
  </si>
  <si>
    <t>Node-usable raw storage</t>
  </si>
  <si>
    <t>18 TB</t>
  </si>
  <si>
    <t>Node raw storage – MapReduce reserve</t>
  </si>
  <si>
    <t>1 year (flat growth)</t>
  </si>
  <si>
    <t>Ingest × replication × 365 / node raw storage</t>
  </si>
  <si>
    <t>1 year (5% growth per month[b])</t>
  </si>
  <si>
    <t>1 year (10% growth per month)</t>
  </si>
  <si>
    <t>61 Nodes</t>
  </si>
  <si>
    <t>81 Nodes</t>
  </si>
  <si>
    <t>109 Nodes</t>
  </si>
  <si>
    <t>How will multi-tenancy and sharing work if more than one group is going to be using your cluster.</t>
  </si>
  <si>
    <t>Should I have one or a few big Hadoop clusters, or many small clusters</t>
  </si>
  <si>
    <t>Understand your storage, processing, and concurrency needs. Not all Hadoop schedulers are created equal for all situations.</t>
  </si>
  <si>
    <t>Do you need or want to leverage virtualization and or cloud bursting?</t>
  </si>
  <si>
    <t>Choose your hardware carefully to keep costs per TB low. How to mange TB vs cpu/core is important.</t>
  </si>
  <si>
    <t>Understand what you need in your edge nodes for utility and add-on software.</t>
  </si>
  <si>
    <t>Plan your data acquisition and export needs between your Hadoop cluster and the rest of your ecosystem.</t>
  </si>
  <si>
    <t>Understand your security needs at a data and functional level.</t>
  </si>
  <si>
    <t>Why they are pursuing Big Data (other than it is the hot thing to do).</t>
  </si>
  <si>
    <t>How Hadoop differs from past propriety Big Data solutions.</t>
  </si>
  <si>
    <t>How it can fit along side existing legacy systems.</t>
  </si>
  <si>
    <t>How to ultimately manage costs and expectations at both a management and technical level.</t>
  </si>
  <si>
    <t>What are your up time requirements? Plan for rolling patches and upgrades</t>
  </si>
  <si>
    <t>CPU</t>
  </si>
  <si>
    <t>Customer Inputs</t>
  </si>
  <si>
    <t>Data Size, TB</t>
  </si>
  <si>
    <t>Amount of data you plan to host in TB, without compression</t>
  </si>
  <si>
    <t>Disk Type</t>
  </si>
  <si>
    <t>3.5" 6TB SATA 7.2k rpm</t>
  </si>
  <si>
    <t>Disk type you plan to use, choose from dropdown list</t>
  </si>
  <si>
    <t>Disks Per Server</t>
  </si>
  <si>
    <t>Amount of disks per server you plan to have. Remember that typically for 2.5" HDDs you can have up to 24 HDDs in 2U server, for 3.5" HDDs it is 14 HDDs in 2U server</t>
  </si>
  <si>
    <t>RAM Per Server, GB</t>
  </si>
  <si>
    <t>The more RAM the better</t>
  </si>
  <si>
    <t>CPU Cores Per Server</t>
  </si>
  <si>
    <t>Number of CPU cores per server</t>
  </si>
  <si>
    <t>Compression Factor</t>
  </si>
  <si>
    <t>For &lt;2 rack configurations set to 1.0</t>
  </si>
  <si>
    <t>Sizing Multiplier</t>
  </si>
  <si>
    <t>Multiplier used to increase cluster size to deliver lower SLA by using more hardware. Default is 1.0, which means purely data volume sizing</t>
  </si>
  <si>
    <t>Constants</t>
  </si>
  <si>
    <t>System Disks</t>
  </si>
  <si>
    <t>Disk Real Size, GB</t>
  </si>
  <si>
    <t>Disk Scan Rate, MB/sec</t>
  </si>
  <si>
    <t>RAM Scan rate, MB/sec</t>
  </si>
  <si>
    <t>Cache Size, GB</t>
  </si>
  <si>
    <t>Single Server</t>
  </si>
  <si>
    <t>Raw Space, GB</t>
  </si>
  <si>
    <t>Scan Rate, MB/sec</t>
  </si>
  <si>
    <t>Data</t>
  </si>
  <si>
    <t>Raw Space Required, TB</t>
  </si>
  <si>
    <t>System Sizing</t>
  </si>
  <si>
    <t>Number of Servers</t>
  </si>
  <si>
    <t>Racks</t>
  </si>
  <si>
    <t>Usable Space, TB</t>
  </si>
  <si>
    <t>Scan Rate, GB/sec</t>
  </si>
  <si>
    <t>RAM Scan rate, GB/sec</t>
  </si>
  <si>
    <t>Cache Size, TB</t>
  </si>
  <si>
    <t>SLA Calculation</t>
  </si>
  <si>
    <t>Time to scan 100% of data</t>
  </si>
  <si>
    <t>Time to scan 50% of data</t>
  </si>
  <si>
    <t>Time to scan 10% of data</t>
  </si>
  <si>
    <t>Time to scan 1% of data</t>
  </si>
  <si>
    <t>Scan 1TB from cache</t>
  </si>
  <si>
    <t>Scan 5TB from cache</t>
  </si>
  <si>
    <t>Scan 10TB from cache</t>
  </si>
  <si>
    <t>Scan 40TB from cache</t>
  </si>
  <si>
    <t>Scan 100TB from cache</t>
  </si>
  <si>
    <t>Disk</t>
  </si>
  <si>
    <t>Marketing Size, GB</t>
  </si>
  <si>
    <t>Real Size, GB</t>
  </si>
  <si>
    <t>Sequential Scan Rate, MB/sec</t>
  </si>
  <si>
    <t>2.5" 300GB SAS 10k rpm</t>
  </si>
  <si>
    <t>2.5" 600GB SAS 10k rpm</t>
  </si>
  <si>
    <t>2.5" 900GB SAS 10k rpm</t>
  </si>
  <si>
    <t>2.5" 1200GB SAS 10k rpm</t>
  </si>
  <si>
    <t>2.5" 1500GB SAS 10k rpm</t>
  </si>
  <si>
    <t>2.5" 1800GB SAS 10k rpm</t>
  </si>
  <si>
    <t>3.5" 1TB SATA 7.2k rpm</t>
  </si>
  <si>
    <t>3.5" 2TB SATA 7.2k rpm</t>
  </si>
  <si>
    <t>3.5" 3TB SATA 7.2k rpm</t>
  </si>
  <si>
    <t>3.5" 4TB SATA 7.2k rpm</t>
  </si>
  <si>
    <t>3.5" 8TB SATA 7.2k rpm</t>
  </si>
  <si>
    <t>Disk Number</t>
  </si>
  <si>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</si>
  <si>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</si>
  <si>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</si>
  <si>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</si>
  <si>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</si>
  <si>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</si>
  <si>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</si>
  <si>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</si>
  <si>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</si>
  <si>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</si>
  <si>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</si>
  <si>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</si>
  <si>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</si>
  <si>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</si>
  <si>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</si>
  <si>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</si>
  <si>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</si>
  <si>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</si>
  <si>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</si>
  <si>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</si>
  <si>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</si>
  <si>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</si>
  <si>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</si>
  <si>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</si>
  <si>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</si>
  <si>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</si>
  <si>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</si>
  <si>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</si>
  <si>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</si>
  <si>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</si>
  <si>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</si>
  <si>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</si>
  <si>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</si>
  <si>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</si>
  <si>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</si>
  <si>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</si>
  <si>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</si>
  <si>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</si>
  <si>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</si>
  <si>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</si>
  <si>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</si>
  <si>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</si>
  <si>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</si>
  <si>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</si>
  <si>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</si>
  <si>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</si>
  <si>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</si>
  <si>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</si>
  <si>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</si>
  <si>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</si>
  <si>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</si>
  <si>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</si>
  <si>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</si>
  <si>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</si>
  <si>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</si>
  <si>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</si>
  <si>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</si>
  <si>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</si>
  <si>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</si>
  <si>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</si>
  <si>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</si>
  <si>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</si>
  <si>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</si>
  <si>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</si>
  <si>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</si>
  <si>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</si>
  <si>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</si>
  <si>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</si>
  <si>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</si>
  <si>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</si>
  <si>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</si>
  <si>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</si>
  <si>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</si>
  <si>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</si>
  <si>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</si>
  <si>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</si>
  <si>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</si>
  <si>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</si>
  <si>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</si>
  <si>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</si>
  <si>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</si>
  <si>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</si>
  <si>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</si>
  <si>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</si>
  <si>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</si>
  <si>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</si>
  <si>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</si>
  <si>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</si>
  <si>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</si>
  <si>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</si>
  <si>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</si>
  <si>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</si>
  <si>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</si>
  <si>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</si>
  <si>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</si>
  <si>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</si>
  <si>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</si>
  <si>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</si>
  <si>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</si>
  <si>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</si>
  <si>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</si>
  <si>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</si>
  <si>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</si>
  <si>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yarn.nodemanager.resource.cpu-vcores</t>
  </si>
  <si>
    <t>Memory Min &lt; 1024 MB</t>
  </si>
  <si>
    <t>If yarn.scheduler.minimum-allocation-mb is less than 1GB, containers will likely get killed by YARN</t>
  </si>
  <si>
    <t>Memory Max &lt;= HostsMemory</t>
  </si>
  <si>
    <t>yarn.scheduler.maximum-allocation-mb must be less than or equal to the yarn.nodemanager.resource.memory-mb</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</si>
  <si>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</si>
  <si>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</si>
  <si>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</si>
  <si>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</si>
  <si>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</si>
  <si>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</si>
  <si>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</si>
  <si>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</si>
  <si>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</si>
  <si>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</si>
  <si>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</si>
  <si>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</si>
  <si>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</si>
  <si>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</si>
  <si>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</si>
  <si>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</si>
  <si>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</si>
  <si>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</si>
  <si>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</si>
  <si>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</si>
  <si>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</si>
  <si>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</si>
  <si>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</si>
  <si>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</si>
  <si>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</si>
  <si>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</si>
  <si>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</si>
  <si>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</si>
  <si>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</si>
  <si>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</si>
  <si>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</si>
  <si>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</si>
  <si>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</si>
  <si>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</si>
  <si>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</si>
  <si>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</si>
  <si>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</si>
  <si>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</si>
  <si>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</si>
  <si>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</si>
  <si>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</si>
  <si>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</si>
  <si>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</si>
  <si>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</si>
  <si>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</si>
  <si>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</si>
  <si>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</si>
  <si>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</si>
  <si>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</si>
  <si>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</si>
  <si>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</si>
  <si>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</si>
  <si>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</si>
  <si>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</si>
  <si>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</si>
  <si>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</si>
  <si>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</si>
  <si>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</si>
  <si>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</si>
  <si>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</si>
  <si>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</si>
  <si>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</si>
  <si>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</si>
  <si>
    <t>NM</t>
  </si>
  <si>
    <t>Total Volume</t>
  </si>
  <si>
    <t>TB</t>
  </si>
  <si>
    <t>Size</t>
  </si>
  <si>
    <t>Unit</t>
  </si>
  <si>
    <t>Data growth</t>
  </si>
  <si>
    <t>replication</t>
  </si>
  <si>
    <t>retention period</t>
  </si>
  <si>
    <t>month</t>
  </si>
  <si>
    <t>S</t>
  </si>
  <si>
    <t>G</t>
  </si>
  <si>
    <t>R</t>
  </si>
  <si>
    <t>r</t>
  </si>
  <si>
    <t>D</t>
  </si>
  <si>
    <t>Delta for temp space</t>
  </si>
  <si>
    <t>percent</t>
  </si>
  <si>
    <t>P</t>
  </si>
  <si>
    <t>Plan time period</t>
  </si>
  <si>
    <t>C</t>
  </si>
  <si>
    <t>Total disk needed</t>
  </si>
  <si>
    <t>c=</t>
  </si>
  <si>
    <t>`= S * R + G * P + G * r + D (S * R * 0.3)</t>
  </si>
  <si>
    <t>`=1500 TB + 5 * 6 + 5 * 3 + 450 TB</t>
  </si>
  <si>
    <t>`=1500 TB + 30 + 15 + 450TB</t>
  </si>
  <si>
    <t>`=2 PB</t>
  </si>
  <si>
    <t>(present - past)/past</t>
  </si>
  <si>
    <t>Other factors</t>
  </si>
  <si>
    <t>Compression</t>
  </si>
  <si>
    <t>Intermediate Job Data</t>
  </si>
  <si>
    <t>Free Disk Space requirement</t>
  </si>
  <si>
    <t>20-30</t>
  </si>
  <si>
    <t>Usable disk</t>
  </si>
  <si>
    <t>Storage</t>
  </si>
  <si>
    <t>delta for temp space</t>
  </si>
  <si>
    <t>intermediate job data?</t>
  </si>
  <si>
    <t>Now, lets calculate number of nodes needed</t>
  </si>
  <si>
    <t>N</t>
  </si>
  <si>
    <t>Total nodes required</t>
  </si>
  <si>
    <t>Nm</t>
  </si>
  <si>
    <t>Number of master nodes</t>
  </si>
  <si>
    <t>Ns</t>
  </si>
  <si>
    <t>Number of data nodes</t>
  </si>
  <si>
    <t>disk per node</t>
  </si>
  <si>
    <t>Sd</t>
  </si>
  <si>
    <t>size of each disk</t>
  </si>
  <si>
    <t>Cn</t>
  </si>
  <si>
    <t>Storage capacity per node( D * Sd)</t>
  </si>
  <si>
    <t>Storage required</t>
  </si>
  <si>
    <t>F</t>
  </si>
  <si>
    <t>DN failure rate</t>
  </si>
  <si>
    <t>DN failure rate (10%)</t>
  </si>
  <si>
    <t>5-10%</t>
  </si>
  <si>
    <t>Non-HA</t>
  </si>
  <si>
    <t>excluding (1 for OS, 1 for Temp, 1 for logs)</t>
  </si>
  <si>
    <t>`=Nm + Ns</t>
  </si>
  <si>
    <t>`=C / (Sd * D)</t>
  </si>
  <si>
    <t>`= 2000 TB / ( 4 TB * 20)</t>
  </si>
  <si>
    <t>`=2000 / 80</t>
  </si>
  <si>
    <t>25 Nodes</t>
  </si>
  <si>
    <t>`=2 + 25 + 2.5</t>
  </si>
  <si>
    <t>30 Nodes</t>
  </si>
  <si>
    <t>Momory Based Node calculation</t>
  </si>
  <si>
    <t>DN process</t>
  </si>
  <si>
    <t>Mapper</t>
  </si>
  <si>
    <t>HDFS block size</t>
  </si>
  <si>
    <t>MB</t>
  </si>
  <si>
    <t>GB</t>
  </si>
  <si>
    <t xml:space="preserve">Hot data </t>
  </si>
  <si>
    <t>per node</t>
  </si>
  <si>
    <t>Splits to process</t>
  </si>
  <si>
    <t>(4TB/block size)</t>
  </si>
  <si>
    <t>Memory needed</t>
  </si>
  <si>
    <t>`32768* mapper memory</t>
  </si>
  <si>
    <t>32 TB</t>
  </si>
  <si>
    <t>So waves</t>
  </si>
  <si>
    <t>mappers per node</t>
  </si>
  <si>
    <t>waves</t>
  </si>
  <si>
    <t>time?</t>
  </si>
  <si>
    <t>does each node have 128 vcores</t>
  </si>
  <si>
    <t>improve this in terms of cost and time</t>
  </si>
  <si>
    <t>Revise estimate</t>
  </si>
  <si>
    <t>2 TB</t>
  </si>
  <si>
    <t>2 PB</t>
  </si>
  <si>
    <t>excluding 3</t>
  </si>
  <si>
    <t>`=2000 / 40</t>
  </si>
  <si>
    <t>50 Nodes</t>
  </si>
  <si>
    <t>50 + 5</t>
  </si>
  <si>
    <t>account failure nodes</t>
  </si>
  <si>
    <t>Master Nodes</t>
  </si>
  <si>
    <t>Slave Nodes</t>
  </si>
  <si>
    <t xml:space="preserve">Redundant power supply units </t>
  </si>
  <si>
    <t>20 disks for data blocks</t>
  </si>
  <si>
    <t>Two disks for logs and two disks for Namenode metadata</t>
  </si>
  <si>
    <t>At least two network cards bounded together with minimum 1 Gbps</t>
  </si>
  <si>
    <t xml:space="preserve">One disk for OS, no need for RAID on Datanodes </t>
  </si>
  <si>
    <t>Two disks for logs and tmp space</t>
  </si>
  <si>
    <t>RAM 96 to 128 GM per node</t>
  </si>
  <si>
    <t xml:space="preserve">CPU Cores 16 to 32 cores </t>
  </si>
  <si>
    <t>Two to three edge nodes behind a load balancer</t>
  </si>
  <si>
    <t>One disk for OS</t>
  </si>
  <si>
    <t xml:space="preserve">The intent is to not execute anything on edge nodes, but just stage them to run on the cluster </t>
  </si>
  <si>
    <t xml:space="preserve">Rack top switch costs, depending upon the number oports per switch </t>
  </si>
  <si>
    <t xml:space="preserve">The number oservers that can go into a rack and the rack top switch support for the number oports </t>
  </si>
  <si>
    <t>Aggregation, backbone switches, and routers Cooling needs for the entire cluster</t>
  </si>
  <si>
    <t>Power needs for the cluster</t>
  </si>
  <si>
    <t xml:space="preserve">Real estate for the data center </t>
  </si>
  <si>
    <r>
      <rPr>
        <b/>
        <sz val="12"/>
        <color theme="1"/>
        <rFont val="Calibri"/>
        <family val="2"/>
        <scheme val="minor"/>
      </rPr>
      <t>Costing edge nodes:</t>
    </r>
    <r>
      <rPr>
        <sz val="12"/>
        <color theme="1"/>
        <rFont val="Calibri"/>
        <family val="2"/>
        <scheme val="minor"/>
      </rPr>
      <t xml:space="preserve">  </t>
    </r>
  </si>
  <si>
    <t>Costing network components, racks, power supply, and cooling:</t>
  </si>
  <si>
    <t xml:space="preserve">Costing manpower and skill set: </t>
  </si>
  <si>
    <t>Two OS disks in Raid 1 configuration</t>
  </si>
  <si>
    <t>RAM 128 GB, higher the HBase master is co-located on a Namenode CPU cores per master</t>
  </si>
  <si>
    <t xml:space="preserve">Disk enclosures (JBOD enclosures), as 24 disks cannot fit inside a server encasing </t>
  </si>
  <si>
    <t>At least two NIC cards per Datanode</t>
  </si>
  <si>
    <t xml:space="preserve">The user directory is scalable as the mount can be from Hadoop HDFS as NFS export  </t>
  </si>
  <si>
    <t>RAM 64 GB</t>
  </si>
  <si>
    <t xml:space="preserve">1. Run benchmark tests on different hardware examples from HP, IBM, or Dell and compare them for the throughput per unit cost. </t>
  </si>
  <si>
    <t xml:space="preserve">2. What is the roadmap for the hardware you choose? How long will the vendor support it? </t>
  </si>
  <si>
    <t xml:space="preserve">3. Every year, the new hardware will be a better value for compute per unit. What will be the buyback strategy for the old hardware? Will the vendor take back the old hardware and give the new hardware at discounted rates? </t>
  </si>
  <si>
    <t xml:space="preserve">4. Does the hardware have tightly coupled components, which could be dif cult to replace in isolation? </t>
  </si>
  <si>
    <t xml:space="preserve">5. What software options does the user have in terms of vendors? Should we go for HDP, Cloudera, or Mapr distribution or use the Apache Hadoop distribution. </t>
  </si>
  <si>
    <r>
      <t xml:space="preserve">6. Total cost of ownership </t>
    </r>
    <r>
      <rPr>
        <sz val="10"/>
        <color theme="1"/>
        <rFont val="FranklinGothic"/>
      </rPr>
      <t>(</t>
    </r>
    <r>
      <rPr>
        <sz val="10"/>
        <color theme="1"/>
        <rFont val="FranklinGothic"/>
      </rPr>
      <t>TCO</t>
    </r>
    <r>
      <rPr>
        <sz val="10"/>
        <color theme="1"/>
        <rFont val="FranklinGothic"/>
      </rPr>
      <t xml:space="preserve">) should take into account all the factors discussed in the previous recipe. Apache Hadoop may initially look like a very economical option, but what about the cost of building your support engineering teams to handle that. </t>
    </r>
  </si>
  <si>
    <t xml:space="preserve">7. What is the release cycle for the Hadoop stack? Is it stable or rapid with an intent to have the latest software? </t>
  </si>
  <si>
    <t xml:space="preserve">8. Always have multiple environments such as Dev, Staging, and Prod to rollout the changes in a systematic way and catch the errors and capacity issues before they hit production. </t>
  </si>
  <si>
    <t>JN ?</t>
  </si>
  <si>
    <t>ZK?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</si>
</sst>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h]:mm:ss;@"/>
  </numFmts>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4"/>
      <color rgb="FF444444"/>
      <name val="Helvetica Neue"/>
    </font>
    <font>
      <b/>
      <sz val="12"/>
      <color theme="6" tint="-0.499984740745262"/>
      <name val="Calibri"/>
      <scheme val="minor"/>
    </font>
    <font>
      <b/>
      <sz val="12"/>
      <color theme="9" tint="-0.249977111117893"/>
      <name val="Calibri"/>
      <scheme val="minor"/>
    </font>
    <font>
      <b/>
      <sz val="12"/>
      <color rgb="FF000000"/>
      <name val="Calibri"/>
      <scheme val="minor"/>
    </font>
    <font>
      <sz val="12"/>
      <color rgb="FF000000"/>
      <name val="Calibri"/>
      <family val="2"/>
      <charset val="204"/>
      <scheme val="minor"/>
    </font>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sz val="12"/>
      <color indexed="11"/>
      <name val="Calibri"/>
    </font>
    <font>
      <b/>
      <sz val="36"/>
      <color indexed="8"/>
      <name val="Calibri"/>
    </font>
    <font>
      <sz val="10"/>
      <color theme="1"/>
      <name val="FranklinGothic"/>
    </font>
    <font>
      <sz val="10"/>
      <color theme="1"/>
      <name val="FranklinGothic"/>
    </font>
  </fonts>
  <fills count="7">
    <fill>
      <patternFill patternType="none"/>
    </fill>
    <fill>
      <patternFill patternType="gray125"/>
    </fill>
    <fill>
      <patternFill patternType="solid">
        <fgColor theme="3"/>
        <bgColor indexed="64"/>
      </patternFill>
    </fill>
    <fill>
      <patternFill patternType="solid">
        <fgColor theme="6" tint="0.39997558519241921"/>
        <bgColor indexed="64"/>
      </patternFill>
    </fill>
    <fill>
      <patternFill patternType="solid">
        <fgColor indexed="12"/>
        <bgColor auto="1"/>
      </patternFill>
    </fill>
    <fill>
      <patternFill patternType="solid">
        <fgColor indexed="10"/>
        <bgColor auto="1"/>
      </patternFill>
    </fill>
    <fill>
      <patternFill patternType="solid">
        <fgColor indexed="13"/>
        <bgColor auto="1"/>
      </patternFill>
    </fill>
  </fills>
  <borders count="12">
    <border>
      <left/>
      <right/>
      <top/>
      <bottom/>
      <diagonal/>
    </border>
    <border>
      <left style="thin">
        <color auto="1"/>
      </left>
      <right style="thin">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9"/>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applyNumberFormat="0" applyFill="0" applyBorder="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0">
    <xf numFmtId="0" fontId="0" fillId="0" borderId="0" xfId="0"/>
    <xf numFmtId="0" fontId="1" fillId="0" borderId="0" xfId="0" applyFont="1"/>
    <xf numFmtId="0" fontId="4" fillId="0" borderId="0" xfId="0" applyFont="1"/>
    <xf numFmtId="0" fontId="4" fillId="0" borderId="0" xfId="0" applyFont="1" applyAlignment="1">
      <alignment horizontal="center" vertical="center"/>
    </xf>
    <xf numFmtId="9" fontId="4" fillId="0" borderId="0" xfId="0" applyNumberFormat="1" applyFont="1" applyAlignment="1">
      <alignment horizontal="center" vertical="center"/>
    </xf>
    <xf numFmtId="0" fontId="0" fillId="0" borderId="0" xfId="0" applyAlignment="1">
      <alignment horizontal="center" vertical="center"/>
    </xf>
    <xf numFmtId="0" fontId="0" fillId="2" borderId="0" xfId="0" applyFill="1"/>
    <xf numFmtId="0" fontId="1" fillId="0" borderId="0" xfId="0" applyFont="1" applyBorder="1"/>
    <xf numFmtId="0" fontId="0" fillId="0" borderId="0" xfId="0" applyBorder="1"/>
    <xf numFmtId="0" fontId="0" fillId="3" borderId="1" xfId="0" applyFill="1" applyBorder="1"/>
    <xf numFmtId="1" fontId="5" fillId="0" borderId="1" xfId="0" applyNumberFormat="1" applyFont="1" applyBorder="1"/>
    <xf numFmtId="0" fontId="0" fillId="0" borderId="1" xfId="0" applyBorder="1" applyAlignment="1">
      <alignment wrapText="1"/>
    </xf>
    <xf numFmtId="164" fontId="5" fillId="0" borderId="1" xfId="0" applyNumberFormat="1" applyFont="1" applyBorder="1" applyAlignment="1">
      <alignment horizontal="right"/>
    </xf>
    <xf numFmtId="164" fontId="5" fillId="0" borderId="1" xfId="0" applyNumberFormat="1" applyFont="1" applyBorder="1"/>
    <xf numFmtId="0" fontId="0" fillId="0" borderId="0" xfId="0" applyFill="1" applyBorder="1"/>
    <xf numFmtId="1" fontId="0" fillId="0" borderId="0" xfId="0" applyNumberFormat="1" applyFill="1" applyBorder="1"/>
    <xf numFmtId="0" fontId="0" fillId="0" borderId="0" xfId="0" applyAlignment="1">
      <alignment wrapText="1"/>
    </xf>
    <xf numFmtId="165" fontId="6" fillId="0" borderId="0" xfId="0" applyNumberFormat="1" applyFont="1" applyBorder="1"/>
    <xf numFmtId="0" fontId="0" fillId="2" borderId="0" xfId="0" applyFill="1" applyAlignment="1">
      <alignment wrapText="1"/>
    </xf>
    <xf numFmtId="164" fontId="0" fillId="0" borderId="0" xfId="0" applyNumberFormat="1" applyBorder="1"/>
    <xf numFmtId="1" fontId="0" fillId="0" borderId="1" xfId="0" applyNumberFormat="1" applyBorder="1"/>
    <xf numFmtId="164" fontId="0" fillId="0" borderId="1" xfId="0" applyNumberFormat="1" applyBorder="1"/>
    <xf numFmtId="0" fontId="0" fillId="0" borderId="1" xfId="0" applyBorder="1"/>
    <xf numFmtId="0" fontId="7" fillId="0" borderId="0" xfId="0" applyFont="1" applyBorder="1"/>
    <xf numFmtId="0" fontId="8" fillId="3" borderId="1" xfId="0" applyFont="1" applyFill="1" applyBorder="1"/>
    <xf numFmtId="3" fontId="6" fillId="0" borderId="1" xfId="0" applyNumberFormat="1" applyFont="1" applyBorder="1"/>
    <xf numFmtId="166" fontId="0" fillId="0" borderId="1" xfId="0" applyNumberFormat="1" applyBorder="1" applyAlignment="1">
      <alignment horizontal="right"/>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9" fillId="0" borderId="2" xfId="11" applyFont="1" applyBorder="1" applyAlignment="1"/>
    <xf numFmtId="0" fontId="9" fillId="0" borderId="0" xfId="11" applyNumberFormat="1" applyFont="1" applyAlignment="1"/>
    <xf numFmtId="49" fontId="13" fillId="0" borderId="3" xfId="11" applyNumberFormat="1" applyFont="1" applyBorder="1" applyAlignment="1"/>
    <xf numFmtId="0" fontId="14" fillId="5" borderId="0" xfId="11" applyNumberFormat="1" applyFont="1" applyFill="1" applyBorder="1" applyAlignment="1"/>
    <xf numFmtId="0" fontId="9" fillId="0" borderId="6" xfId="11" applyFont="1" applyBorder="1" applyAlignment="1"/>
    <xf numFmtId="49" fontId="13" fillId="0" borderId="2" xfId="11" applyNumberFormat="1" applyFont="1" applyBorder="1" applyAlignment="1"/>
    <xf numFmtId="49" fontId="9" fillId="0" borderId="4" xfId="11" applyNumberFormat="1" applyFont="1" applyBorder="1" applyAlignment="1"/>
    <xf numFmtId="49" fontId="9" fillId="0" borderId="5" xfId="11" applyNumberFormat="1" applyFont="1" applyBorder="1" applyAlignment="1"/>
    <xf numFmtId="49" fontId="9" fillId="0" borderId="7" xfId="11" applyNumberFormat="1" applyFont="1" applyBorder="1" applyAlignment="1"/>
    <xf numFmtId="0" fontId="14" fillId="6" borderId="0" xfId="11" applyFont="1" applyFill="1" applyBorder="1" applyAlignment="1"/>
    <xf numFmtId="0" fontId="14" fillId="6" borderId="0" xfId="11" applyNumberFormat="1" applyFont="1" applyFill="1" applyBorder="1" applyAlignment="1"/>
    <xf numFmtId="0" fontId="9" fillId="0" borderId="5" xfId="11" applyFont="1" applyBorder="1" applyAlignment="1"/>
    <xf numFmtId="0" fontId="9" fillId="0" borderId="9" xfId="11" applyFont="1" applyBorder="1" applyAlignment="1"/>
    <xf numFmtId="0" fontId="9" fillId="0" borderId="10" xfId="11" applyFont="1" applyBorder="1" applyAlignment="1"/>
    <xf numFmtId="49" fontId="9" fillId="0" borderId="2" xfId="11" applyNumberFormat="1" applyFont="1" applyBorder="1" applyAlignment="1"/>
    <xf numFmtId="0" fontId="9" fillId="0" borderId="6" xfId="11" applyNumberFormat="1" applyFont="1" applyBorder="1" applyAlignment="1"/>
    <xf numFmtId="0" fontId="9" fillId="0" borderId="2" xfId="11" applyNumberFormat="1" applyFont="1" applyBorder="1" applyAlignment="1"/>
    <xf numFmtId="0" fontId="15" fillId="0" borderId="2" xfId="11" applyFont="1" applyBorder="1" applyAlignment="1"/>
    <xf numFmtId="49" fontId="9" fillId="0" borderId="3" xfId="11" applyNumberFormat="1" applyFont="1" applyBorder="1" applyAlignment="1"/>
    <xf numFmtId="0" fontId="14" fillId="5" borderId="11" xfId="11" applyNumberFormat="1" applyFont="1" applyFill="1" applyBorder="1" applyAlignment="1"/>
    <xf numFmtId="0" fontId="9" fillId="0" borderId="0" xfId="11" applyFont="1" applyAlignment="1"/>
    <xf numFmtId="49" fontId="14" fillId="6" borderId="0" xfId="11" applyNumberFormat="1" applyFont="1" applyFill="1" applyBorder="1" applyAlignment="1">
      <alignment horizontal="center"/>
    </xf>
    <xf numFmtId="49" fontId="14" fillId="5" borderId="0" xfId="11" applyNumberFormat="1" applyFont="1" applyFill="1" applyBorder="1" applyAlignment="1">
      <alignment horizontal="center"/>
    </xf>
    <xf numFmtId="0" fontId="16" fillId="0" borderId="2" xfId="11" applyFont="1" applyBorder="1" applyAlignment="1"/>
    <xf numFmtId="49" fontId="10" fillId="0" borderId="2" xfId="11" applyNumberFormat="1" applyFont="1" applyBorder="1" applyAlignment="1"/>
    <xf numFmtId="0" fontId="10" fillId="0" borderId="2" xfId="11" applyFont="1" applyBorder="1" applyAlignment="1"/>
    <xf numFmtId="0" fontId="13" fillId="0" borderId="2" xfId="11" applyFont="1" applyBorder="1" applyAlignment="1"/>
    <xf numFmtId="49" fontId="9" fillId="0" borderId="2" xfId="11" applyNumberFormat="1" applyFont="1" applyBorder="1" applyAlignment="1">
      <alignment horizontal="center"/>
    </xf>
    <xf numFmtId="9" fontId="0" fillId="0" borderId="0" xfId="0" applyNumberFormat="1"/>
    <xf numFmtId="0" fontId="0" fillId="0" borderId="0" xfId="0" applyNumberFormat="1"/>
    <xf numFmtId="0" fontId="0" fillId="0" borderId="0" xfId="0"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9" fillId="0" borderId="2" xfId="11" applyFont="1" applyBorder="1" applyAlignment="1">
      <alignment horizontal="center"/>
    </xf>
    <xf numFmtId="49" fontId="10" fillId="0" borderId="2" xfId="11" applyNumberFormat="1" applyFont="1" applyBorder="1" applyAlignment="1"/>
    <xf numFmtId="0" fontId="10" fillId="0" borderId="2" xfId="11" applyFont="1" applyBorder="1" applyAlignment="1"/>
    <xf numFmtId="49" fontId="11" fillId="0" borderId="2" xfId="11" applyNumberFormat="1" applyFont="1" applyBorder="1" applyAlignment="1"/>
    <xf numFmtId="0" fontId="11" fillId="0" borderId="2" xfId="11" applyFont="1" applyBorder="1" applyAlignment="1"/>
    <xf numFmtId="49" fontId="12" fillId="4" borderId="2" xfId="11" applyNumberFormat="1" applyFont="1" applyFill="1" applyBorder="1" applyAlignment="1">
      <alignment horizontal="left" vertical="center" wrapText="1"/>
    </xf>
    <xf numFmtId="0" fontId="12" fillId="4" borderId="2" xfId="11" applyFont="1" applyFill="1" applyBorder="1" applyAlignment="1">
      <alignment horizontal="left" vertical="center" wrapText="1"/>
    </xf>
    <xf numFmtId="49" fontId="13" fillId="0" borderId="2" xfId="11" applyNumberFormat="1" applyFont="1" applyBorder="1" applyAlignment="1"/>
    <xf numFmtId="0" fontId="13" fillId="0" borderId="2" xfId="11" applyFont="1" applyBorder="1" applyAlignment="1"/>
    <xf numFmtId="49" fontId="9" fillId="0" borderId="2" xfId="11" applyNumberFormat="1" applyFont="1" applyBorder="1" applyAlignment="1"/>
    <xf numFmtId="0" fontId="9" fillId="0" borderId="2" xfId="11" applyFont="1" applyBorder="1" applyAlignment="1"/>
    <xf numFmtId="0" fontId="9" fillId="0" borderId="4" xfId="11" applyFont="1" applyBorder="1" applyAlignment="1"/>
    <xf numFmtId="49" fontId="9" fillId="0" borderId="5" xfId="11" applyNumberFormat="1" applyFont="1" applyBorder="1" applyAlignment="1"/>
    <xf numFmtId="49" fontId="11" fillId="4" borderId="2" xfId="11" applyNumberFormat="1" applyFont="1" applyFill="1" applyBorder="1" applyAlignment="1">
      <alignment horizontal="left" vertical="center"/>
    </xf>
    <xf numFmtId="0" fontId="11" fillId="4" borderId="2" xfId="11" applyFont="1" applyFill="1" applyBorder="1" applyAlignment="1">
      <alignment horizontal="left" vertical="center"/>
    </xf>
    <xf numFmtId="49" fontId="11" fillId="0" borderId="2" xfId="11" applyNumberFormat="1" applyFont="1" applyBorder="1" applyAlignment="1">
      <alignment horizontal="left"/>
    </xf>
    <xf numFmtId="0" fontId="11" fillId="0" borderId="2" xfId="11" applyFont="1" applyBorder="1" applyAlignment="1">
      <alignment horizontal="left"/>
    </xf>
    <xf numFmtId="49" fontId="9" fillId="0" borderId="3" xfId="11" applyNumberFormat="1" applyFont="1" applyBorder="1" applyAlignment="1"/>
    <xf numFmtId="0" fontId="9" fillId="0" borderId="3" xfId="11" applyFont="1" applyBorder="1" applyAlignment="1"/>
    <xf numFmtId="49" fontId="14" fillId="6" borderId="8" xfId="11" applyNumberFormat="1" applyFont="1" applyFill="1" applyBorder="1" applyAlignment="1"/>
    <xf numFmtId="0" fontId="14" fillId="6" borderId="0" xfId="11" applyFont="1" applyFill="1" applyBorder="1" applyAlignment="1"/>
    <xf numFmtId="49" fontId="9" fillId="0" borderId="6" xfId="11" applyNumberFormat="1" applyFont="1" applyBorder="1" applyAlignment="1"/>
    <xf numFmtId="0" fontId="9" fillId="0" borderId="6" xfId="11" applyFont="1" applyBorder="1" applyAlignment="1"/>
    <xf numFmtId="0" fontId="9" fillId="4" borderId="2" xfId="11" applyFont="1" applyFill="1" applyBorder="1" applyAlignment="1">
      <alignment wrapText="1"/>
    </xf>
    <xf numFmtId="49" fontId="9" fillId="4" borderId="2" xfId="11" applyNumberFormat="1" applyFont="1" applyFill="1" applyBorder="1" applyAlignment="1">
      <alignment wrapText="1"/>
    </xf>
    <xf numFmtId="0" fontId="9" fillId="4" borderId="4" xfId="11" applyFont="1" applyFill="1" applyBorder="1" applyAlignment="1">
      <alignment wrapText="1"/>
    </xf>
    <xf numFmtId="49" fontId="10" fillId="0" borderId="2" xfId="11" applyNumberFormat="1" applyFont="1" applyBorder="1" applyAlignment="1">
      <alignment horizontal="left"/>
    </xf>
    <xf numFmtId="0" fontId="10" fillId="0" borderId="2" xfId="11" applyFont="1" applyBorder="1" applyAlignment="1">
      <alignment horizontal="left"/>
    </xf>
  </cellXfs>
  <cellStyles count="2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Hyperlink" xfId="1" builtinId="8" hidden="1"/>
    <cellStyle name="Normal" xfId="0" builtinId="0"/>
    <cellStyle name="Normal 2" xfId="11"/>
  </cellStyles>
  <dxfs count="13">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2" name="Group 1"/>
        <xdr:cNvGrpSpPr/>
      </xdr:nvGrpSpPr>
      <xdr:grpSpPr>
        <a:xfrm>
          <a:off x="88900" y="50801"/>
          <a:ext cx="2844799" cy="522884"/>
          <a:chOff x="0" y="0"/>
          <a:chExt cx="2844799" cy="522883"/>
        </a:xfrm>
      </xdr:grpSpPr>
      <xdr:sp macro="" textlink="">
        <xdr:nvSpPr>
          <xdr:cNvPr id="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1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 name="Group 1"/>
        <xdr:cNvGrpSpPr/>
      </xdr:nvGrpSpPr>
      <xdr:grpSpPr>
        <a:xfrm>
          <a:off x="88900" y="50799"/>
          <a:ext cx="2844799" cy="522884"/>
          <a:chOff x="0" y="0"/>
          <a:chExt cx="2844799" cy="522883"/>
        </a:xfrm>
      </xdr:grpSpPr>
      <xdr:sp macro="" textlink="">
        <xdr:nvSpPr>
          <xdr:cNvPr id="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1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 name="Group 1"/>
        <xdr:cNvGrpSpPr/>
      </xdr:nvGrpSpPr>
      <xdr:grpSpPr>
        <a:xfrm>
          <a:off x="88900" y="50799"/>
          <a:ext cx="2844799" cy="522884"/>
          <a:chOff x="0" y="0"/>
          <a:chExt cx="2844799" cy="522883"/>
        </a:xfrm>
      </xdr:grpSpPr>
      <xdr:sp macro="" textlink="">
        <xdr:nvSpPr>
          <xdr:cNvPr id="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1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A8" sqref="A8"/>
    </sheetView>
  </sheetViews>
  <sheetFormatPr baseColWidth="10" defaultRowHeight="15" x14ac:dyDescent="0"/>
  <cols>
    <col min="1" max="1" width="35" bestFit="1" customWidth="1"/>
    <col min="2" max="2" width="26" style="5" bestFit="1" customWidth="1"/>
    <col min="3" max="3" width="47.83203125" bestFit="1" customWidth="1"/>
  </cols>
  <sheetData>
    <row r="2" spans="1:3" ht="17">
      <c r="A2" s="2" t="s">
        <v>0</v>
      </c>
      <c r="B2" s="3" t="s">
        <v>1</v>
      </c>
      <c r="C2" s="2"/>
    </row>
    <row r="3" spans="1:3" ht="17">
      <c r="A3" s="2" t="s">
        <v>2</v>
      </c>
      <c r="B3" s="3" t="s">
        <v>3</v>
      </c>
      <c r="C3" s="2"/>
    </row>
    <row r="4" spans="1:3" ht="17">
      <c r="A4" s="2" t="s">
        <v>4</v>
      </c>
      <c r="B4" s="3" t="s">
        <v>5</v>
      </c>
      <c r="C4" s="2" t="s">
        <v>6</v>
      </c>
    </row>
    <row r="5" spans="1:3" ht="17">
      <c r="A5" s="2" t="s">
        <v>7</v>
      </c>
      <c r="B5" s="3" t="s">
        <v>8</v>
      </c>
      <c r="C5" s="2" t="s">
        <v>9</v>
      </c>
    </row>
    <row r="6" spans="1:3" ht="17">
      <c r="A6" s="2" t="s">
        <v>10</v>
      </c>
      <c r="B6" s="4">
        <v>0.25</v>
      </c>
      <c r="C6" s="2" t="s">
        <v>11</v>
      </c>
    </row>
    <row r="7" spans="1:3" ht="17">
      <c r="A7" s="2" t="s">
        <v>12</v>
      </c>
      <c r="B7" s="3" t="s">
        <v>13</v>
      </c>
      <c r="C7" s="2" t="s">
        <v>14</v>
      </c>
    </row>
    <row r="8" spans="1:3" ht="17">
      <c r="A8" s="2" t="s">
        <v>15</v>
      </c>
      <c r="B8" s="3" t="s">
        <v>19</v>
      </c>
      <c r="C8" s="2" t="s">
        <v>16</v>
      </c>
    </row>
    <row r="9" spans="1:3" ht="17">
      <c r="A9" s="2" t="s">
        <v>17</v>
      </c>
      <c r="B9" s="3" t="s">
        <v>20</v>
      </c>
      <c r="C9" s="2"/>
    </row>
    <row r="10" spans="1:3" ht="17">
      <c r="A10" s="2" t="s">
        <v>18</v>
      </c>
      <c r="B10" s="3" t="s">
        <v>21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24" sqref="A24"/>
    </sheetView>
  </sheetViews>
  <sheetFormatPr baseColWidth="10" defaultRowHeight="15" x14ac:dyDescent="0"/>
  <cols>
    <col min="1" max="1" width="130.5" bestFit="1" customWidth="1"/>
  </cols>
  <sheetData>
    <row r="1" spans="1:1" ht="17">
      <c r="A1" s="2" t="s">
        <v>22</v>
      </c>
    </row>
    <row r="2" spans="1:1" ht="17">
      <c r="A2" s="2" t="s">
        <v>23</v>
      </c>
    </row>
    <row r="3" spans="1:1" ht="17">
      <c r="A3" s="2" t="s">
        <v>24</v>
      </c>
    </row>
    <row r="4" spans="1:1" ht="17">
      <c r="A4" s="2" t="s">
        <v>25</v>
      </c>
    </row>
    <row r="5" spans="1:1" ht="17">
      <c r="A5" s="2" t="s">
        <v>26</v>
      </c>
    </row>
    <row r="6" spans="1:1" ht="17">
      <c r="A6" s="2" t="s">
        <v>27</v>
      </c>
    </row>
    <row r="7" spans="1:1" ht="17">
      <c r="A7" s="2" t="s">
        <v>28</v>
      </c>
    </row>
    <row r="8" spans="1:1" ht="17">
      <c r="A8" s="2" t="s">
        <v>29</v>
      </c>
    </row>
    <row r="9" spans="1:1" ht="17">
      <c r="A9" s="2" t="s">
        <v>30</v>
      </c>
    </row>
    <row r="10" spans="1:1" ht="17">
      <c r="A10" s="2" t="s">
        <v>31</v>
      </c>
    </row>
    <row r="11" spans="1:1" ht="17">
      <c r="A11" s="2" t="s">
        <v>32</v>
      </c>
    </row>
    <row r="12" spans="1:1" ht="17">
      <c r="A12" s="2" t="s">
        <v>33</v>
      </c>
    </row>
    <row r="13" spans="1:1" ht="17">
      <c r="A13" s="2" t="s">
        <v>34</v>
      </c>
    </row>
    <row r="15" spans="1:1">
      <c r="A15" s="60" t="s">
        <v>382</v>
      </c>
    </row>
    <row r="16" spans="1:1">
      <c r="A16" s="59"/>
    </row>
    <row r="17" spans="1:1">
      <c r="A17" s="60" t="s">
        <v>383</v>
      </c>
    </row>
    <row r="18" spans="1:1">
      <c r="A18" s="59"/>
    </row>
    <row r="19" spans="1:1">
      <c r="A19" s="60" t="s">
        <v>384</v>
      </c>
    </row>
    <row r="20" spans="1:1">
      <c r="A20" s="59"/>
    </row>
    <row r="21" spans="1:1">
      <c r="A21" s="60" t="s">
        <v>385</v>
      </c>
    </row>
    <row r="22" spans="1:1">
      <c r="A22" s="59"/>
    </row>
    <row r="23" spans="1:1">
      <c r="A23" s="60" t="s">
        <v>386</v>
      </c>
    </row>
    <row r="24" spans="1:1">
      <c r="A24" s="59"/>
    </row>
    <row r="25" spans="1:1">
      <c r="A25" s="61" t="s">
        <v>387</v>
      </c>
    </row>
    <row r="26" spans="1:1">
      <c r="A26" s="59"/>
    </row>
    <row r="27" spans="1:1">
      <c r="A27" s="60" t="s">
        <v>388</v>
      </c>
    </row>
    <row r="28" spans="1:1">
      <c r="A28" s="59"/>
    </row>
    <row r="29" spans="1:1">
      <c r="A29" s="60" t="s">
        <v>389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26" zoomScale="150" zoomScaleNormal="150" zoomScalePageLayoutView="150" workbookViewId="0">
      <selection activeCell="C39" sqref="C39"/>
    </sheetView>
  </sheetViews>
  <sheetFormatPr baseColWidth="10" defaultRowHeight="15" x14ac:dyDescent="0"/>
  <cols>
    <col min="1" max="1" width="0.1640625" customWidth="1"/>
    <col min="2" max="2" width="27.1640625" customWidth="1"/>
    <col min="3" max="3" width="26" customWidth="1"/>
    <col min="4" max="4" width="44.33203125" customWidth="1"/>
    <col min="5" max="5" width="0.1640625" customWidth="1"/>
  </cols>
  <sheetData>
    <row r="1" spans="1:5" ht="1" customHeight="1">
      <c r="A1" s="6"/>
      <c r="B1" s="6"/>
      <c r="C1" s="6"/>
      <c r="D1" s="6"/>
      <c r="E1" s="6"/>
    </row>
    <row r="2" spans="1:5">
      <c r="A2" s="6"/>
      <c r="B2" s="7" t="s">
        <v>36</v>
      </c>
      <c r="C2" s="8"/>
      <c r="E2" s="6"/>
    </row>
    <row r="3" spans="1:5" ht="30">
      <c r="A3" s="6"/>
      <c r="B3" s="9" t="s">
        <v>37</v>
      </c>
      <c r="C3" s="10">
        <v>1000</v>
      </c>
      <c r="D3" s="11" t="s">
        <v>38</v>
      </c>
      <c r="E3" s="6"/>
    </row>
    <row r="4" spans="1:5" ht="15" customHeight="1">
      <c r="A4" s="6"/>
      <c r="B4" s="9" t="s">
        <v>39</v>
      </c>
      <c r="C4" s="12" t="s">
        <v>40</v>
      </c>
      <c r="D4" s="11" t="s">
        <v>41</v>
      </c>
      <c r="E4" s="6"/>
    </row>
    <row r="5" spans="1:5" ht="60">
      <c r="A5" s="6"/>
      <c r="B5" s="9" t="s">
        <v>42</v>
      </c>
      <c r="C5" s="10">
        <v>12</v>
      </c>
      <c r="D5" s="11" t="s">
        <v>43</v>
      </c>
      <c r="E5" s="6"/>
    </row>
    <row r="6" spans="1:5">
      <c r="A6" s="6"/>
      <c r="B6" s="9" t="s">
        <v>44</v>
      </c>
      <c r="C6" s="10">
        <v>384</v>
      </c>
      <c r="D6" s="11" t="s">
        <v>45</v>
      </c>
      <c r="E6" s="6"/>
    </row>
    <row r="7" spans="1:5">
      <c r="A7" s="6"/>
      <c r="B7" s="9" t="s">
        <v>46</v>
      </c>
      <c r="C7" s="10">
        <v>32</v>
      </c>
      <c r="D7" s="11" t="s">
        <v>47</v>
      </c>
      <c r="E7" s="6"/>
    </row>
    <row r="8" spans="1:5">
      <c r="A8" s="6"/>
      <c r="B8" s="9" t="s">
        <v>48</v>
      </c>
      <c r="C8" s="13">
        <v>2.2999999999999998</v>
      </c>
      <c r="D8" s="11" t="s">
        <v>49</v>
      </c>
      <c r="E8" s="6"/>
    </row>
    <row r="9" spans="1:5">
      <c r="A9" s="6"/>
      <c r="B9" s="14"/>
      <c r="C9" s="15"/>
      <c r="D9" s="16"/>
      <c r="E9" s="6"/>
    </row>
    <row r="10" spans="1:5" ht="45">
      <c r="A10" s="6"/>
      <c r="B10" s="7" t="s">
        <v>50</v>
      </c>
      <c r="C10" s="17">
        <v>1.5</v>
      </c>
      <c r="D10" s="16" t="s">
        <v>51</v>
      </c>
      <c r="E10" s="6"/>
    </row>
    <row r="11" spans="1:5">
      <c r="A11" s="6"/>
      <c r="D11" s="16"/>
      <c r="E11" s="6"/>
    </row>
    <row r="12" spans="1:5" ht="1" customHeight="1">
      <c r="A12" s="6"/>
      <c r="B12" s="6"/>
      <c r="C12" s="6"/>
      <c r="D12" s="18"/>
      <c r="E12" s="6"/>
    </row>
    <row r="13" spans="1:5">
      <c r="A13" s="6"/>
      <c r="D13" s="16"/>
      <c r="E13" s="6"/>
    </row>
    <row r="14" spans="1:5">
      <c r="A14" s="6"/>
      <c r="B14" s="7" t="s">
        <v>52</v>
      </c>
      <c r="C14" s="19"/>
      <c r="D14" s="16"/>
      <c r="E14" s="6"/>
    </row>
    <row r="15" spans="1:5">
      <c r="A15" s="6"/>
      <c r="B15" s="9" t="s">
        <v>53</v>
      </c>
      <c r="C15" s="20">
        <v>2</v>
      </c>
      <c r="D15" s="16"/>
      <c r="E15" s="6"/>
    </row>
    <row r="16" spans="1:5">
      <c r="A16" s="6"/>
      <c r="B16" s="9" t="s">
        <v>54</v>
      </c>
      <c r="C16" s="21">
        <f>VLOOKUP(C4,Dictionaries!A1:D13, 3, FALSE)</f>
        <v>5587.9354476928711</v>
      </c>
      <c r="D16" s="16"/>
      <c r="E16" s="6"/>
    </row>
    <row r="17" spans="1:5">
      <c r="A17" s="6"/>
      <c r="B17" s="9" t="s">
        <v>55</v>
      </c>
      <c r="C17" s="21">
        <f>VLOOKUP(C4,Dictionaries!A1:D13,4,FALSE)</f>
        <v>60</v>
      </c>
      <c r="E17" s="6"/>
    </row>
    <row r="18" spans="1:5">
      <c r="A18" s="6"/>
      <c r="B18" s="9" t="s">
        <v>56</v>
      </c>
      <c r="C18" s="22">
        <v>8000</v>
      </c>
      <c r="E18" s="6"/>
    </row>
    <row r="19" spans="1:5">
      <c r="A19" s="6"/>
      <c r="B19" s="9" t="s">
        <v>57</v>
      </c>
      <c r="C19" s="22">
        <f>C6-((C7-2)*4+12)</f>
        <v>252</v>
      </c>
      <c r="E19" s="6"/>
    </row>
    <row r="20" spans="1:5">
      <c r="A20" s="6"/>
      <c r="E20" s="6"/>
    </row>
    <row r="21" spans="1:5">
      <c r="A21" s="6"/>
      <c r="B21" s="1" t="s">
        <v>58</v>
      </c>
      <c r="E21" s="6"/>
    </row>
    <row r="22" spans="1:5">
      <c r="A22" s="6"/>
      <c r="B22" s="9" t="s">
        <v>59</v>
      </c>
      <c r="C22" s="21">
        <f>C16*(C5-C15)</f>
        <v>55879.354476928711</v>
      </c>
      <c r="E22" s="6"/>
    </row>
    <row r="23" spans="1:5">
      <c r="A23" s="6"/>
      <c r="B23" s="9" t="s">
        <v>60</v>
      </c>
      <c r="C23" s="22">
        <f>C17*(C5-C15)</f>
        <v>600</v>
      </c>
      <c r="E23" s="6"/>
    </row>
    <row r="24" spans="1:5">
      <c r="A24" s="6"/>
      <c r="E24" s="6"/>
    </row>
    <row r="25" spans="1:5">
      <c r="A25" s="6"/>
      <c r="B25" s="23" t="s">
        <v>61</v>
      </c>
      <c r="E25" s="6"/>
    </row>
    <row r="26" spans="1:5">
      <c r="A26" s="6"/>
      <c r="B26" s="24" t="s">
        <v>62</v>
      </c>
      <c r="C26" s="21">
        <f>C3/C8*4</f>
        <v>1739.1304347826087</v>
      </c>
      <c r="E26" s="6"/>
    </row>
    <row r="27" spans="1:5">
      <c r="A27" s="6"/>
      <c r="E27" s="6"/>
    </row>
    <row r="28" spans="1:5">
      <c r="A28" s="6"/>
      <c r="B28" s="1" t="s">
        <v>63</v>
      </c>
      <c r="E28" s="6"/>
    </row>
    <row r="29" spans="1:5">
      <c r="A29" s="6"/>
      <c r="B29" s="9" t="s">
        <v>64</v>
      </c>
      <c r="C29" s="25">
        <f>CEILING(C10*C26/C22*1024,1)</f>
        <v>48</v>
      </c>
      <c r="E29" s="6"/>
    </row>
    <row r="30" spans="1:5">
      <c r="A30" s="6"/>
      <c r="B30" s="9" t="s">
        <v>65</v>
      </c>
      <c r="C30" s="25">
        <f>CEILING(C29/16,1)</f>
        <v>3</v>
      </c>
      <c r="E30" s="6"/>
    </row>
    <row r="31" spans="1:5">
      <c r="A31" s="6"/>
      <c r="B31" s="9" t="s">
        <v>66</v>
      </c>
      <c r="C31" s="25">
        <f>C29*C22*C8/4/1024</f>
        <v>1506.1232261359689</v>
      </c>
      <c r="E31" s="6"/>
    </row>
    <row r="32" spans="1:5">
      <c r="A32" s="6"/>
      <c r="B32" s="9" t="s">
        <v>67</v>
      </c>
      <c r="C32" s="21">
        <f>C23*C29/1024</f>
        <v>28.125</v>
      </c>
      <c r="E32" s="6"/>
    </row>
    <row r="33" spans="1:5">
      <c r="A33" s="6"/>
      <c r="B33" s="9" t="s">
        <v>68</v>
      </c>
      <c r="C33" s="21">
        <f>C18*C29/1024</f>
        <v>375</v>
      </c>
      <c r="E33" s="6"/>
    </row>
    <row r="34" spans="1:5">
      <c r="A34" s="6"/>
      <c r="B34" s="9" t="s">
        <v>69</v>
      </c>
      <c r="C34" s="21">
        <f>C19*C29/1024</f>
        <v>11.8125</v>
      </c>
      <c r="E34" s="6"/>
    </row>
    <row r="35" spans="1:5">
      <c r="A35" s="6"/>
      <c r="E35" s="6"/>
    </row>
    <row r="36" spans="1:5">
      <c r="A36" s="6"/>
      <c r="B36" s="1" t="s">
        <v>70</v>
      </c>
      <c r="E36" s="6"/>
    </row>
    <row r="37" spans="1:5">
      <c r="A37" s="6"/>
      <c r="B37" s="9" t="s">
        <v>71</v>
      </c>
      <c r="C37" s="26" t="str">
        <f>C3*1&amp;"TB is scanned in "&amp;TEXT(C3*1024/C32/86400,"[h]:mm:ss")</f>
        <v>1000TB is scanned in 10:06:49</v>
      </c>
      <c r="E37" s="6"/>
    </row>
    <row r="38" spans="1:5">
      <c r="A38" s="6"/>
      <c r="B38" s="9" t="s">
        <v>72</v>
      </c>
      <c r="C38" s="26" t="str">
        <f>C3*0.5&amp;"TB is scanned in "&amp;TEXT(0.5*C3*1024/C32/86400,"[h]:mm:ss")</f>
        <v>500TB is scanned in 5:03:24</v>
      </c>
      <c r="E38" s="6"/>
    </row>
    <row r="39" spans="1:5">
      <c r="A39" s="6"/>
      <c r="B39" s="9" t="s">
        <v>73</v>
      </c>
      <c r="C39" s="26" t="str">
        <f>C3*0.1&amp;"TB is scanned in "&amp;TEXT(0.1*C3*1024/C32/86400,"[h]:mm:ss")</f>
        <v>100TB is scanned in 1:00:41</v>
      </c>
      <c r="E39" s="6"/>
    </row>
    <row r="40" spans="1:5">
      <c r="A40" s="6"/>
      <c r="B40" s="9" t="s">
        <v>74</v>
      </c>
      <c r="C40" s="26" t="str">
        <f>C3*0.01&amp;"TB is scanned in "&amp;TEXT(0.01*C3*1024/C32/86400,"[h]:mm:ss")</f>
        <v>10TB is scanned in 0:06:04</v>
      </c>
      <c r="E40" s="6"/>
    </row>
    <row r="41" spans="1:5">
      <c r="A41" s="6"/>
      <c r="B41" s="9" t="s">
        <v>75</v>
      </c>
      <c r="C41" s="26">
        <f>IF(C34&gt;=1,1024/C33/86400,"not enough cache")</f>
        <v>3.160493827160494E-5</v>
      </c>
      <c r="E41" s="6"/>
    </row>
    <row r="42" spans="1:5">
      <c r="A42" s="6"/>
      <c r="B42" s="9" t="s">
        <v>76</v>
      </c>
      <c r="C42" s="26">
        <f>IF(C34&gt;=5,5*1024/C33/86400,"not enough cache")</f>
        <v>1.5802469135802469E-4</v>
      </c>
      <c r="E42" s="6"/>
    </row>
    <row r="43" spans="1:5">
      <c r="A43" s="6"/>
      <c r="B43" s="9" t="s">
        <v>77</v>
      </c>
      <c r="C43" s="26">
        <f>IF(C34&gt;=10,10*1024/C33/86400,"not enough cache")</f>
        <v>3.1604938271604939E-4</v>
      </c>
      <c r="E43" s="6"/>
    </row>
    <row r="44" spans="1:5">
      <c r="A44" s="6"/>
      <c r="B44" s="9" t="s">
        <v>78</v>
      </c>
      <c r="C44" s="26" t="str">
        <f>IF(C34&gt;=40,40*1024/C33/86400,"not enough cache")</f>
        <v>not enough cache</v>
      </c>
      <c r="E44" s="6"/>
    </row>
    <row r="45" spans="1:5">
      <c r="A45" s="6"/>
      <c r="B45" s="9" t="s">
        <v>79</v>
      </c>
      <c r="C45" s="26" t="str">
        <f>IF(C34&gt;=100,100*1024/C33/86400,"not enough cache")</f>
        <v>not enough cache</v>
      </c>
      <c r="E45" s="6"/>
    </row>
    <row r="46" spans="1:5" ht="1" customHeight="1">
      <c r="A46" s="6"/>
      <c r="B46" s="6"/>
      <c r="C46" s="6"/>
      <c r="D46" s="6"/>
      <c r="E46" s="6"/>
    </row>
  </sheetData>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Dictionaries!$A$16:$A$21</xm:f>
          </x14:formula1>
          <xm:sqref>C5</xm:sqref>
        </x14:dataValidation>
        <x14:dataValidation type="list" allowBlank="1" showInputMessage="1" showErrorMessage="1">
          <x14:formula1>
            <xm:f>Dictionaries!$A$2:$A$13</xm:f>
          </x14:formula1>
          <xm:sqref>C4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150" zoomScaleNormal="150" zoomScalePageLayoutView="150" workbookViewId="0">
      <selection activeCell="A15" sqref="A15"/>
    </sheetView>
  </sheetViews>
  <sheetFormatPr baseColWidth="10" defaultRowHeight="15" x14ac:dyDescent="0"/>
  <cols>
    <col min="1" max="1" width="22.1640625" customWidth="1"/>
    <col min="2" max="2" width="18.5" customWidth="1"/>
    <col min="3" max="3" width="16.33203125" customWidth="1"/>
    <col min="4" max="4" width="15.33203125" customWidth="1"/>
  </cols>
  <sheetData>
    <row r="1" spans="1:4" ht="30">
      <c r="A1" s="27" t="s">
        <v>80</v>
      </c>
      <c r="B1" s="27" t="s">
        <v>81</v>
      </c>
      <c r="C1" s="27" t="s">
        <v>82</v>
      </c>
      <c r="D1" s="27" t="s">
        <v>83</v>
      </c>
    </row>
    <row r="2" spans="1:4">
      <c r="A2" s="22" t="s">
        <v>84</v>
      </c>
      <c r="B2" s="22">
        <v>300</v>
      </c>
      <c r="C2" s="21">
        <f>B2*1000*1000*1000/1024/1024/1024</f>
        <v>279.39677238464355</v>
      </c>
      <c r="D2" s="22">
        <v>85</v>
      </c>
    </row>
    <row r="3" spans="1:4">
      <c r="A3" s="22" t="s">
        <v>85</v>
      </c>
      <c r="B3" s="22">
        <v>600</v>
      </c>
      <c r="C3" s="21">
        <f t="shared" ref="C3:C13" si="0">B3*1000*1000*1000/1024/1024/1024</f>
        <v>558.79354476928711</v>
      </c>
      <c r="D3" s="22">
        <v>85</v>
      </c>
    </row>
    <row r="4" spans="1:4">
      <c r="A4" s="22" t="s">
        <v>86</v>
      </c>
      <c r="B4" s="22">
        <v>900</v>
      </c>
      <c r="C4" s="21">
        <f t="shared" si="0"/>
        <v>838.19031715393066</v>
      </c>
      <c r="D4" s="22">
        <v>85</v>
      </c>
    </row>
    <row r="5" spans="1:4">
      <c r="A5" s="22" t="s">
        <v>87</v>
      </c>
      <c r="B5" s="22">
        <v>1200</v>
      </c>
      <c r="C5" s="21">
        <f t="shared" si="0"/>
        <v>1117.5870895385742</v>
      </c>
      <c r="D5" s="22">
        <v>85</v>
      </c>
    </row>
    <row r="6" spans="1:4">
      <c r="A6" s="22" t="s">
        <v>88</v>
      </c>
      <c r="B6" s="22">
        <v>1500</v>
      </c>
      <c r="C6" s="21">
        <f t="shared" si="0"/>
        <v>1396.9838619232178</v>
      </c>
      <c r="D6" s="22">
        <v>85</v>
      </c>
    </row>
    <row r="7" spans="1:4">
      <c r="A7" s="22" t="s">
        <v>89</v>
      </c>
      <c r="B7" s="22">
        <v>1800</v>
      </c>
      <c r="C7" s="21">
        <f t="shared" si="0"/>
        <v>1676.3806343078613</v>
      </c>
      <c r="D7" s="22">
        <v>85</v>
      </c>
    </row>
    <row r="8" spans="1:4">
      <c r="A8" s="22" t="s">
        <v>90</v>
      </c>
      <c r="B8" s="22">
        <v>1000</v>
      </c>
      <c r="C8" s="21">
        <f t="shared" si="0"/>
        <v>931.32257461547852</v>
      </c>
      <c r="D8" s="22">
        <v>60</v>
      </c>
    </row>
    <row r="9" spans="1:4">
      <c r="A9" s="22" t="s">
        <v>91</v>
      </c>
      <c r="B9" s="22">
        <v>2000</v>
      </c>
      <c r="C9" s="21">
        <f t="shared" si="0"/>
        <v>1862.645149230957</v>
      </c>
      <c r="D9" s="22">
        <v>60</v>
      </c>
    </row>
    <row r="10" spans="1:4">
      <c r="A10" s="22" t="s">
        <v>92</v>
      </c>
      <c r="B10" s="22">
        <v>3000</v>
      </c>
      <c r="C10" s="21">
        <f t="shared" si="0"/>
        <v>2793.9677238464355</v>
      </c>
      <c r="D10" s="22">
        <v>60</v>
      </c>
    </row>
    <row r="11" spans="1:4">
      <c r="A11" s="22" t="s">
        <v>93</v>
      </c>
      <c r="B11" s="22">
        <v>4000</v>
      </c>
      <c r="C11" s="21">
        <f t="shared" si="0"/>
        <v>3725.2902984619141</v>
      </c>
      <c r="D11" s="22">
        <v>60</v>
      </c>
    </row>
    <row r="12" spans="1:4">
      <c r="A12" s="22" t="s">
        <v>40</v>
      </c>
      <c r="B12" s="22">
        <v>6000</v>
      </c>
      <c r="C12" s="21">
        <f t="shared" si="0"/>
        <v>5587.9354476928711</v>
      </c>
      <c r="D12" s="22">
        <v>60</v>
      </c>
    </row>
    <row r="13" spans="1:4">
      <c r="A13" s="22" t="s">
        <v>94</v>
      </c>
      <c r="B13" s="22">
        <v>8000</v>
      </c>
      <c r="C13" s="21">
        <f t="shared" si="0"/>
        <v>7450.5805969238281</v>
      </c>
      <c r="D13" s="22">
        <v>60</v>
      </c>
    </row>
    <row r="15" spans="1:4" ht="27" customHeight="1">
      <c r="A15" s="28" t="s">
        <v>95</v>
      </c>
    </row>
    <row r="16" spans="1:4">
      <c r="A16" s="22">
        <v>6</v>
      </c>
    </row>
    <row r="17" spans="1:1">
      <c r="A17" s="22">
        <v>8</v>
      </c>
    </row>
    <row r="18" spans="1:1">
      <c r="A18" s="22">
        <v>12</v>
      </c>
    </row>
    <row r="19" spans="1:1">
      <c r="A19" s="22">
        <v>14</v>
      </c>
    </row>
    <row r="20" spans="1:1">
      <c r="A20" s="22">
        <v>16</v>
      </c>
    </row>
    <row r="21" spans="1:1">
      <c r="A21" s="22">
        <v>24</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showGridLines="0" workbookViewId="0">
      <selection sqref="A1:G1"/>
    </sheetView>
  </sheetViews>
  <sheetFormatPr baseColWidth="10" defaultColWidth="10.83203125" defaultRowHeight="15" customHeight="1" x14ac:dyDescent="0"/>
  <cols>
    <col min="1" max="5" width="10.83203125" style="30" customWidth="1"/>
    <col min="6" max="6" width="12.1640625" style="30" customWidth="1"/>
    <col min="7" max="256" width="10.83203125" style="30" customWidth="1"/>
    <col min="257" max="16384" width="10.83203125" style="49"/>
  </cols>
  <sheetData>
    <row r="1" spans="1:8" ht="55" customHeight="1">
      <c r="A1" s="62"/>
      <c r="B1" s="62"/>
      <c r="C1" s="62"/>
      <c r="D1" s="62"/>
      <c r="E1" s="62"/>
      <c r="F1" s="62"/>
      <c r="G1" s="62"/>
      <c r="H1" s="29"/>
    </row>
    <row r="2" spans="1:8" ht="45" customHeight="1">
      <c r="A2" s="63" t="s">
        <v>96</v>
      </c>
      <c r="B2" s="64"/>
      <c r="C2" s="64"/>
      <c r="D2" s="64"/>
      <c r="E2" s="64"/>
      <c r="F2" s="64"/>
      <c r="G2" s="64"/>
      <c r="H2" s="29"/>
    </row>
    <row r="3" spans="1:8" ht="15" customHeight="1">
      <c r="A3" s="29"/>
      <c r="B3" s="29"/>
      <c r="C3" s="29"/>
      <c r="D3" s="29"/>
      <c r="E3" s="29"/>
      <c r="F3" s="29"/>
      <c r="G3" s="29"/>
      <c r="H3" s="29"/>
    </row>
    <row r="4" spans="1:8" ht="30" customHeight="1">
      <c r="A4" s="65" t="s">
        <v>97</v>
      </c>
      <c r="B4" s="66"/>
      <c r="C4" s="66"/>
      <c r="D4" s="66"/>
      <c r="E4" s="66"/>
      <c r="F4" s="66"/>
      <c r="G4" s="66"/>
      <c r="H4" s="29"/>
    </row>
    <row r="5" spans="1:8" ht="82" customHeight="1">
      <c r="A5" s="67" t="s">
        <v>98</v>
      </c>
      <c r="B5" s="68"/>
      <c r="C5" s="68"/>
      <c r="D5" s="68"/>
      <c r="E5" s="68"/>
      <c r="F5" s="68"/>
      <c r="G5" s="68"/>
      <c r="H5" s="68"/>
    </row>
    <row r="6" spans="1:8" ht="15" customHeight="1">
      <c r="A6" s="29"/>
      <c r="B6" s="29"/>
      <c r="C6" s="29"/>
      <c r="D6" s="29"/>
      <c r="E6" s="29"/>
      <c r="F6" s="29"/>
      <c r="G6" s="29"/>
      <c r="H6" s="29"/>
    </row>
    <row r="7" spans="1:8" ht="19" customHeight="1">
      <c r="A7" s="69" t="s">
        <v>99</v>
      </c>
      <c r="B7" s="70"/>
      <c r="C7" s="70"/>
      <c r="D7" s="31" t="s">
        <v>100</v>
      </c>
      <c r="E7" s="69" t="s">
        <v>101</v>
      </c>
      <c r="F7" s="70"/>
      <c r="G7" s="70"/>
      <c r="H7" s="70"/>
    </row>
    <row r="8" spans="1:8" ht="15" customHeight="1">
      <c r="A8" s="71" t="s">
        <v>102</v>
      </c>
      <c r="B8" s="72"/>
      <c r="C8" s="73"/>
      <c r="D8" s="32">
        <v>256</v>
      </c>
      <c r="E8" s="74" t="s">
        <v>103</v>
      </c>
      <c r="F8" s="72"/>
      <c r="G8" s="72"/>
      <c r="H8" s="72"/>
    </row>
    <row r="9" spans="1:8" ht="15" customHeight="1">
      <c r="A9" s="71" t="s">
        <v>35</v>
      </c>
      <c r="B9" s="72"/>
      <c r="C9" s="73"/>
      <c r="D9" s="32">
        <v>48</v>
      </c>
      <c r="E9" s="74" t="s">
        <v>104</v>
      </c>
      <c r="F9" s="72"/>
      <c r="G9" s="72"/>
      <c r="H9" s="72"/>
    </row>
    <row r="10" spans="1:8" ht="15" customHeight="1">
      <c r="A10" s="71" t="s">
        <v>105</v>
      </c>
      <c r="B10" s="72"/>
      <c r="C10" s="73"/>
      <c r="D10" s="32">
        <v>36</v>
      </c>
      <c r="E10" s="74" t="s">
        <v>106</v>
      </c>
      <c r="F10" s="72"/>
      <c r="G10" s="72"/>
      <c r="H10" s="72"/>
    </row>
    <row r="11" spans="1:8" ht="15" customHeight="1">
      <c r="A11" s="71" t="s">
        <v>107</v>
      </c>
      <c r="B11" s="72"/>
      <c r="C11" s="73"/>
      <c r="D11" s="32">
        <v>2</v>
      </c>
      <c r="E11" s="74" t="s">
        <v>108</v>
      </c>
      <c r="F11" s="72"/>
      <c r="G11" s="72"/>
      <c r="H11" s="72"/>
    </row>
    <row r="12" spans="1:8" ht="15" customHeight="1">
      <c r="A12" s="29"/>
      <c r="B12" s="29"/>
      <c r="C12" s="29"/>
      <c r="D12" s="33"/>
      <c r="E12" s="29"/>
      <c r="F12" s="29"/>
      <c r="G12" s="29"/>
      <c r="H12" s="29"/>
    </row>
    <row r="13" spans="1:8" ht="15" customHeight="1">
      <c r="A13" s="75" t="s">
        <v>109</v>
      </c>
      <c r="B13" s="76"/>
      <c r="C13" s="76"/>
      <c r="D13" s="76"/>
      <c r="E13" s="76"/>
      <c r="F13" s="76"/>
      <c r="G13" s="76"/>
      <c r="H13" s="76"/>
    </row>
    <row r="14" spans="1:8" ht="15" customHeight="1">
      <c r="A14" s="76"/>
      <c r="B14" s="76"/>
      <c r="C14" s="76"/>
      <c r="D14" s="76"/>
      <c r="E14" s="76"/>
      <c r="F14" s="76"/>
      <c r="G14" s="76"/>
      <c r="H14" s="76"/>
    </row>
    <row r="15" spans="1:8" ht="29" customHeight="1">
      <c r="A15" s="76"/>
      <c r="B15" s="76"/>
      <c r="C15" s="76"/>
      <c r="D15" s="76"/>
      <c r="E15" s="76"/>
      <c r="F15" s="76"/>
      <c r="G15" s="76"/>
      <c r="H15" s="76"/>
    </row>
    <row r="16" spans="1:8" ht="79" customHeight="1">
      <c r="A16" s="67" t="s">
        <v>110</v>
      </c>
      <c r="B16" s="68"/>
      <c r="C16" s="68"/>
      <c r="D16" s="68"/>
      <c r="E16" s="68"/>
      <c r="F16" s="68"/>
      <c r="G16" s="68"/>
      <c r="H16" s="68"/>
    </row>
    <row r="17" spans="1:8" ht="15" customHeight="1">
      <c r="A17" s="29"/>
      <c r="B17" s="29"/>
      <c r="C17" s="29"/>
      <c r="D17" s="29"/>
      <c r="E17" s="29"/>
      <c r="F17" s="29"/>
      <c r="G17" s="29"/>
      <c r="H17" s="29"/>
    </row>
    <row r="18" spans="1:8" ht="19" customHeight="1">
      <c r="A18" s="69" t="s">
        <v>111</v>
      </c>
      <c r="B18" s="70"/>
      <c r="C18" s="70"/>
      <c r="D18" s="34" t="s">
        <v>112</v>
      </c>
      <c r="E18" s="31" t="s">
        <v>113</v>
      </c>
      <c r="F18" s="31" t="s">
        <v>114</v>
      </c>
      <c r="G18" s="34" t="s">
        <v>115</v>
      </c>
      <c r="H18" s="29"/>
    </row>
    <row r="19" spans="1:8" ht="15" customHeight="1">
      <c r="A19" s="71" t="s">
        <v>116</v>
      </c>
      <c r="B19" s="72"/>
      <c r="C19" s="72"/>
      <c r="D19" s="35" t="s">
        <v>117</v>
      </c>
      <c r="E19" s="32">
        <v>1</v>
      </c>
      <c r="F19" s="32">
        <v>8192</v>
      </c>
      <c r="G19" s="36" t="s">
        <v>118</v>
      </c>
      <c r="H19" s="29"/>
    </row>
    <row r="20" spans="1:8" ht="15" customHeight="1">
      <c r="A20" s="71" t="s">
        <v>119</v>
      </c>
      <c r="B20" s="72"/>
      <c r="C20" s="72"/>
      <c r="D20" s="35" t="s">
        <v>117</v>
      </c>
      <c r="E20" s="32">
        <v>0</v>
      </c>
      <c r="F20" s="32">
        <v>8192</v>
      </c>
      <c r="G20" s="36" t="s">
        <v>120</v>
      </c>
      <c r="H20" s="29"/>
    </row>
    <row r="21" spans="1:8" ht="15" customHeight="1">
      <c r="A21" s="71" t="s">
        <v>121</v>
      </c>
      <c r="B21" s="72"/>
      <c r="C21" s="72"/>
      <c r="D21" s="35" t="s">
        <v>117</v>
      </c>
      <c r="E21" s="32">
        <v>1</v>
      </c>
      <c r="F21" s="32">
        <v>1024</v>
      </c>
      <c r="G21" s="36" t="s">
        <v>122</v>
      </c>
      <c r="H21" s="29"/>
    </row>
    <row r="22" spans="1:8" ht="15" customHeight="1">
      <c r="A22" s="71" t="s">
        <v>123</v>
      </c>
      <c r="B22" s="72"/>
      <c r="C22" s="72"/>
      <c r="D22" s="35" t="s">
        <v>117</v>
      </c>
      <c r="E22" s="32">
        <v>0</v>
      </c>
      <c r="F22" s="32">
        <v>0</v>
      </c>
      <c r="G22" s="36" t="s">
        <v>124</v>
      </c>
      <c r="H22" s="29"/>
    </row>
    <row r="23" spans="1:8" ht="15" customHeight="1">
      <c r="A23" s="71" t="s">
        <v>125</v>
      </c>
      <c r="B23" s="72"/>
      <c r="C23" s="72"/>
      <c r="D23" s="35" t="s">
        <v>126</v>
      </c>
      <c r="E23" s="32">
        <v>1</v>
      </c>
      <c r="F23" s="32">
        <v>1024</v>
      </c>
      <c r="G23" s="36" t="s">
        <v>127</v>
      </c>
      <c r="H23" s="29"/>
    </row>
    <row r="24" spans="1:8" ht="15" customHeight="1">
      <c r="A24" s="71" t="s">
        <v>128</v>
      </c>
      <c r="B24" s="72"/>
      <c r="C24" s="72"/>
      <c r="D24" s="35" t="s">
        <v>126</v>
      </c>
      <c r="E24" s="32">
        <v>0</v>
      </c>
      <c r="F24" s="32">
        <v>0</v>
      </c>
      <c r="G24" s="36" t="s">
        <v>129</v>
      </c>
      <c r="H24" s="29"/>
    </row>
    <row r="25" spans="1:8" ht="15" customHeight="1">
      <c r="A25" s="71" t="s">
        <v>130</v>
      </c>
      <c r="B25" s="72"/>
      <c r="C25" s="72"/>
      <c r="D25" s="35" t="s">
        <v>126</v>
      </c>
      <c r="E25" s="32">
        <v>0</v>
      </c>
      <c r="F25" s="32">
        <v>0</v>
      </c>
      <c r="G25" s="36" t="s">
        <v>131</v>
      </c>
      <c r="H25" s="29"/>
    </row>
    <row r="26" spans="1:8" ht="15" customHeight="1">
      <c r="A26" s="71" t="s">
        <v>132</v>
      </c>
      <c r="B26" s="72"/>
      <c r="C26" s="72"/>
      <c r="D26" s="35" t="s">
        <v>126</v>
      </c>
      <c r="E26" s="32">
        <v>0</v>
      </c>
      <c r="F26" s="32">
        <v>0</v>
      </c>
      <c r="G26" s="36" t="s">
        <v>133</v>
      </c>
      <c r="H26" s="29"/>
    </row>
    <row r="27" spans="1:8" ht="15" customHeight="1">
      <c r="A27" s="79" t="s">
        <v>134</v>
      </c>
      <c r="B27" s="80"/>
      <c r="C27" s="80"/>
      <c r="D27" s="37" t="s">
        <v>126</v>
      </c>
      <c r="E27" s="32">
        <v>1</v>
      </c>
      <c r="F27" s="32">
        <v>1024</v>
      </c>
      <c r="G27" s="36" t="s">
        <v>135</v>
      </c>
      <c r="H27" s="29"/>
    </row>
    <row r="28" spans="1:8" ht="15" customHeight="1">
      <c r="A28" s="81" t="s">
        <v>136</v>
      </c>
      <c r="B28" s="82"/>
      <c r="C28" s="82"/>
      <c r="D28" s="38"/>
      <c r="E28" s="39">
        <f>$D$9-SUM(E19:E27)</f>
        <v>44</v>
      </c>
      <c r="F28" s="39">
        <f>($D$8*1024)-SUM(F19:F27)</f>
        <v>242688</v>
      </c>
      <c r="G28" s="40"/>
      <c r="H28" s="29"/>
    </row>
    <row r="29" spans="1:8" ht="15" customHeight="1">
      <c r="A29" s="83" t="s">
        <v>137</v>
      </c>
      <c r="B29" s="84"/>
      <c r="C29" s="84"/>
      <c r="D29" s="41"/>
      <c r="E29" s="32">
        <v>4</v>
      </c>
      <c r="F29" s="42"/>
      <c r="G29" s="43" t="s">
        <v>138</v>
      </c>
      <c r="H29" s="29"/>
    </row>
    <row r="30" spans="1:8" ht="15" customHeight="1">
      <c r="A30" s="71" t="s">
        <v>139</v>
      </c>
      <c r="B30" s="72"/>
      <c r="C30" s="72"/>
      <c r="D30" s="29"/>
      <c r="E30" s="44">
        <f>E29*E28</f>
        <v>176</v>
      </c>
      <c r="F30" s="29"/>
      <c r="G30" s="43" t="s">
        <v>140</v>
      </c>
      <c r="H30" s="29"/>
    </row>
    <row r="31" spans="1:8" ht="15" customHeight="1">
      <c r="A31" s="71" t="s">
        <v>141</v>
      </c>
      <c r="B31" s="72"/>
      <c r="C31" s="72"/>
      <c r="D31" s="29"/>
      <c r="E31" s="29"/>
      <c r="F31" s="45">
        <f>F28</f>
        <v>242688</v>
      </c>
      <c r="G31" s="43" t="s">
        <v>140</v>
      </c>
      <c r="H31" s="29"/>
    </row>
    <row r="32" spans="1:8" ht="15" customHeight="1">
      <c r="A32" s="29"/>
      <c r="B32" s="29"/>
      <c r="C32" s="29"/>
      <c r="D32" s="29"/>
      <c r="E32" s="29"/>
      <c r="F32" s="29"/>
      <c r="G32" s="29"/>
      <c r="H32" s="29"/>
    </row>
    <row r="33" spans="1:8" ht="15" customHeight="1">
      <c r="A33" s="29"/>
      <c r="B33" s="29"/>
      <c r="C33" s="29"/>
      <c r="D33" s="29"/>
      <c r="E33" s="29"/>
      <c r="F33" s="29"/>
      <c r="G33" s="29"/>
      <c r="H33" s="29"/>
    </row>
    <row r="34" spans="1:8" ht="30" customHeight="1">
      <c r="A34" s="77" t="s">
        <v>142</v>
      </c>
      <c r="B34" s="78"/>
      <c r="C34" s="78"/>
      <c r="D34" s="78"/>
      <c r="E34" s="78"/>
      <c r="F34" s="78"/>
      <c r="G34" s="78"/>
      <c r="H34" s="46"/>
    </row>
    <row r="35" spans="1:8" ht="39" customHeight="1">
      <c r="A35" s="67" t="s">
        <v>143</v>
      </c>
      <c r="B35" s="68"/>
      <c r="C35" s="68"/>
      <c r="D35" s="68"/>
      <c r="E35" s="68"/>
      <c r="F35" s="68"/>
      <c r="G35" s="68"/>
      <c r="H35" s="68"/>
    </row>
    <row r="36" spans="1:8" ht="15" customHeight="1">
      <c r="A36" s="29"/>
      <c r="B36" s="29"/>
      <c r="C36" s="29"/>
      <c r="D36" s="29"/>
      <c r="E36" s="29"/>
      <c r="F36" s="29"/>
      <c r="G36" s="29"/>
      <c r="H36" s="29"/>
    </row>
    <row r="37" spans="1:8" ht="15" customHeight="1">
      <c r="A37" s="29"/>
      <c r="B37" s="29"/>
      <c r="C37" s="29"/>
      <c r="D37" s="47" t="s">
        <v>100</v>
      </c>
      <c r="E37" s="29"/>
      <c r="F37" s="29"/>
      <c r="G37" s="29"/>
      <c r="H37" s="29"/>
    </row>
    <row r="38" spans="1:8" ht="15" customHeight="1">
      <c r="A38" s="71" t="s">
        <v>144</v>
      </c>
      <c r="B38" s="72"/>
      <c r="C38" s="73"/>
      <c r="D38" s="48">
        <v>10</v>
      </c>
      <c r="E38" s="40"/>
      <c r="F38" s="29"/>
      <c r="G38" s="29"/>
      <c r="H38" s="29"/>
    </row>
  </sheetData>
  <mergeCells count="33">
    <mergeCell ref="A34:G34"/>
    <mergeCell ref="A35:H35"/>
    <mergeCell ref="A38:C38"/>
    <mergeCell ref="A26:C26"/>
    <mergeCell ref="A27:C27"/>
    <mergeCell ref="A28:C28"/>
    <mergeCell ref="A29:C29"/>
    <mergeCell ref="A30:C30"/>
    <mergeCell ref="A31:C31"/>
    <mergeCell ref="A25:C25"/>
    <mergeCell ref="A11:C11"/>
    <mergeCell ref="E11:H11"/>
    <mergeCell ref="A13:H15"/>
    <mergeCell ref="A16:H16"/>
    <mergeCell ref="A18:C18"/>
    <mergeCell ref="A19:C19"/>
    <mergeCell ref="A20:C20"/>
    <mergeCell ref="A21:C21"/>
    <mergeCell ref="A22:C22"/>
    <mergeCell ref="A23:C23"/>
    <mergeCell ref="A24:C24"/>
    <mergeCell ref="A8:C8"/>
    <mergeCell ref="E8:H8"/>
    <mergeCell ref="A9:C9"/>
    <mergeCell ref="E9:H9"/>
    <mergeCell ref="A10:C10"/>
    <mergeCell ref="E10:H10"/>
    <mergeCell ref="A1:G1"/>
    <mergeCell ref="A2:G2"/>
    <mergeCell ref="A4:G4"/>
    <mergeCell ref="A5:H5"/>
    <mergeCell ref="A7:C7"/>
    <mergeCell ref="E7:H7"/>
  </mergeCells>
  <pageMargins left="0.7" right="0.7" top="0.75" bottom="0.75" header="0.3" footer="0.3"/>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2"/>
  <sheetViews>
    <sheetView showGridLines="0" workbookViewId="0">
      <selection sqref="A1:G1"/>
    </sheetView>
  </sheetViews>
  <sheetFormatPr baseColWidth="10" defaultColWidth="10.83203125" defaultRowHeight="15" customHeight="1" x14ac:dyDescent="0"/>
  <cols>
    <col min="1" max="3" width="10.83203125" style="30" customWidth="1"/>
    <col min="4" max="4" width="24.33203125" style="30" customWidth="1"/>
    <col min="5" max="5" width="13.33203125" style="30" customWidth="1"/>
    <col min="6" max="256" width="10.83203125" style="30" customWidth="1"/>
    <col min="257" max="16384" width="10.83203125" style="49"/>
  </cols>
  <sheetData>
    <row r="1" spans="1:9" ht="54" customHeight="1">
      <c r="A1" s="62"/>
      <c r="B1" s="62"/>
      <c r="C1" s="62"/>
      <c r="D1" s="62"/>
      <c r="E1" s="62"/>
      <c r="F1" s="62"/>
      <c r="G1" s="29"/>
      <c r="H1" s="29"/>
      <c r="I1" s="29"/>
    </row>
    <row r="2" spans="1:9" ht="47" customHeight="1">
      <c r="A2" s="63" t="s">
        <v>145</v>
      </c>
      <c r="B2" s="64"/>
      <c r="C2" s="64"/>
      <c r="D2" s="64"/>
      <c r="E2" s="64"/>
      <c r="F2" s="64"/>
      <c r="G2" s="29"/>
      <c r="H2" s="29"/>
      <c r="I2" s="29"/>
    </row>
    <row r="3" spans="1:9" ht="15" customHeight="1">
      <c r="A3" s="29"/>
      <c r="B3" s="29"/>
      <c r="C3" s="29"/>
      <c r="D3" s="29"/>
      <c r="E3" s="29"/>
      <c r="F3" s="29"/>
      <c r="G3" s="29"/>
      <c r="H3" s="29"/>
      <c r="I3" s="29"/>
    </row>
    <row r="4" spans="1:9" ht="30" customHeight="1">
      <c r="A4" s="77" t="s">
        <v>146</v>
      </c>
      <c r="B4" s="78"/>
      <c r="C4" s="78"/>
      <c r="D4" s="78"/>
      <c r="E4" s="78"/>
      <c r="F4" s="78"/>
      <c r="G4" s="78"/>
      <c r="H4" s="29"/>
      <c r="I4" s="29"/>
    </row>
    <row r="5" spans="1:9" ht="41" customHeight="1">
      <c r="A5" s="67" t="s">
        <v>147</v>
      </c>
      <c r="B5" s="68"/>
      <c r="C5" s="68"/>
      <c r="D5" s="68"/>
      <c r="E5" s="68"/>
      <c r="F5" s="68"/>
      <c r="G5" s="68"/>
      <c r="H5" s="68"/>
      <c r="I5" s="29"/>
    </row>
    <row r="6" spans="1:9" ht="15" customHeight="1">
      <c r="A6" s="29"/>
      <c r="B6" s="29"/>
      <c r="C6" s="29"/>
      <c r="D6" s="29"/>
      <c r="E6" s="29"/>
      <c r="F6" s="29"/>
      <c r="G6" s="29"/>
      <c r="H6" s="29"/>
      <c r="I6" s="29"/>
    </row>
    <row r="7" spans="1:9" ht="19" customHeight="1">
      <c r="A7" s="69" t="s">
        <v>148</v>
      </c>
      <c r="B7" s="70"/>
      <c r="C7" s="70"/>
      <c r="D7" s="70"/>
      <c r="E7" s="70"/>
      <c r="F7" s="34" t="s">
        <v>149</v>
      </c>
      <c r="G7" s="29"/>
      <c r="H7" s="29"/>
      <c r="I7" s="29"/>
    </row>
    <row r="8" spans="1:9" ht="15" customHeight="1">
      <c r="A8" s="71" t="s">
        <v>150</v>
      </c>
      <c r="B8" s="72"/>
      <c r="C8" s="72"/>
      <c r="D8" s="72"/>
      <c r="E8" s="72"/>
      <c r="F8" s="45">
        <f>'Cluster Configuration'!$E$30</f>
        <v>176</v>
      </c>
      <c r="G8" s="43" t="s">
        <v>151</v>
      </c>
      <c r="H8" s="29"/>
      <c r="I8" s="29"/>
    </row>
    <row r="9" spans="1:9" ht="15" customHeight="1">
      <c r="A9" s="71" t="s">
        <v>152</v>
      </c>
      <c r="B9" s="72"/>
      <c r="C9" s="72"/>
      <c r="D9" s="72"/>
      <c r="E9" s="72"/>
      <c r="F9" s="45">
        <f>'Cluster Configuration'!$F$31</f>
        <v>242688</v>
      </c>
      <c r="G9" s="43" t="s">
        <v>151</v>
      </c>
      <c r="H9" s="29"/>
      <c r="I9" s="29"/>
    </row>
    <row r="10" spans="1:9" ht="15" customHeight="1">
      <c r="A10" s="29"/>
      <c r="B10" s="29"/>
      <c r="C10" s="29"/>
      <c r="D10" s="29"/>
      <c r="E10" s="29"/>
      <c r="F10" s="29"/>
      <c r="G10" s="29"/>
      <c r="H10" s="29"/>
      <c r="I10" s="29"/>
    </row>
    <row r="11" spans="1:9" ht="30" customHeight="1">
      <c r="A11" s="77" t="s">
        <v>153</v>
      </c>
      <c r="B11" s="78"/>
      <c r="C11" s="78"/>
      <c r="D11" s="78"/>
      <c r="E11" s="78"/>
      <c r="F11" s="78"/>
      <c r="G11" s="78"/>
      <c r="H11" s="29"/>
      <c r="I11" s="29"/>
    </row>
    <row r="12" spans="1:9" ht="67" customHeight="1">
      <c r="A12" s="67" t="s">
        <v>154</v>
      </c>
      <c r="B12" s="68"/>
      <c r="C12" s="68"/>
      <c r="D12" s="68"/>
      <c r="E12" s="68"/>
      <c r="F12" s="68"/>
      <c r="G12" s="68"/>
      <c r="H12" s="68"/>
      <c r="I12" s="29"/>
    </row>
    <row r="13" spans="1:9" ht="15" customHeight="1">
      <c r="A13" s="29"/>
      <c r="B13" s="29"/>
      <c r="C13" s="29"/>
      <c r="D13" s="29"/>
      <c r="E13" s="29"/>
      <c r="F13" s="29"/>
      <c r="G13" s="29"/>
      <c r="H13" s="29"/>
      <c r="I13" s="29"/>
    </row>
    <row r="14" spans="1:9" ht="19" customHeight="1">
      <c r="A14" s="69" t="s">
        <v>155</v>
      </c>
      <c r="B14" s="70"/>
      <c r="C14" s="70"/>
      <c r="D14" s="70"/>
      <c r="E14" s="70"/>
      <c r="F14" s="34" t="s">
        <v>149</v>
      </c>
      <c r="G14" s="43" t="s">
        <v>156</v>
      </c>
      <c r="H14" s="29"/>
      <c r="I14" s="29"/>
    </row>
    <row r="15" spans="1:9" ht="15" customHeight="1">
      <c r="A15" s="71" t="s">
        <v>157</v>
      </c>
      <c r="B15" s="72"/>
      <c r="C15" s="72"/>
      <c r="D15" s="72"/>
      <c r="E15" s="72"/>
      <c r="F15" s="45">
        <f>'Cluster Configuration'!$E$30*'Cluster Configuration'!$D$38</f>
        <v>1760</v>
      </c>
      <c r="G15" s="43" t="s">
        <v>158</v>
      </c>
      <c r="H15" s="29"/>
      <c r="I15" s="29"/>
    </row>
    <row r="16" spans="1:9" ht="15" customHeight="1">
      <c r="A16" s="71" t="s">
        <v>159</v>
      </c>
      <c r="B16" s="72"/>
      <c r="C16" s="72"/>
      <c r="D16" s="72"/>
      <c r="E16" s="72"/>
      <c r="F16" s="45">
        <f>('Cluster Configuration'!$F$31*'Cluster Configuration'!$D$38)/1024</f>
        <v>2370</v>
      </c>
      <c r="G16" s="43" t="s">
        <v>160</v>
      </c>
      <c r="H16" s="29"/>
      <c r="I16" s="29"/>
    </row>
    <row r="17" spans="1:9" ht="15" customHeight="1">
      <c r="A17" s="29"/>
      <c r="B17" s="29"/>
      <c r="C17" s="29"/>
      <c r="D17" s="29"/>
      <c r="E17" s="29"/>
      <c r="F17" s="29"/>
      <c r="G17" s="29"/>
      <c r="H17" s="29"/>
      <c r="I17" s="29"/>
    </row>
    <row r="18" spans="1:9" ht="30" customHeight="1">
      <c r="A18" s="77" t="s">
        <v>161</v>
      </c>
      <c r="B18" s="78"/>
      <c r="C18" s="78"/>
      <c r="D18" s="78"/>
      <c r="E18" s="78"/>
      <c r="F18" s="78"/>
      <c r="G18" s="78"/>
      <c r="H18" s="29"/>
      <c r="I18" s="29"/>
    </row>
    <row r="19" spans="1:9" ht="29" customHeight="1">
      <c r="A19" s="67" t="s">
        <v>162</v>
      </c>
      <c r="B19" s="68"/>
      <c r="C19" s="68"/>
      <c r="D19" s="68"/>
      <c r="E19" s="68"/>
      <c r="F19" s="68"/>
      <c r="G19" s="68"/>
      <c r="H19" s="68"/>
      <c r="I19" s="29"/>
    </row>
    <row r="20" spans="1:9" ht="15" customHeight="1">
      <c r="A20" s="29"/>
      <c r="B20" s="29"/>
      <c r="C20" s="29"/>
      <c r="D20" s="29"/>
      <c r="E20" s="29"/>
      <c r="F20" s="29"/>
      <c r="G20" s="29"/>
      <c r="H20" s="29"/>
      <c r="I20" s="29"/>
    </row>
    <row r="21" spans="1:9" ht="19" customHeight="1">
      <c r="A21" s="69" t="s">
        <v>163</v>
      </c>
      <c r="B21" s="70"/>
      <c r="C21" s="70"/>
      <c r="D21" s="70"/>
      <c r="E21" s="70"/>
      <c r="F21" s="31" t="s">
        <v>149</v>
      </c>
      <c r="G21" s="43" t="s">
        <v>101</v>
      </c>
      <c r="H21" s="29"/>
      <c r="I21" s="29"/>
    </row>
    <row r="22" spans="1:9" ht="15" customHeight="1">
      <c r="A22" s="71" t="s">
        <v>164</v>
      </c>
      <c r="B22" s="72"/>
      <c r="C22" s="72"/>
      <c r="D22" s="72"/>
      <c r="E22" s="73"/>
      <c r="F22" s="32">
        <v>1</v>
      </c>
      <c r="G22" s="36" t="s">
        <v>165</v>
      </c>
      <c r="H22" s="29"/>
      <c r="I22" s="29"/>
    </row>
    <row r="23" spans="1:9" ht="15" customHeight="1">
      <c r="A23" s="71" t="s">
        <v>166</v>
      </c>
      <c r="B23" s="72"/>
      <c r="C23" s="72"/>
      <c r="D23" s="72"/>
      <c r="E23" s="73"/>
      <c r="F23" s="32">
        <v>1</v>
      </c>
      <c r="G23" s="36" t="s">
        <v>167</v>
      </c>
      <c r="H23" s="29"/>
      <c r="I23" s="29"/>
    </row>
    <row r="24" spans="1:9" ht="15" customHeight="1">
      <c r="A24" s="71" t="s">
        <v>168</v>
      </c>
      <c r="B24" s="72"/>
      <c r="C24" s="72"/>
      <c r="D24" s="72"/>
      <c r="E24" s="73"/>
      <c r="F24" s="32">
        <v>1</v>
      </c>
      <c r="G24" s="36" t="s">
        <v>169</v>
      </c>
      <c r="H24" s="29"/>
      <c r="I24" s="29"/>
    </row>
    <row r="25" spans="1:9" ht="15" customHeight="1">
      <c r="A25" s="29"/>
      <c r="B25" s="29"/>
      <c r="C25" s="29"/>
      <c r="D25" s="29"/>
      <c r="E25" s="29"/>
      <c r="F25" s="33"/>
      <c r="G25" s="29"/>
      <c r="H25" s="29"/>
      <c r="I25" s="29"/>
    </row>
    <row r="26" spans="1:9" ht="19" customHeight="1">
      <c r="A26" s="69" t="s">
        <v>170</v>
      </c>
      <c r="B26" s="70"/>
      <c r="C26" s="70"/>
      <c r="D26" s="70"/>
      <c r="E26" s="70"/>
      <c r="F26" s="31" t="s">
        <v>149</v>
      </c>
      <c r="G26" s="29"/>
      <c r="H26" s="29"/>
      <c r="I26" s="29"/>
    </row>
    <row r="27" spans="1:9" ht="15" customHeight="1">
      <c r="A27" s="71" t="s">
        <v>171</v>
      </c>
      <c r="B27" s="72"/>
      <c r="C27" s="72"/>
      <c r="D27" s="72"/>
      <c r="E27" s="73"/>
      <c r="F27" s="32">
        <v>1024</v>
      </c>
      <c r="G27" s="36" t="s">
        <v>172</v>
      </c>
      <c r="H27" s="29"/>
      <c r="I27" s="29"/>
    </row>
    <row r="28" spans="1:9" ht="15" customHeight="1">
      <c r="A28" s="71" t="s">
        <v>173</v>
      </c>
      <c r="B28" s="72"/>
      <c r="C28" s="72"/>
      <c r="D28" s="72"/>
      <c r="E28" s="73"/>
      <c r="F28" s="32">
        <v>8192</v>
      </c>
      <c r="G28" s="36" t="s">
        <v>174</v>
      </c>
      <c r="H28" s="29"/>
      <c r="I28" s="29"/>
    </row>
    <row r="29" spans="1:9" ht="15" customHeight="1">
      <c r="A29" s="71" t="s">
        <v>175</v>
      </c>
      <c r="B29" s="72"/>
      <c r="C29" s="72"/>
      <c r="D29" s="72"/>
      <c r="E29" s="73"/>
      <c r="F29" s="32">
        <v>512</v>
      </c>
      <c r="G29" s="36" t="s">
        <v>176</v>
      </c>
      <c r="H29" s="29"/>
      <c r="I29" s="29"/>
    </row>
    <row r="30" spans="1:9" ht="15" customHeight="1">
      <c r="A30" s="29"/>
      <c r="B30" s="29"/>
      <c r="C30" s="29"/>
      <c r="D30" s="29"/>
      <c r="E30" s="29"/>
      <c r="F30" s="33"/>
      <c r="G30" s="29"/>
      <c r="H30" s="29"/>
      <c r="I30" s="29"/>
    </row>
    <row r="31" spans="1:9" ht="15" customHeight="1">
      <c r="A31" s="29"/>
      <c r="B31" s="29"/>
      <c r="C31" s="29"/>
      <c r="D31" s="29"/>
      <c r="E31" s="29"/>
      <c r="F31" s="29"/>
      <c r="G31" s="29"/>
      <c r="H31" s="29"/>
      <c r="I31" s="29"/>
    </row>
    <row r="32" spans="1:9" ht="30" customHeight="1">
      <c r="A32" s="77" t="s">
        <v>177</v>
      </c>
      <c r="B32" s="78"/>
      <c r="C32" s="78"/>
      <c r="D32" s="78"/>
      <c r="E32" s="78"/>
      <c r="F32" s="78"/>
      <c r="G32" s="78"/>
      <c r="H32" s="29"/>
      <c r="I32" s="29"/>
    </row>
    <row r="33" spans="1:9" ht="35" customHeight="1">
      <c r="A33" s="67" t="s">
        <v>178</v>
      </c>
      <c r="B33" s="68"/>
      <c r="C33" s="68"/>
      <c r="D33" s="68"/>
      <c r="E33" s="68"/>
      <c r="F33" s="68"/>
      <c r="G33" s="68"/>
      <c r="H33" s="68"/>
      <c r="I33" s="29"/>
    </row>
    <row r="34" spans="1:9" ht="15" customHeight="1">
      <c r="A34" s="29"/>
      <c r="B34" s="29"/>
      <c r="C34" s="29"/>
      <c r="D34" s="29"/>
      <c r="E34" s="29"/>
      <c r="F34" s="29"/>
      <c r="G34" s="29"/>
      <c r="H34" s="29"/>
      <c r="I34" s="29"/>
    </row>
    <row r="35" spans="1:9" ht="18" customHeight="1">
      <c r="A35" s="69" t="s">
        <v>179</v>
      </c>
      <c r="B35" s="70"/>
      <c r="C35" s="70"/>
      <c r="D35" s="70"/>
      <c r="E35" s="70"/>
      <c r="F35" s="34" t="s">
        <v>149</v>
      </c>
      <c r="G35" s="29"/>
      <c r="H35" s="29"/>
      <c r="I35" s="29"/>
    </row>
    <row r="36" spans="1:9" ht="15" customHeight="1">
      <c r="A36" s="71" t="s">
        <v>180</v>
      </c>
      <c r="B36" s="72"/>
      <c r="C36" s="72"/>
      <c r="D36" s="72"/>
      <c r="E36" s="72"/>
      <c r="F36" s="45">
        <f>FLOOR(($F$16*1024)/$F$27,1)</f>
        <v>2370</v>
      </c>
      <c r="G36" s="29"/>
      <c r="H36" s="29"/>
      <c r="I36" s="29"/>
    </row>
    <row r="37" spans="1:9" ht="15" customHeight="1">
      <c r="A37" s="71" t="s">
        <v>181</v>
      </c>
      <c r="B37" s="72"/>
      <c r="C37" s="72"/>
      <c r="D37" s="72"/>
      <c r="E37" s="72"/>
      <c r="F37" s="45">
        <f>FLOOR(($F$16*1024)/$F$28,1)</f>
        <v>296</v>
      </c>
      <c r="G37" s="29"/>
      <c r="H37" s="29"/>
      <c r="I37" s="29"/>
    </row>
    <row r="38" spans="1:9" ht="15" customHeight="1">
      <c r="A38" s="71" t="s">
        <v>182</v>
      </c>
      <c r="B38" s="72"/>
      <c r="C38" s="72"/>
      <c r="D38" s="72"/>
      <c r="E38" s="72"/>
      <c r="F38" s="45">
        <f>IF($F$22=0,$F$15,FLOOR($F$15/$F$22,1))</f>
        <v>1760</v>
      </c>
      <c r="G38" s="29"/>
      <c r="H38" s="29"/>
      <c r="I38" s="29"/>
    </row>
    <row r="39" spans="1:9" ht="15" customHeight="1">
      <c r="A39" s="71" t="s">
        <v>183</v>
      </c>
      <c r="B39" s="72"/>
      <c r="C39" s="72"/>
      <c r="D39" s="72"/>
      <c r="E39" s="72"/>
      <c r="F39" s="45">
        <f>FLOOR($F$15/$F$23,1)</f>
        <v>1760</v>
      </c>
      <c r="G39" s="29"/>
      <c r="H39" s="29"/>
      <c r="I39" s="29"/>
    </row>
    <row r="40" spans="1:9" ht="15" customHeight="1">
      <c r="A40" s="29"/>
      <c r="B40" s="29"/>
      <c r="C40" s="29"/>
      <c r="D40" s="29"/>
      <c r="E40" s="29"/>
      <c r="F40" s="29"/>
      <c r="G40" s="29"/>
      <c r="H40" s="29"/>
      <c r="I40" s="29"/>
    </row>
    <row r="41" spans="1:9" ht="30" customHeight="1">
      <c r="A41" s="77" t="s">
        <v>184</v>
      </c>
      <c r="B41" s="78"/>
      <c r="C41" s="78"/>
      <c r="D41" s="78"/>
      <c r="E41" s="78"/>
      <c r="F41" s="78"/>
      <c r="G41" s="78"/>
      <c r="H41" s="29"/>
      <c r="I41" s="29"/>
    </row>
    <row r="42" spans="1:9" ht="48" customHeight="1">
      <c r="A42" s="67" t="s">
        <v>185</v>
      </c>
      <c r="B42" s="68"/>
      <c r="C42" s="68"/>
      <c r="D42" s="68"/>
      <c r="E42" s="68"/>
      <c r="F42" s="68"/>
      <c r="G42" s="68"/>
      <c r="H42" s="68"/>
      <c r="I42" s="29"/>
    </row>
    <row r="43" spans="1:9" ht="15" customHeight="1">
      <c r="A43" s="29"/>
      <c r="B43" s="29"/>
      <c r="C43" s="29"/>
      <c r="D43" s="29"/>
      <c r="E43" s="29"/>
      <c r="F43" s="29"/>
      <c r="G43" s="29"/>
      <c r="H43" s="29"/>
      <c r="I43" s="29"/>
    </row>
    <row r="44" spans="1:9" ht="18" customHeight="1">
      <c r="A44" s="34" t="s">
        <v>186</v>
      </c>
      <c r="B44" s="29"/>
      <c r="C44" s="29"/>
      <c r="D44" s="29"/>
      <c r="E44" s="31" t="s">
        <v>187</v>
      </c>
      <c r="F44" s="34" t="s">
        <v>101</v>
      </c>
      <c r="G44" s="29"/>
      <c r="H44" s="29"/>
      <c r="I44" s="29"/>
    </row>
    <row r="45" spans="1:9" ht="16" customHeight="1">
      <c r="A45" s="71" t="s">
        <v>188</v>
      </c>
      <c r="B45" s="72"/>
      <c r="C45" s="72"/>
      <c r="D45" s="73"/>
      <c r="E45" s="50" t="str">
        <f>IF($F$23&gt;=$F$22,"GOOD","BAD")</f>
        <v>GOOD</v>
      </c>
      <c r="F45" s="36" t="s">
        <v>189</v>
      </c>
      <c r="G45" s="29"/>
      <c r="H45" s="29"/>
      <c r="I45" s="29"/>
    </row>
    <row r="46" spans="1:9" ht="17" customHeight="1">
      <c r="A46" s="86" t="s">
        <v>190</v>
      </c>
      <c r="B46" s="85"/>
      <c r="C46" s="85"/>
      <c r="D46" s="87"/>
      <c r="E46" s="51" t="str">
        <f>IF($F$28&gt;=$F$27,"GOOD","BAD")</f>
        <v>GOOD</v>
      </c>
      <c r="F46" s="36" t="s">
        <v>191</v>
      </c>
      <c r="G46" s="29"/>
      <c r="H46" s="29"/>
      <c r="I46" s="29"/>
    </row>
    <row r="47" spans="1:9" ht="17" customHeight="1">
      <c r="A47" s="86" t="s">
        <v>192</v>
      </c>
      <c r="B47" s="85"/>
      <c r="C47" s="85"/>
      <c r="D47" s="87"/>
      <c r="E47" s="51" t="str">
        <f>IF($F$22&gt;=0,"GOOD","BAD")</f>
        <v>GOOD</v>
      </c>
      <c r="F47" s="36" t="s">
        <v>193</v>
      </c>
      <c r="G47" s="29"/>
      <c r="H47" s="29"/>
      <c r="I47" s="29"/>
    </row>
    <row r="48" spans="1:9" ht="15" customHeight="1">
      <c r="A48" s="71" t="s">
        <v>194</v>
      </c>
      <c r="B48" s="72"/>
      <c r="C48" s="72"/>
      <c r="D48" s="73"/>
      <c r="E48" s="51" t="str">
        <f>IF($F$22&lt;=F8,"GOOD","BAD")</f>
        <v>GOOD</v>
      </c>
      <c r="F48" s="36" t="s">
        <v>195</v>
      </c>
      <c r="G48" s="29"/>
      <c r="H48" s="29"/>
      <c r="I48" s="29"/>
    </row>
    <row r="49" spans="1:9" ht="17" customHeight="1">
      <c r="A49" s="86" t="s">
        <v>196</v>
      </c>
      <c r="B49" s="85"/>
      <c r="C49" s="85"/>
      <c r="D49" s="87"/>
      <c r="E49" s="51" t="str">
        <f>IF($F$23&gt;=1,"GOOD","BAD")</f>
        <v>GOOD</v>
      </c>
      <c r="F49" s="36" t="s">
        <v>197</v>
      </c>
      <c r="G49" s="29"/>
      <c r="H49" s="29"/>
      <c r="I49" s="29"/>
    </row>
    <row r="50" spans="1:9" ht="17" customHeight="1">
      <c r="A50" s="86" t="s">
        <v>198</v>
      </c>
      <c r="B50" s="85"/>
      <c r="C50" s="85"/>
      <c r="D50" s="87"/>
      <c r="E50" s="51" t="str">
        <f>IF($F$23&lt;='Cluster Configuration'!$E$30,"GOOD","BAD")</f>
        <v>GOOD</v>
      </c>
      <c r="F50" s="36" t="s">
        <v>199</v>
      </c>
      <c r="G50" s="29"/>
      <c r="H50" s="29"/>
      <c r="I50" s="29"/>
    </row>
    <row r="51" spans="1:9" ht="17" customHeight="1">
      <c r="A51" s="86" t="s">
        <v>200</v>
      </c>
      <c r="B51" s="85"/>
      <c r="C51" s="85"/>
      <c r="D51" s="87"/>
      <c r="E51" s="51" t="str">
        <f>IF($F$27&lt;1024,IF($F$27&lt;256,"BAD","WARN"),"GOOD")</f>
        <v>GOOD</v>
      </c>
      <c r="F51" s="36" t="s">
        <v>201</v>
      </c>
      <c r="G51" s="29"/>
      <c r="H51" s="29"/>
      <c r="I51" s="29"/>
    </row>
    <row r="52" spans="1:9" ht="15" customHeight="1">
      <c r="A52" s="86" t="s">
        <v>202</v>
      </c>
      <c r="B52" s="85"/>
      <c r="C52" s="85"/>
      <c r="D52" s="87"/>
      <c r="E52" s="51" t="str">
        <f>IF($F$27&lt;1024,IF($F$27&lt;256,"BAD","WARN"),"GOOD")</f>
        <v>GOOD</v>
      </c>
      <c r="F52" s="36" t="s">
        <v>203</v>
      </c>
      <c r="G52" s="29"/>
      <c r="H52" s="29"/>
      <c r="I52" s="29"/>
    </row>
    <row r="53" spans="1:9" ht="15" customHeight="1">
      <c r="A53" s="85"/>
      <c r="B53" s="85"/>
      <c r="C53" s="85"/>
      <c r="D53" s="85"/>
      <c r="E53" s="33"/>
      <c r="F53" s="29"/>
      <c r="G53" s="29"/>
      <c r="H53" s="29"/>
      <c r="I53" s="29"/>
    </row>
    <row r="54" spans="1:9" ht="15" customHeight="1">
      <c r="A54" s="85"/>
      <c r="B54" s="85"/>
      <c r="C54" s="85"/>
      <c r="D54" s="85"/>
      <c r="E54" s="29"/>
      <c r="F54" s="29"/>
      <c r="G54" s="29"/>
      <c r="H54" s="29"/>
      <c r="I54" s="29"/>
    </row>
    <row r="55" spans="1:9" ht="15" customHeight="1">
      <c r="A55" s="85"/>
      <c r="B55" s="85"/>
      <c r="C55" s="85"/>
      <c r="D55" s="85"/>
      <c r="E55" s="29"/>
      <c r="F55" s="29"/>
      <c r="G55" s="29"/>
      <c r="H55" s="29"/>
      <c r="I55" s="29"/>
    </row>
    <row r="56" spans="1:9" ht="15" customHeight="1">
      <c r="A56" s="85"/>
      <c r="B56" s="85"/>
      <c r="C56" s="85"/>
      <c r="D56" s="85"/>
      <c r="E56" s="29"/>
      <c r="F56" s="29"/>
      <c r="G56" s="29"/>
      <c r="H56" s="29"/>
      <c r="I56" s="29"/>
    </row>
    <row r="57" spans="1:9" ht="15" customHeight="1">
      <c r="A57" s="85"/>
      <c r="B57" s="85"/>
      <c r="C57" s="85"/>
      <c r="D57" s="85"/>
      <c r="E57" s="29"/>
      <c r="F57" s="29"/>
      <c r="G57" s="29"/>
      <c r="H57" s="29"/>
      <c r="I57" s="29"/>
    </row>
    <row r="58" spans="1:9" ht="15" customHeight="1">
      <c r="A58" s="85"/>
      <c r="B58" s="85"/>
      <c r="C58" s="85"/>
      <c r="D58" s="85"/>
      <c r="E58" s="29"/>
      <c r="F58" s="29"/>
      <c r="G58" s="29"/>
      <c r="H58" s="29"/>
      <c r="I58" s="29"/>
    </row>
    <row r="59" spans="1:9" ht="15" customHeight="1">
      <c r="A59" s="85"/>
      <c r="B59" s="85"/>
      <c r="C59" s="85"/>
      <c r="D59" s="85"/>
      <c r="E59" s="29"/>
      <c r="F59" s="29"/>
      <c r="G59" s="29"/>
      <c r="H59" s="29"/>
      <c r="I59" s="29"/>
    </row>
    <row r="60" spans="1:9" ht="15" customHeight="1">
      <c r="A60" s="85"/>
      <c r="B60" s="85"/>
      <c r="C60" s="85"/>
      <c r="D60" s="85"/>
      <c r="E60" s="29"/>
      <c r="F60" s="29"/>
      <c r="G60" s="29"/>
      <c r="H60" s="29"/>
      <c r="I60" s="29"/>
    </row>
    <row r="61" spans="1:9" ht="15" customHeight="1">
      <c r="A61" s="85"/>
      <c r="B61" s="85"/>
      <c r="C61" s="85"/>
      <c r="D61" s="85"/>
      <c r="E61" s="29"/>
      <c r="F61" s="29"/>
      <c r="G61" s="29"/>
      <c r="H61" s="29"/>
      <c r="I61" s="29"/>
    </row>
    <row r="62" spans="1:9" ht="15" customHeight="1">
      <c r="A62" s="85"/>
      <c r="B62" s="85"/>
      <c r="C62" s="85"/>
      <c r="D62" s="85"/>
      <c r="E62" s="29"/>
      <c r="F62" s="29"/>
      <c r="G62" s="29"/>
      <c r="H62" s="29"/>
      <c r="I62" s="29"/>
    </row>
  </sheetData>
  <mergeCells count="49">
    <mergeCell ref="A62:D62"/>
    <mergeCell ref="A56:D56"/>
    <mergeCell ref="A57:D57"/>
    <mergeCell ref="A58:D58"/>
    <mergeCell ref="A59:D59"/>
    <mergeCell ref="A60:D60"/>
    <mergeCell ref="A61:D61"/>
    <mergeCell ref="A55:D55"/>
    <mergeCell ref="A42:H42"/>
    <mergeCell ref="A45:D45"/>
    <mergeCell ref="A46:D46"/>
    <mergeCell ref="A47:D47"/>
    <mergeCell ref="A48:D48"/>
    <mergeCell ref="A49:D49"/>
    <mergeCell ref="A50:D50"/>
    <mergeCell ref="A51:D51"/>
    <mergeCell ref="A52:D52"/>
    <mergeCell ref="A53:D53"/>
    <mergeCell ref="A54:D54"/>
    <mergeCell ref="A41:G41"/>
    <mergeCell ref="A26:E26"/>
    <mergeCell ref="A27:E27"/>
    <mergeCell ref="A28:E28"/>
    <mergeCell ref="A29:E29"/>
    <mergeCell ref="A32:G32"/>
    <mergeCell ref="A33:H33"/>
    <mergeCell ref="A35:E35"/>
    <mergeCell ref="A36:E36"/>
    <mergeCell ref="A37:E37"/>
    <mergeCell ref="A38:E38"/>
    <mergeCell ref="A39:E39"/>
    <mergeCell ref="A24:E24"/>
    <mergeCell ref="A9:E9"/>
    <mergeCell ref="A11:G11"/>
    <mergeCell ref="A12:H12"/>
    <mergeCell ref="A14:E14"/>
    <mergeCell ref="A15:E15"/>
    <mergeCell ref="A16:E16"/>
    <mergeCell ref="A18:G18"/>
    <mergeCell ref="A19:H19"/>
    <mergeCell ref="A21:E21"/>
    <mergeCell ref="A22:E22"/>
    <mergeCell ref="A23:E23"/>
    <mergeCell ref="A8:E8"/>
    <mergeCell ref="A1:F1"/>
    <mergeCell ref="A2:F2"/>
    <mergeCell ref="A4:G4"/>
    <mergeCell ref="A5:H5"/>
    <mergeCell ref="A7:E7"/>
  </mergeCells>
  <conditionalFormatting sqref="E45:E51">
    <cfRule type="containsText" dxfId="12" priority="1" stopIfTrue="1" operator="containsText" text="BAD">
      <formula>NOT(ISERROR(FIND(UPPER("BAD"),UPPER(E45))))</formula>
      <formula>"BAD"</formula>
    </cfRule>
    <cfRule type="containsText" dxfId="11" priority="2" stopIfTrue="1" operator="containsText" text="WARN">
      <formula>NOT(ISERROR(FIND(UPPER("WARN"),UPPER(E45))))</formula>
      <formula>"WARN"</formula>
    </cfRule>
    <cfRule type="containsText" dxfId="10" priority="3" stopIfTrue="1" operator="containsText" text="GOOD">
      <formula>NOT(ISERROR(FIND(UPPER("GOOD"),UPPER(E45))))</formula>
      <formula>"GOOD"</formula>
    </cfRule>
  </conditionalFormatting>
  <conditionalFormatting sqref="E52">
    <cfRule type="containsText" dxfId="9" priority="4" stopIfTrue="1" operator="containsText" text="BAD">
      <formula>NOT(ISERROR(FIND(UPPER("BAD"),UPPER(E52))))</formula>
      <formula>"BAD"</formula>
    </cfRule>
    <cfRule type="containsText" dxfId="8" priority="5" stopIfTrue="1" operator="containsText" text="WARN">
      <formula>NOT(ISERROR(FIND(UPPER("WARN"),UPPER(E52))))</formula>
      <formula>"WARN"</formula>
    </cfRule>
    <cfRule type="containsText" dxfId="7" priority="6" stopIfTrue="1" operator="containsText" text="GOOD">
      <formula>NOT(ISERROR(FIND(UPPER("GOOD"),UPPER(E52))))</formula>
      <formula>"GOOD"</formula>
    </cfRule>
  </conditionalFormatting>
  <conditionalFormatting sqref="A57:D57">
    <cfRule type="containsText" dxfId="6" priority="7" stopIfTrue="1" operator="containsText" text="BAD">
      <formula>NOT(ISERROR(FIND(UPPER("BAD"),UPPER(A57))))</formula>
      <formula>"BAD"</formula>
    </cfRule>
  </conditionalFormatting>
  <pageMargins left="0.7" right="0.7" top="0.75" bottom="0.75" header="0.3" footer="0.3"/>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workbookViewId="0">
      <selection sqref="A1:G1"/>
    </sheetView>
  </sheetViews>
  <sheetFormatPr baseColWidth="10" defaultColWidth="10.83203125" defaultRowHeight="15" customHeight="1" x14ac:dyDescent="0"/>
  <cols>
    <col min="1" max="5" width="10.83203125" style="30" customWidth="1"/>
    <col min="6" max="6" width="15.33203125" style="30" customWidth="1"/>
    <col min="7" max="7" width="18.83203125" style="30" customWidth="1"/>
    <col min="8" max="8" width="10.83203125" style="30" customWidth="1"/>
    <col min="9" max="9" width="12.5" style="30" customWidth="1"/>
    <col min="10" max="256" width="10.83203125" style="30" customWidth="1"/>
    <col min="257" max="16384" width="10.83203125" style="49"/>
  </cols>
  <sheetData>
    <row r="1" spans="1:9" ht="55" customHeight="1">
      <c r="A1" s="29"/>
      <c r="B1" s="29"/>
      <c r="C1" s="29"/>
      <c r="D1" s="29"/>
      <c r="E1" s="29"/>
      <c r="F1" s="29"/>
      <c r="G1" s="29"/>
      <c r="H1" s="29"/>
      <c r="I1" s="29"/>
    </row>
    <row r="2" spans="1:9" ht="47" customHeight="1">
      <c r="A2" s="88" t="s">
        <v>204</v>
      </c>
      <c r="B2" s="89"/>
      <c r="C2" s="89"/>
      <c r="D2" s="89"/>
      <c r="E2" s="89"/>
      <c r="F2" s="89"/>
      <c r="G2" s="89"/>
      <c r="H2" s="52"/>
      <c r="I2" s="29"/>
    </row>
    <row r="3" spans="1:9" ht="30" customHeight="1">
      <c r="A3" s="77" t="s">
        <v>205</v>
      </c>
      <c r="B3" s="78"/>
      <c r="C3" s="78"/>
      <c r="D3" s="78"/>
      <c r="E3" s="78"/>
      <c r="F3" s="78"/>
      <c r="G3" s="78"/>
      <c r="H3" s="29"/>
      <c r="I3" s="29"/>
    </row>
    <row r="4" spans="1:9" ht="15" customHeight="1">
      <c r="A4" s="29"/>
      <c r="B4" s="29"/>
      <c r="C4" s="29"/>
      <c r="D4" s="29"/>
      <c r="E4" s="29"/>
      <c r="F4" s="29"/>
      <c r="G4" s="29"/>
      <c r="H4" s="29"/>
      <c r="I4" s="29"/>
    </row>
    <row r="5" spans="1:9" ht="15" customHeight="1">
      <c r="A5" s="29"/>
      <c r="B5" s="29"/>
      <c r="C5" s="29"/>
      <c r="D5" s="29"/>
      <c r="E5" s="29"/>
      <c r="F5" s="29"/>
      <c r="G5" s="29"/>
      <c r="H5" s="29"/>
      <c r="I5" s="29"/>
    </row>
    <row r="6" spans="1:9" ht="19" customHeight="1">
      <c r="A6" s="34" t="s">
        <v>206</v>
      </c>
      <c r="B6" s="29"/>
      <c r="C6" s="29"/>
      <c r="D6" s="29"/>
      <c r="E6" s="29"/>
      <c r="F6" s="34" t="s">
        <v>207</v>
      </c>
      <c r="G6" s="34" t="s">
        <v>208</v>
      </c>
      <c r="H6" s="31" t="s">
        <v>149</v>
      </c>
      <c r="I6" s="34" t="s">
        <v>101</v>
      </c>
    </row>
    <row r="7" spans="1:9" ht="15" customHeight="1">
      <c r="A7" s="71" t="s">
        <v>209</v>
      </c>
      <c r="B7" s="72"/>
      <c r="C7" s="72"/>
      <c r="D7" s="72"/>
      <c r="E7" s="72"/>
      <c r="F7" s="43" t="s">
        <v>210</v>
      </c>
      <c r="G7" s="35" t="s">
        <v>211</v>
      </c>
      <c r="H7" s="32">
        <v>1</v>
      </c>
      <c r="I7" s="36" t="s">
        <v>212</v>
      </c>
    </row>
    <row r="8" spans="1:9" ht="15" customHeight="1">
      <c r="A8" s="71" t="s">
        <v>213</v>
      </c>
      <c r="B8" s="72"/>
      <c r="C8" s="72"/>
      <c r="D8" s="72"/>
      <c r="E8" s="72"/>
      <c r="F8" s="43" t="s">
        <v>210</v>
      </c>
      <c r="G8" s="35" t="s">
        <v>211</v>
      </c>
      <c r="H8" s="32">
        <v>1024</v>
      </c>
      <c r="I8" s="36" t="s">
        <v>214</v>
      </c>
    </row>
    <row r="9" spans="1:9" ht="15" customHeight="1">
      <c r="A9" s="71" t="s">
        <v>215</v>
      </c>
      <c r="B9" s="72"/>
      <c r="C9" s="72"/>
      <c r="D9" s="72"/>
      <c r="E9" s="72"/>
      <c r="F9" s="43" t="s">
        <v>216</v>
      </c>
      <c r="G9" s="35" t="s">
        <v>211</v>
      </c>
      <c r="H9" s="32">
        <v>1024</v>
      </c>
      <c r="I9" s="36" t="s">
        <v>217</v>
      </c>
    </row>
    <row r="10" spans="1:9" ht="15" customHeight="1">
      <c r="A10" s="71" t="s">
        <v>218</v>
      </c>
      <c r="B10" s="72"/>
      <c r="C10" s="72"/>
      <c r="D10" s="72"/>
      <c r="E10" s="72"/>
      <c r="F10" s="43" t="s">
        <v>210</v>
      </c>
      <c r="G10" s="35" t="s">
        <v>219</v>
      </c>
      <c r="H10" s="32">
        <v>1</v>
      </c>
      <c r="I10" s="36" t="s">
        <v>220</v>
      </c>
    </row>
    <row r="11" spans="1:9" ht="15" customHeight="1">
      <c r="A11" s="71" t="s">
        <v>221</v>
      </c>
      <c r="B11" s="72"/>
      <c r="C11" s="72"/>
      <c r="D11" s="72"/>
      <c r="E11" s="72"/>
      <c r="F11" s="43" t="s">
        <v>210</v>
      </c>
      <c r="G11" s="35" t="s">
        <v>219</v>
      </c>
      <c r="H11" s="32">
        <v>1024</v>
      </c>
      <c r="I11" s="36" t="s">
        <v>222</v>
      </c>
    </row>
    <row r="12" spans="1:9" ht="15" customHeight="1">
      <c r="A12" s="71" t="s">
        <v>223</v>
      </c>
      <c r="B12" s="72"/>
      <c r="C12" s="72"/>
      <c r="D12" s="72"/>
      <c r="E12" s="72"/>
      <c r="F12" s="43" t="s">
        <v>216</v>
      </c>
      <c r="G12" s="35" t="s">
        <v>219</v>
      </c>
      <c r="H12" s="32">
        <v>1024</v>
      </c>
      <c r="I12" s="36" t="s">
        <v>224</v>
      </c>
    </row>
    <row r="13" spans="1:9" ht="15" customHeight="1">
      <c r="A13" s="71" t="s">
        <v>225</v>
      </c>
      <c r="B13" s="72"/>
      <c r="C13" s="72"/>
      <c r="D13" s="72"/>
      <c r="E13" s="72"/>
      <c r="F13" s="43" t="s">
        <v>210</v>
      </c>
      <c r="G13" s="35" t="s">
        <v>226</v>
      </c>
      <c r="H13" s="32">
        <v>1</v>
      </c>
      <c r="I13" s="36" t="s">
        <v>227</v>
      </c>
    </row>
    <row r="14" spans="1:9" ht="15" customHeight="1">
      <c r="A14" s="71" t="s">
        <v>228</v>
      </c>
      <c r="B14" s="72"/>
      <c r="C14" s="72"/>
      <c r="D14" s="72"/>
      <c r="E14" s="72"/>
      <c r="F14" s="43" t="s">
        <v>210</v>
      </c>
      <c r="G14" s="35" t="s">
        <v>226</v>
      </c>
      <c r="H14" s="32">
        <v>1024</v>
      </c>
      <c r="I14" s="36" t="s">
        <v>229</v>
      </c>
    </row>
    <row r="15" spans="1:9" ht="15" customHeight="1">
      <c r="A15" s="71" t="s">
        <v>230</v>
      </c>
      <c r="B15" s="72"/>
      <c r="C15" s="72"/>
      <c r="D15" s="72"/>
      <c r="E15" s="72"/>
      <c r="F15" s="43" t="s">
        <v>216</v>
      </c>
      <c r="G15" s="35" t="s">
        <v>226</v>
      </c>
      <c r="H15" s="32">
        <v>1024</v>
      </c>
      <c r="I15" s="36" t="s">
        <v>231</v>
      </c>
    </row>
    <row r="16" spans="1:9" ht="15" customHeight="1">
      <c r="A16" s="71" t="s">
        <v>232</v>
      </c>
      <c r="B16" s="72"/>
      <c r="C16" s="72"/>
      <c r="D16" s="72"/>
      <c r="E16" s="72"/>
      <c r="F16" s="43" t="s">
        <v>210</v>
      </c>
      <c r="G16" s="35" t="s">
        <v>233</v>
      </c>
      <c r="H16" s="32">
        <v>256</v>
      </c>
      <c r="I16" s="36" t="s">
        <v>234</v>
      </c>
    </row>
    <row r="17" spans="1:9" ht="15" customHeight="1">
      <c r="A17" s="29"/>
      <c r="B17" s="29"/>
      <c r="C17" s="29"/>
      <c r="D17" s="29"/>
      <c r="E17" s="29"/>
      <c r="F17" s="29"/>
      <c r="G17" s="29"/>
      <c r="H17" s="33"/>
      <c r="I17" s="29"/>
    </row>
    <row r="18" spans="1:9" ht="45" customHeight="1">
      <c r="A18" s="53" t="s">
        <v>235</v>
      </c>
      <c r="B18" s="54"/>
      <c r="C18" s="54"/>
      <c r="D18" s="54"/>
      <c r="E18" s="54"/>
      <c r="F18" s="54"/>
      <c r="G18" s="54"/>
      <c r="H18" s="29"/>
      <c r="I18" s="29"/>
    </row>
    <row r="19" spans="1:9" ht="20" customHeight="1">
      <c r="A19" s="67" t="s">
        <v>236</v>
      </c>
      <c r="B19" s="68"/>
      <c r="C19" s="68"/>
      <c r="D19" s="68"/>
      <c r="E19" s="68"/>
      <c r="F19" s="68"/>
      <c r="G19" s="68"/>
      <c r="H19" s="68"/>
      <c r="I19" s="29"/>
    </row>
    <row r="20" spans="1:9" ht="15" customHeight="1">
      <c r="A20" s="29"/>
      <c r="B20" s="29"/>
      <c r="C20" s="29"/>
      <c r="D20" s="29"/>
      <c r="E20" s="29"/>
      <c r="F20" s="29"/>
      <c r="G20" s="29"/>
      <c r="H20" s="29"/>
      <c r="I20" s="29"/>
    </row>
    <row r="21" spans="1:9" ht="18" customHeight="1">
      <c r="A21" s="34" t="s">
        <v>237</v>
      </c>
      <c r="B21" s="29"/>
      <c r="C21" s="29"/>
      <c r="D21" s="29"/>
      <c r="E21" s="29"/>
      <c r="F21" s="34" t="s">
        <v>149</v>
      </c>
      <c r="G21" s="34" t="s">
        <v>101</v>
      </c>
      <c r="H21" s="55"/>
      <c r="I21" s="29"/>
    </row>
    <row r="22" spans="1:9" ht="15" customHeight="1">
      <c r="A22" s="43" t="s">
        <v>238</v>
      </c>
      <c r="B22" s="29"/>
      <c r="C22" s="29"/>
      <c r="D22" s="29"/>
      <c r="E22" s="29"/>
      <c r="F22" s="56" t="str">
        <f>IF($H$7&gt;='YARN Configuration'!$F$22,"GOOD","BAD")</f>
        <v>GOOD</v>
      </c>
      <c r="G22" s="43" t="s">
        <v>239</v>
      </c>
      <c r="H22" s="29"/>
      <c r="I22" s="29"/>
    </row>
    <row r="23" spans="1:9" ht="15" customHeight="1">
      <c r="A23" s="43" t="s">
        <v>240</v>
      </c>
      <c r="B23" s="29"/>
      <c r="C23" s="29"/>
      <c r="D23" s="29"/>
      <c r="E23" s="29"/>
      <c r="F23" s="56" t="str">
        <f>IF($H$7&lt;='YARN Configuration'!$F$23,"GOOD","BAD")</f>
        <v>GOOD</v>
      </c>
      <c r="G23" s="43" t="s">
        <v>241</v>
      </c>
      <c r="H23" s="29"/>
      <c r="I23" s="29"/>
    </row>
    <row r="24" spans="1:9" ht="15" customHeight="1">
      <c r="A24" s="43" t="s">
        <v>242</v>
      </c>
      <c r="B24" s="29"/>
      <c r="C24" s="29"/>
      <c r="D24" s="29"/>
      <c r="E24" s="29"/>
      <c r="F24" s="56" t="str">
        <f>IF($H$8&gt;='YARN Configuration'!$F$27,"GOOD","BAD")</f>
        <v>GOOD</v>
      </c>
      <c r="G24" s="43" t="s">
        <v>243</v>
      </c>
      <c r="H24" s="29"/>
      <c r="I24" s="29"/>
    </row>
    <row r="25" spans="1:9" ht="15" customHeight="1">
      <c r="A25" s="43" t="s">
        <v>244</v>
      </c>
      <c r="B25" s="29"/>
      <c r="C25" s="29"/>
      <c r="D25" s="29"/>
      <c r="E25" s="29"/>
      <c r="F25" s="56" t="str">
        <f>IF($H$8&lt;='YARN Configuration'!$F$28,"GOOD","BAD")</f>
        <v>GOOD</v>
      </c>
      <c r="G25" s="43" t="s">
        <v>241</v>
      </c>
      <c r="H25" s="29"/>
      <c r="I25" s="29"/>
    </row>
    <row r="26" spans="1:9" ht="15" customHeight="1">
      <c r="A26" s="43" t="s">
        <v>245</v>
      </c>
      <c r="B26" s="29"/>
      <c r="C26" s="29"/>
      <c r="D26" s="29"/>
      <c r="E26" s="29"/>
      <c r="F26" s="56" t="str">
        <f>IF(($H$9/$H$8)&gt;1,"BAD",IF(($H$9/$H$8)&gt;=0.9,"GOOD",IF(($H$9/$H$8)&gt;=0.5,"WARN","BAD")))</f>
        <v>GOOD</v>
      </c>
      <c r="G26" s="43" t="s">
        <v>246</v>
      </c>
      <c r="H26" s="29"/>
      <c r="I26" s="29"/>
    </row>
    <row r="27" spans="1:9" ht="15" customHeight="1">
      <c r="A27" s="29"/>
      <c r="B27" s="29"/>
      <c r="C27" s="29"/>
      <c r="D27" s="29"/>
      <c r="E27" s="29"/>
      <c r="F27" s="29"/>
      <c r="G27" s="29"/>
      <c r="H27" s="29"/>
      <c r="I27" s="29"/>
    </row>
    <row r="28" spans="1:9" ht="18" customHeight="1">
      <c r="A28" s="34" t="s">
        <v>247</v>
      </c>
      <c r="B28" s="29"/>
      <c r="C28" s="29"/>
      <c r="D28" s="29"/>
      <c r="E28" s="29"/>
      <c r="F28" s="34" t="s">
        <v>149</v>
      </c>
      <c r="G28" s="34" t="s">
        <v>101</v>
      </c>
      <c r="H28" s="29"/>
      <c r="I28" s="29"/>
    </row>
    <row r="29" spans="1:9" ht="15" customHeight="1">
      <c r="A29" s="43" t="s">
        <v>248</v>
      </c>
      <c r="B29" s="29"/>
      <c r="C29" s="29"/>
      <c r="D29" s="29"/>
      <c r="E29" s="29"/>
      <c r="F29" s="56" t="str">
        <f>IF($H$10&gt;='YARN Configuration'!$F$22,"GOOD","BAD")</f>
        <v>GOOD</v>
      </c>
      <c r="G29" s="43" t="s">
        <v>249</v>
      </c>
      <c r="H29" s="29"/>
      <c r="I29" s="29"/>
    </row>
    <row r="30" spans="1:9" ht="15" customHeight="1">
      <c r="A30" s="43" t="s">
        <v>250</v>
      </c>
      <c r="B30" s="29"/>
      <c r="C30" s="29"/>
      <c r="D30" s="29"/>
      <c r="E30" s="29"/>
      <c r="F30" s="56" t="str">
        <f>IF($H$10&lt;='YARN Configuration'!$F$23,"GOOD","BAD")</f>
        <v>GOOD</v>
      </c>
      <c r="G30" s="43" t="s">
        <v>241</v>
      </c>
      <c r="H30" s="29"/>
      <c r="I30" s="29"/>
    </row>
    <row r="31" spans="1:9" ht="15" customHeight="1">
      <c r="A31" s="43" t="s">
        <v>251</v>
      </c>
      <c r="B31" s="29"/>
      <c r="C31" s="29"/>
      <c r="D31" s="29"/>
      <c r="E31" s="29"/>
      <c r="F31" s="56" t="str">
        <f>IF($H$11&gt;='YARN Configuration'!$F$27,"GOOD","BAD")</f>
        <v>GOOD</v>
      </c>
      <c r="G31" s="43" t="s">
        <v>252</v>
      </c>
      <c r="H31" s="29"/>
      <c r="I31" s="29"/>
    </row>
    <row r="32" spans="1:9" ht="15" customHeight="1">
      <c r="A32" s="43" t="s">
        <v>253</v>
      </c>
      <c r="B32" s="29"/>
      <c r="C32" s="29"/>
      <c r="D32" s="29"/>
      <c r="E32" s="29"/>
      <c r="F32" s="56" t="str">
        <f>IF($H$11&lt;='YARN Configuration'!$F$28,"GOOD","BAD")</f>
        <v>GOOD</v>
      </c>
      <c r="G32" s="43" t="s">
        <v>241</v>
      </c>
      <c r="H32" s="29"/>
      <c r="I32" s="29"/>
    </row>
    <row r="33" spans="1:9" ht="15" customHeight="1">
      <c r="A33" s="43" t="s">
        <v>254</v>
      </c>
      <c r="B33" s="29"/>
      <c r="C33" s="29"/>
      <c r="D33" s="29"/>
      <c r="E33" s="29"/>
      <c r="F33" s="56" t="str">
        <f>IF(($H$12/$H$11)&gt;1,"BAD",IF(($H$12/$H$11)&gt;=0.9,"GOOD",IF(($H$12/$H$11)&gt;=0.5,"WARN","BAD")))</f>
        <v>GOOD</v>
      </c>
      <c r="G33" s="43" t="s">
        <v>255</v>
      </c>
      <c r="H33" s="29"/>
      <c r="I33" s="29"/>
    </row>
    <row r="34" spans="1:9" ht="15" customHeight="1">
      <c r="A34" s="43" t="s">
        <v>256</v>
      </c>
      <c r="B34" s="29"/>
      <c r="C34" s="29"/>
      <c r="D34" s="29"/>
      <c r="E34" s="29"/>
      <c r="F34" s="56" t="str">
        <f>IF(($H$12-$H$16)&gt;=768,"GOOD",IF(($H$12-$H$16)&gt;=384,"WARN","BAD"))</f>
        <v>GOOD</v>
      </c>
      <c r="G34" s="43" t="s">
        <v>257</v>
      </c>
      <c r="H34" s="29"/>
      <c r="I34" s="29"/>
    </row>
    <row r="35" spans="1:9" ht="15" customHeight="1">
      <c r="A35" s="29"/>
      <c r="B35" s="29"/>
      <c r="C35" s="29"/>
      <c r="D35" s="29"/>
      <c r="E35" s="29"/>
      <c r="F35" s="29"/>
      <c r="G35" s="29"/>
      <c r="H35" s="29"/>
      <c r="I35" s="29"/>
    </row>
    <row r="36" spans="1:9" ht="18" customHeight="1">
      <c r="A36" s="34" t="s">
        <v>258</v>
      </c>
      <c r="B36" s="29"/>
      <c r="C36" s="29"/>
      <c r="D36" s="29"/>
      <c r="E36" s="29"/>
      <c r="F36" s="34" t="s">
        <v>149</v>
      </c>
      <c r="G36" s="34" t="s">
        <v>101</v>
      </c>
      <c r="H36" s="29"/>
      <c r="I36" s="29"/>
    </row>
    <row r="37" spans="1:9" ht="15" customHeight="1">
      <c r="A37" s="43" t="s">
        <v>259</v>
      </c>
      <c r="B37" s="29"/>
      <c r="C37" s="29"/>
      <c r="D37" s="29"/>
      <c r="E37" s="29"/>
      <c r="F37" s="56" t="str">
        <f>IF($H$13&gt;='YARN Configuration'!$F$22,"GOOD","BAD")</f>
        <v>GOOD</v>
      </c>
      <c r="G37" s="43" t="s">
        <v>260</v>
      </c>
      <c r="H37" s="29"/>
      <c r="I37" s="29"/>
    </row>
    <row r="38" spans="1:9" ht="15" customHeight="1">
      <c r="A38" s="43" t="s">
        <v>261</v>
      </c>
      <c r="B38" s="29"/>
      <c r="C38" s="29"/>
      <c r="D38" s="29"/>
      <c r="E38" s="29"/>
      <c r="F38" s="56" t="str">
        <f>IF($H$13&lt;='YARN Configuration'!$F$23,"GOOD","BAD")</f>
        <v>GOOD</v>
      </c>
      <c r="G38" s="43" t="s">
        <v>241</v>
      </c>
      <c r="H38" s="29"/>
      <c r="I38" s="29"/>
    </row>
    <row r="39" spans="1:9" ht="15" customHeight="1">
      <c r="A39" s="43" t="s">
        <v>262</v>
      </c>
      <c r="B39" s="29"/>
      <c r="C39" s="29"/>
      <c r="D39" s="29"/>
      <c r="E39" s="29"/>
      <c r="F39" s="56" t="str">
        <f>IF($H$14&gt;='YARN Configuration'!$F$27,"GOOD","BAD")</f>
        <v>GOOD</v>
      </c>
      <c r="G39" s="43" t="s">
        <v>263</v>
      </c>
      <c r="H39" s="29"/>
      <c r="I39" s="29"/>
    </row>
    <row r="40" spans="1:9" ht="15" customHeight="1">
      <c r="A40" s="43" t="s">
        <v>264</v>
      </c>
      <c r="B40" s="29"/>
      <c r="C40" s="29"/>
      <c r="D40" s="29"/>
      <c r="E40" s="29"/>
      <c r="F40" s="56" t="str">
        <f>IF($H$14&lt;='YARN Configuration'!$F$28,"GOOD","BAD")</f>
        <v>GOOD</v>
      </c>
      <c r="G40" s="43" t="s">
        <v>241</v>
      </c>
      <c r="H40" s="29"/>
      <c r="I40" s="29"/>
    </row>
    <row r="41" spans="1:9" ht="15" customHeight="1">
      <c r="A41" s="43" t="s">
        <v>265</v>
      </c>
      <c r="B41" s="29"/>
      <c r="C41" s="29"/>
      <c r="D41" s="29"/>
      <c r="E41" s="29"/>
      <c r="F41" s="56" t="str">
        <f>IF(($H$15/$H$14)&gt;1,"BAD",IF(($H$15/$H$14)&gt;=0.9,"GOOD",IF(($H$15/$H$14)&gt;=0.5,"WARN","BAD")))</f>
        <v>GOOD</v>
      </c>
      <c r="G41" s="43" t="s">
        <v>266</v>
      </c>
      <c r="H41" s="29"/>
      <c r="I41" s="29"/>
    </row>
  </sheetData>
  <mergeCells count="13">
    <mergeCell ref="A19:H19"/>
    <mergeCell ref="A11:E11"/>
    <mergeCell ref="A12:E12"/>
    <mergeCell ref="A13:E13"/>
    <mergeCell ref="A14:E14"/>
    <mergeCell ref="A15:E15"/>
    <mergeCell ref="A16:E16"/>
    <mergeCell ref="A10:E10"/>
    <mergeCell ref="A2:G2"/>
    <mergeCell ref="A3:G3"/>
    <mergeCell ref="A7:E7"/>
    <mergeCell ref="A8:E8"/>
    <mergeCell ref="A9:E9"/>
  </mergeCells>
  <conditionalFormatting sqref="F22:F26 F29:F34 F37:F41">
    <cfRule type="containsText" dxfId="5" priority="1" stopIfTrue="1" operator="containsText" text="BAD">
      <formula>NOT(ISERROR(FIND(UPPER("BAD"),UPPER(F22))))</formula>
      <formula>"BAD"</formula>
    </cfRule>
    <cfRule type="containsText" dxfId="4" priority="2" stopIfTrue="1" operator="containsText" text="WARN">
      <formula>NOT(ISERROR(FIND(UPPER("WARN"),UPPER(F22))))</formula>
      <formula>"WARN"</formula>
    </cfRule>
    <cfRule type="containsText" dxfId="3" priority="3" stopIfTrue="1" operator="containsText" text="GOOD">
      <formula>NOT(ISERROR(FIND(UPPER("GOOD"),UPPER(F22))))</formula>
      <formula>"GOOD"</formula>
    </cfRule>
  </conditionalFormatting>
  <conditionalFormatting sqref="F35:F36">
    <cfRule type="containsText" dxfId="2" priority="4" stopIfTrue="1" operator="containsText" text="BAD">
      <formula>NOT(ISERROR(FIND(UPPER("BAD"),UPPER(F35))))</formula>
      <formula>"BAD"</formula>
    </cfRule>
    <cfRule type="containsText" dxfId="1" priority="5" stopIfTrue="1" operator="containsText" text="WARN">
      <formula>NOT(ISERROR(FIND(UPPER("WARN"),UPPER(F35))))</formula>
      <formula>"WARN"</formula>
    </cfRule>
    <cfRule type="containsText" dxfId="0" priority="6" stopIfTrue="1" operator="containsText" text="GOOD">
      <formula>NOT(ISERROR(FIND(UPPER("GOOD"),UPPER(F35))))</formula>
      <formula>"GOOD"</formula>
    </cfRule>
  </conditionalFormatting>
  <pageMargins left="0.7" right="0.7" top="0.75" bottom="0.75" header="0.3" footer="0.3"/>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abSelected="1" workbookViewId="0">
      <selection activeCell="F15" sqref="F15"/>
    </sheetView>
  </sheetViews>
  <sheetFormatPr baseColWidth="10" defaultRowHeight="15" x14ac:dyDescent="0"/>
  <cols>
    <col min="1" max="1" width="37.5" bestFit="1" customWidth="1"/>
    <col min="2" max="2" width="32.1640625" bestFit="1" customWidth="1"/>
    <col min="7" max="7" width="24.6640625" bestFit="1" customWidth="1"/>
  </cols>
  <sheetData>
    <row r="1" spans="1:9">
      <c r="C1" s="1" t="s">
        <v>270</v>
      </c>
      <c r="D1" s="1" t="s">
        <v>271</v>
      </c>
      <c r="G1" s="1" t="s">
        <v>293</v>
      </c>
    </row>
    <row r="2" spans="1:9">
      <c r="A2" t="s">
        <v>276</v>
      </c>
      <c r="B2" t="s">
        <v>268</v>
      </c>
      <c r="C2">
        <v>500</v>
      </c>
      <c r="D2" t="s">
        <v>269</v>
      </c>
      <c r="G2" t="s">
        <v>294</v>
      </c>
      <c r="H2">
        <v>60</v>
      </c>
      <c r="I2" t="s">
        <v>282</v>
      </c>
    </row>
    <row r="3" spans="1:9">
      <c r="A3" t="s">
        <v>277</v>
      </c>
      <c r="B3" t="s">
        <v>272</v>
      </c>
      <c r="C3">
        <v>5</v>
      </c>
      <c r="D3" t="s">
        <v>269</v>
      </c>
      <c r="E3" t="s">
        <v>292</v>
      </c>
      <c r="G3" t="s">
        <v>295</v>
      </c>
      <c r="H3" t="s">
        <v>297</v>
      </c>
      <c r="I3" t="s">
        <v>282</v>
      </c>
    </row>
    <row r="4" spans="1:9">
      <c r="A4" t="s">
        <v>278</v>
      </c>
      <c r="B4" t="s">
        <v>273</v>
      </c>
      <c r="C4">
        <v>3</v>
      </c>
      <c r="G4" t="s">
        <v>296</v>
      </c>
      <c r="H4">
        <v>20</v>
      </c>
      <c r="I4" t="s">
        <v>282</v>
      </c>
    </row>
    <row r="5" spans="1:9">
      <c r="A5" t="s">
        <v>279</v>
      </c>
      <c r="B5" t="s">
        <v>274</v>
      </c>
      <c r="C5">
        <v>3</v>
      </c>
      <c r="D5" t="s">
        <v>275</v>
      </c>
      <c r="G5" t="s">
        <v>298</v>
      </c>
      <c r="H5">
        <v>95</v>
      </c>
      <c r="I5" t="s">
        <v>282</v>
      </c>
    </row>
    <row r="6" spans="1:9">
      <c r="A6" t="s">
        <v>280</v>
      </c>
      <c r="B6" t="s">
        <v>281</v>
      </c>
      <c r="C6" s="58">
        <v>30</v>
      </c>
      <c r="D6" t="s">
        <v>282</v>
      </c>
      <c r="G6" t="s">
        <v>316</v>
      </c>
      <c r="H6" t="s">
        <v>318</v>
      </c>
    </row>
    <row r="7" spans="1:9">
      <c r="A7" t="s">
        <v>283</v>
      </c>
      <c r="B7" t="s">
        <v>284</v>
      </c>
      <c r="C7" s="58">
        <v>6</v>
      </c>
      <c r="D7" t="s">
        <v>275</v>
      </c>
    </row>
    <row r="8" spans="1:9">
      <c r="A8" t="s">
        <v>285</v>
      </c>
      <c r="B8" t="s">
        <v>286</v>
      </c>
    </row>
    <row r="10" spans="1:9">
      <c r="A10" t="s">
        <v>287</v>
      </c>
      <c r="B10" t="s">
        <v>288</v>
      </c>
      <c r="F10" t="s">
        <v>274</v>
      </c>
    </row>
    <row r="11" spans="1:9">
      <c r="F11" t="s">
        <v>300</v>
      </c>
      <c r="G11" t="s">
        <v>301</v>
      </c>
    </row>
    <row r="12" spans="1:9">
      <c r="B12" t="s">
        <v>289</v>
      </c>
    </row>
    <row r="13" spans="1:9">
      <c r="F13" t="s">
        <v>390</v>
      </c>
    </row>
    <row r="14" spans="1:9">
      <c r="B14" t="s">
        <v>290</v>
      </c>
      <c r="F14" t="s">
        <v>391</v>
      </c>
    </row>
    <row r="16" spans="1:9">
      <c r="A16" s="1" t="s">
        <v>299</v>
      </c>
      <c r="B16" s="1" t="s">
        <v>291</v>
      </c>
    </row>
    <row r="18" spans="1:3">
      <c r="A18" t="s">
        <v>302</v>
      </c>
    </row>
    <row r="20" spans="1:3">
      <c r="A20" t="s">
        <v>303</v>
      </c>
      <c r="B20" t="s">
        <v>304</v>
      </c>
    </row>
    <row r="21" spans="1:3">
      <c r="A21" t="s">
        <v>305</v>
      </c>
      <c r="B21" t="s">
        <v>306</v>
      </c>
    </row>
    <row r="22" spans="1:3">
      <c r="A22" t="s">
        <v>307</v>
      </c>
      <c r="B22" t="s">
        <v>308</v>
      </c>
    </row>
    <row r="23" spans="1:3">
      <c r="A23" t="s">
        <v>280</v>
      </c>
      <c r="B23" t="s">
        <v>309</v>
      </c>
    </row>
    <row r="24" spans="1:3">
      <c r="A24" t="s">
        <v>310</v>
      </c>
      <c r="B24" t="s">
        <v>311</v>
      </c>
    </row>
    <row r="25" spans="1:3">
      <c r="A25" t="s">
        <v>312</v>
      </c>
      <c r="B25" t="s">
        <v>313</v>
      </c>
    </row>
    <row r="26" spans="1:3">
      <c r="A26" t="s">
        <v>285</v>
      </c>
      <c r="B26" t="s">
        <v>314</v>
      </c>
    </row>
    <row r="27" spans="1:3">
      <c r="A27" t="s">
        <v>315</v>
      </c>
      <c r="B27" t="s">
        <v>317</v>
      </c>
    </row>
    <row r="29" spans="1:3">
      <c r="A29" t="s">
        <v>305</v>
      </c>
      <c r="B29">
        <v>2</v>
      </c>
      <c r="C29" t="s">
        <v>319</v>
      </c>
    </row>
    <row r="30" spans="1:3">
      <c r="A30" t="s">
        <v>280</v>
      </c>
      <c r="B30">
        <v>20</v>
      </c>
      <c r="C30" t="s">
        <v>320</v>
      </c>
    </row>
    <row r="31" spans="1:3">
      <c r="A31" t="s">
        <v>310</v>
      </c>
      <c r="B31">
        <v>4</v>
      </c>
      <c r="C31" t="s">
        <v>269</v>
      </c>
    </row>
    <row r="33" spans="1:3">
      <c r="A33" t="s">
        <v>303</v>
      </c>
      <c r="B33" t="s">
        <v>321</v>
      </c>
    </row>
    <row r="35" spans="1:3">
      <c r="A35" t="s">
        <v>307</v>
      </c>
      <c r="B35" t="s">
        <v>322</v>
      </c>
    </row>
    <row r="36" spans="1:3">
      <c r="B36" t="s">
        <v>323</v>
      </c>
    </row>
    <row r="37" spans="1:3">
      <c r="B37" t="s">
        <v>324</v>
      </c>
    </row>
    <row r="38" spans="1:3">
      <c r="B38" t="s">
        <v>325</v>
      </c>
    </row>
    <row r="40" spans="1:3">
      <c r="A40" t="s">
        <v>303</v>
      </c>
      <c r="B40" t="s">
        <v>326</v>
      </c>
    </row>
    <row r="41" spans="1:3">
      <c r="A41" s="1" t="s">
        <v>303</v>
      </c>
      <c r="B41" s="1" t="s">
        <v>327</v>
      </c>
    </row>
    <row r="44" spans="1:3">
      <c r="A44" s="1" t="s">
        <v>328</v>
      </c>
    </row>
    <row r="45" spans="1:3">
      <c r="A45" t="s">
        <v>329</v>
      </c>
      <c r="B45">
        <v>1</v>
      </c>
      <c r="C45" t="s">
        <v>333</v>
      </c>
    </row>
    <row r="46" spans="1:3">
      <c r="A46" t="s">
        <v>267</v>
      </c>
      <c r="B46">
        <v>1</v>
      </c>
      <c r="C46" t="s">
        <v>333</v>
      </c>
    </row>
    <row r="47" spans="1:3">
      <c r="A47" t="s">
        <v>330</v>
      </c>
      <c r="B47">
        <v>1</v>
      </c>
      <c r="C47" t="s">
        <v>333</v>
      </c>
    </row>
    <row r="48" spans="1:3">
      <c r="A48" t="s">
        <v>331</v>
      </c>
      <c r="B48">
        <v>128</v>
      </c>
      <c r="C48" t="s">
        <v>332</v>
      </c>
    </row>
    <row r="49" spans="1:5">
      <c r="A49" t="s">
        <v>334</v>
      </c>
      <c r="B49">
        <v>4</v>
      </c>
      <c r="C49" t="s">
        <v>269</v>
      </c>
      <c r="D49" t="s">
        <v>335</v>
      </c>
    </row>
    <row r="51" spans="1:5">
      <c r="A51" t="s">
        <v>336</v>
      </c>
      <c r="B51">
        <v>32768</v>
      </c>
      <c r="C51" t="s">
        <v>337</v>
      </c>
    </row>
    <row r="52" spans="1:5">
      <c r="A52" t="s">
        <v>338</v>
      </c>
      <c r="B52" t="s">
        <v>339</v>
      </c>
      <c r="C52">
        <v>32768</v>
      </c>
      <c r="D52" t="s">
        <v>340</v>
      </c>
      <c r="E52" t="s">
        <v>335</v>
      </c>
    </row>
    <row r="53" spans="1:5">
      <c r="A53" t="s">
        <v>341</v>
      </c>
      <c r="B53">
        <v>128</v>
      </c>
      <c r="C53" t="s">
        <v>342</v>
      </c>
    </row>
    <row r="54" spans="1:5">
      <c r="A54" t="s">
        <v>343</v>
      </c>
      <c r="B54">
        <v>256</v>
      </c>
      <c r="D54" t="s">
        <v>344</v>
      </c>
      <c r="E54" t="s">
        <v>345</v>
      </c>
    </row>
    <row r="56" spans="1:5">
      <c r="A56" t="s">
        <v>346</v>
      </c>
    </row>
    <row r="58" spans="1:5">
      <c r="A58" t="s">
        <v>347</v>
      </c>
    </row>
    <row r="60" spans="1:5">
      <c r="A60" t="s">
        <v>307</v>
      </c>
    </row>
    <row r="61" spans="1:5">
      <c r="A61" t="s">
        <v>280</v>
      </c>
    </row>
    <row r="62" spans="1:5">
      <c r="A62" t="s">
        <v>310</v>
      </c>
      <c r="B62" t="s">
        <v>348</v>
      </c>
    </row>
    <row r="63" spans="1:5">
      <c r="A63" t="s">
        <v>312</v>
      </c>
      <c r="B63">
        <v>40</v>
      </c>
    </row>
    <row r="64" spans="1:5">
      <c r="A64" t="s">
        <v>285</v>
      </c>
      <c r="B64" t="s">
        <v>349</v>
      </c>
    </row>
    <row r="65" spans="1:3">
      <c r="A65" t="s">
        <v>315</v>
      </c>
      <c r="B65" s="57">
        <v>0.1</v>
      </c>
    </row>
    <row r="66" spans="1:3">
      <c r="A66" t="s">
        <v>280</v>
      </c>
      <c r="B66">
        <v>20</v>
      </c>
      <c r="C66" t="s">
        <v>350</v>
      </c>
    </row>
    <row r="68" spans="1:3">
      <c r="A68" t="s">
        <v>307</v>
      </c>
      <c r="B68" t="s">
        <v>322</v>
      </c>
    </row>
    <row r="69" spans="1:3">
      <c r="B69" t="s">
        <v>351</v>
      </c>
    </row>
    <row r="70" spans="1:3">
      <c r="B70" t="s">
        <v>352</v>
      </c>
    </row>
    <row r="72" spans="1:3">
      <c r="A72" t="s">
        <v>307</v>
      </c>
      <c r="B72" t="s">
        <v>353</v>
      </c>
      <c r="C72" t="s">
        <v>354</v>
      </c>
    </row>
    <row r="73" spans="1:3">
      <c r="B73">
        <v>55</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A13" sqref="A13"/>
    </sheetView>
  </sheetViews>
  <sheetFormatPr baseColWidth="10" defaultRowHeight="15" x14ac:dyDescent="0"/>
  <cols>
    <col min="1" max="1" width="99" bestFit="1" customWidth="1"/>
  </cols>
  <sheetData>
    <row r="1" spans="1:1">
      <c r="A1" s="1" t="s">
        <v>355</v>
      </c>
    </row>
    <row r="2" spans="1:1">
      <c r="A2" t="s">
        <v>376</v>
      </c>
    </row>
    <row r="3" spans="1:1">
      <c r="A3" t="s">
        <v>359</v>
      </c>
    </row>
    <row r="4" spans="1:1">
      <c r="A4" t="s">
        <v>360</v>
      </c>
    </row>
    <row r="5" spans="1:1">
      <c r="A5" t="s">
        <v>377</v>
      </c>
    </row>
    <row r="6" spans="1:1">
      <c r="A6" t="s">
        <v>357</v>
      </c>
    </row>
    <row r="8" spans="1:1">
      <c r="A8" s="1" t="s">
        <v>356</v>
      </c>
    </row>
    <row r="9" spans="1:1">
      <c r="A9" t="s">
        <v>357</v>
      </c>
    </row>
    <row r="10" spans="1:1">
      <c r="A10" t="s">
        <v>361</v>
      </c>
    </row>
    <row r="11" spans="1:1">
      <c r="A11" t="s">
        <v>358</v>
      </c>
    </row>
    <row r="12" spans="1:1">
      <c r="A12" t="s">
        <v>362</v>
      </c>
    </row>
    <row r="13" spans="1:1">
      <c r="A13" t="s">
        <v>378</v>
      </c>
    </row>
    <row r="14" spans="1:1">
      <c r="A14" t="s">
        <v>379</v>
      </c>
    </row>
    <row r="15" spans="1:1">
      <c r="A15" t="s">
        <v>363</v>
      </c>
    </row>
    <row r="16" spans="1:1">
      <c r="A16" t="s">
        <v>364</v>
      </c>
    </row>
    <row r="18" spans="1:1">
      <c r="A18" t="s">
        <v>373</v>
      </c>
    </row>
    <row r="19" spans="1:1">
      <c r="A19" t="s">
        <v>365</v>
      </c>
    </row>
    <row r="20" spans="1:1">
      <c r="A20" t="s">
        <v>366</v>
      </c>
    </row>
    <row r="21" spans="1:1">
      <c r="A21" t="s">
        <v>362</v>
      </c>
    </row>
    <row r="22" spans="1:1">
      <c r="A22" t="s">
        <v>380</v>
      </c>
    </row>
    <row r="23" spans="1:1">
      <c r="A23" t="s">
        <v>381</v>
      </c>
    </row>
    <row r="24" spans="1:1">
      <c r="A24" t="s">
        <v>367</v>
      </c>
    </row>
    <row r="26" spans="1:1">
      <c r="A26" s="1" t="s">
        <v>374</v>
      </c>
    </row>
    <row r="27" spans="1:1">
      <c r="A27" t="s">
        <v>368</v>
      </c>
    </row>
    <row r="28" spans="1:1">
      <c r="A28" t="s">
        <v>369</v>
      </c>
    </row>
    <row r="29" spans="1:1">
      <c r="A29" t="s">
        <v>370</v>
      </c>
    </row>
    <row r="30" spans="1:1">
      <c r="A30" t="s">
        <v>371</v>
      </c>
    </row>
    <row r="31" spans="1:1">
      <c r="A31" t="s">
        <v>372</v>
      </c>
    </row>
    <row r="33" spans="1:1">
      <c r="A33" s="1" t="s">
        <v>375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Storage Based Sizing</vt:lpstr>
      <vt:lpstr>Questions for sizing</vt:lpstr>
      <vt:lpstr>Hadoop Cluster Sizing</vt:lpstr>
      <vt:lpstr>Dictionaries</vt:lpstr>
      <vt:lpstr>Cluster Configuration</vt:lpstr>
      <vt:lpstr>YARN Configuration</vt:lpstr>
      <vt:lpstr>MapReduce Configuration</vt:lpstr>
      <vt:lpstr>Sizing Exercise</vt:lpstr>
      <vt:lpstr>BOM</vt:lpstr>
    </vt:vector>
  </TitlesOfParts>
  <Company>Self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Mahtab Singh</dc:creator>
  <cp:lastModifiedBy>Mahtab Singh</cp:lastModifiedBy>
  <dcterms:created xsi:type="dcterms:W3CDTF">2018-04-29T10:47:07Z</dcterms:created>
  <dcterms:modified xsi:type="dcterms:W3CDTF">2018-05-16T06:28:53Z</dcterms:modified>
</cp:coreProperties>
</file>