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xr:revisionPtr revIDLastSave="3" documentId="8_{E3B31D39-214B-3040-8193-E9FE12B52EFC}" xr6:coauthVersionLast="47" xr6:coauthVersionMax="47" xr10:uidLastSave="{A7D7292E-E480-4F43-BBCE-307CD56F9B27}"/>
  <bookViews>
    <workbookView xWindow="-108" yWindow="-108" windowWidth="23256" windowHeight="12576" firstSheet="2" xr2:uid="{00000000-000D-0000-FFFF-FFFF00000000}"/>
  </bookViews>
  <sheets>
    <sheet name="EOQ" sheetId="1" r:id="rId1"/>
    <sheet name="SAFETY,CSL,FILL RATE" sheetId="3" r:id="rId2"/>
    <sheet name="MultiEchelon" sheetId="4" r:id="rId3"/>
  </sheets>
  <definedNames>
    <definedName name="solver_adj" localSheetId="2" hidden="1">MultiEchelon!$K$3:$O$5,MultiEchelon!$K$9:$P$13,MultiEchelon!$K$17:$P$21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MultiEchelon!$B$30:$B$32</definedName>
    <definedName name="solver_lhs10" localSheetId="2" hidden="1">MultiEchelon!$P$9:$P$13</definedName>
    <definedName name="solver_lhs11" localSheetId="2" hidden="1">MultiEchelon!$P$9:$P$13</definedName>
    <definedName name="solver_lhs12" localSheetId="2" hidden="1">MultiEchelon!$P$9:$P$13</definedName>
    <definedName name="solver_lhs13" localSheetId="2" hidden="1">MultiEchelon!$P$9:$P$13</definedName>
    <definedName name="solver_lhs14" localSheetId="2" hidden="1">MultiEchelon!$P$9:$P$13</definedName>
    <definedName name="solver_lhs2" localSheetId="2" hidden="1">MultiEchelon!$B$35:$B$39</definedName>
    <definedName name="solver_lhs3" localSheetId="2" hidden="1">MultiEchelon!$B$43:$B$47</definedName>
    <definedName name="solver_lhs4" localSheetId="2" hidden="1">MultiEchelon!$F$30:$F$34</definedName>
    <definedName name="solver_lhs5" localSheetId="2" hidden="1">MultiEchelon!$F$38:$F$42</definedName>
    <definedName name="solver_lhs6" localSheetId="2" hidden="1">MultiEchelon!$K$30:$O$30</definedName>
    <definedName name="solver_lhs7" localSheetId="2" hidden="1">MultiEchelon!$K$9:$O$13</definedName>
    <definedName name="solver_lhs8" localSheetId="2" hidden="1">MultiEchelon!$P$17:$P$21</definedName>
    <definedName name="solver_lhs9" localSheetId="2" hidden="1">MultiEchelon!$P$9:$P$13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nwt" localSheetId="2" hidden="1">1</definedName>
    <definedName name="solver_opt" localSheetId="2" hidden="1">MultiEchelon!$B$26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5</definedName>
    <definedName name="solver_rel11" localSheetId="2" hidden="1">5</definedName>
    <definedName name="solver_rel12" localSheetId="2" hidden="1">5</definedName>
    <definedName name="solver_rel13" localSheetId="2" hidden="1">5</definedName>
    <definedName name="solver_rel14" localSheetId="2" hidden="1">5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el5" localSheetId="2" hidden="1">2</definedName>
    <definedName name="solver_rel6" localSheetId="2" hidden="1">2</definedName>
    <definedName name="solver_rel7" localSheetId="2" hidden="1">4</definedName>
    <definedName name="solver_rel8" localSheetId="2" hidden="1">5</definedName>
    <definedName name="solver_rel9" localSheetId="2" hidden="1">5</definedName>
    <definedName name="solver_rhs1" localSheetId="2" hidden="1">MultiEchelon!$C$30:$C$32</definedName>
    <definedName name="solver_rhs10" localSheetId="2" hidden="1">"binary"</definedName>
    <definedName name="solver_rhs11" localSheetId="2" hidden="1">"binary"</definedName>
    <definedName name="solver_rhs12" localSheetId="2" hidden="1">"binary"</definedName>
    <definedName name="solver_rhs13" localSheetId="2" hidden="1">"binary"</definedName>
    <definedName name="solver_rhs14" localSheetId="2" hidden="1">"binary"</definedName>
    <definedName name="solver_rhs2" localSheetId="2" hidden="1">MultiEchelon!$C$35:$C$39</definedName>
    <definedName name="solver_rhs3" localSheetId="2" hidden="1">MultiEchelon!$C$43:$C$47</definedName>
    <definedName name="solver_rhs4" localSheetId="2" hidden="1">MultiEchelon!$G$30:$G$34</definedName>
    <definedName name="solver_rhs5" localSheetId="2" hidden="1">MultiEchelon!$G$38:$G$42</definedName>
    <definedName name="solver_rhs6" localSheetId="2" hidden="1">MultiEchelon!$K$31:$O$31</definedName>
    <definedName name="solver_rhs7" localSheetId="2" hidden="1">"integer"</definedName>
    <definedName name="solver_rhs8" localSheetId="2" hidden="1">"binary"</definedName>
    <definedName name="solver_rhs9" localSheetId="2" hidden="1">"binary"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9" i="4"/>
  <c r="C9" i="4"/>
  <c r="D9" i="4"/>
  <c r="E9" i="4"/>
  <c r="F9" i="4"/>
  <c r="G9" i="4"/>
  <c r="B17" i="4"/>
  <c r="C17" i="4"/>
  <c r="D17" i="4"/>
  <c r="E17" i="4"/>
  <c r="F17" i="4"/>
  <c r="G17" i="4"/>
  <c r="G18" i="4"/>
  <c r="G19" i="4"/>
  <c r="G20" i="4"/>
  <c r="G21" i="4"/>
  <c r="B26" i="4"/>
  <c r="B30" i="4"/>
  <c r="C30" i="4"/>
  <c r="F30" i="4"/>
  <c r="G30" i="4"/>
  <c r="K30" i="4"/>
  <c r="L30" i="4"/>
  <c r="M30" i="4"/>
  <c r="N30" i="4"/>
  <c r="O30" i="4"/>
  <c r="B31" i="4"/>
  <c r="C31" i="4"/>
  <c r="F31" i="4"/>
  <c r="G31" i="4"/>
  <c r="K31" i="4"/>
  <c r="L31" i="4"/>
  <c r="M31" i="4"/>
  <c r="N31" i="4"/>
  <c r="O31" i="4"/>
  <c r="B32" i="4"/>
  <c r="C32" i="4"/>
  <c r="F32" i="4"/>
  <c r="G32" i="4"/>
  <c r="F33" i="4"/>
  <c r="G33" i="4"/>
  <c r="F34" i="4"/>
  <c r="G34" i="4"/>
  <c r="B35" i="4"/>
  <c r="C35" i="4"/>
  <c r="B36" i="4"/>
  <c r="C36" i="4"/>
  <c r="B37" i="4"/>
  <c r="C37" i="4"/>
  <c r="B38" i="4"/>
  <c r="C38" i="4"/>
  <c r="F38" i="4"/>
  <c r="G38" i="4"/>
  <c r="B39" i="4"/>
  <c r="C39" i="4"/>
  <c r="F39" i="4"/>
  <c r="G39" i="4"/>
  <c r="F40" i="4"/>
  <c r="G40" i="4"/>
  <c r="F41" i="4"/>
  <c r="G41" i="4"/>
  <c r="F42" i="4"/>
  <c r="G42" i="4"/>
  <c r="B43" i="4"/>
  <c r="C43" i="4"/>
  <c r="B44" i="4"/>
  <c r="C44" i="4"/>
  <c r="B45" i="4"/>
  <c r="C45" i="4"/>
  <c r="B46" i="4"/>
  <c r="C46" i="4"/>
  <c r="B47" i="4"/>
  <c r="C47" i="4"/>
  <c r="C28" i="3"/>
  <c r="B25" i="3"/>
  <c r="E24" i="3"/>
  <c r="E25" i="3"/>
  <c r="B24" i="3"/>
  <c r="B21" i="3"/>
  <c r="B20" i="3"/>
  <c r="C13" i="3"/>
  <c r="B10" i="3"/>
  <c r="H9" i="3"/>
  <c r="K9" i="3"/>
  <c r="K10" i="3"/>
  <c r="E9" i="3"/>
  <c r="E10" i="3"/>
  <c r="B9" i="3"/>
  <c r="H6" i="3"/>
  <c r="B6" i="3"/>
  <c r="H5" i="3"/>
  <c r="H10" i="3"/>
  <c r="B5" i="3"/>
  <c r="D24" i="1"/>
  <c r="B24" i="1"/>
  <c r="D26" i="1"/>
  <c r="D17" i="1"/>
  <c r="H16" i="1"/>
  <c r="D15" i="1"/>
  <c r="H15" i="1"/>
  <c r="B15" i="1"/>
  <c r="D16" i="1"/>
  <c r="D18" i="1"/>
  <c r="D5" i="1"/>
  <c r="H14" i="1"/>
  <c r="B5" i="1"/>
  <c r="D7" i="1"/>
  <c r="H2" i="1"/>
  <c r="H5" i="1"/>
  <c r="H7" i="1"/>
  <c r="H12" i="1"/>
  <c r="H6" i="1"/>
  <c r="H11" i="1"/>
  <c r="H10" i="1"/>
  <c r="H8" i="1"/>
  <c r="H13" i="1"/>
  <c r="D25" i="1"/>
  <c r="D27" i="1"/>
  <c r="I13" i="3"/>
  <c r="D6" i="1"/>
  <c r="D8" i="1"/>
  <c r="C29" i="1"/>
  <c r="H19" i="1"/>
</calcChain>
</file>

<file path=xl/sharedStrings.xml><?xml version="1.0" encoding="utf-8"?>
<sst xmlns="http://schemas.openxmlformats.org/spreadsheetml/2006/main" count="222" uniqueCount="84">
  <si>
    <t>TOURNEO COURIER</t>
  </si>
  <si>
    <t>ORDERING ALL PRODUCTS JOINTLY</t>
  </si>
  <si>
    <t>ANNUAL DEMAND</t>
  </si>
  <si>
    <t>FIXED TRANSPORT. COST</t>
  </si>
  <si>
    <t>FIXED RECEIVING COST</t>
  </si>
  <si>
    <t>INV. HOLDING RATE</t>
  </si>
  <si>
    <t>UNIT COST</t>
  </si>
  <si>
    <t>AGGREGATE FIXED COST(TRANSPORT.+RECEIVING FOR EACH)</t>
  </si>
  <si>
    <t>EOQ =</t>
  </si>
  <si>
    <t>Annual Purchase Cost=</t>
  </si>
  <si>
    <t>OPTIMAL # OF ORDERS=</t>
  </si>
  <si>
    <t>Annual Order Cost=</t>
  </si>
  <si>
    <t>Q (Tourneo Courier) Demand/# of orders</t>
  </si>
  <si>
    <t>Annual Holding Cost=</t>
  </si>
  <si>
    <t>Q (Transit Pickup) Demand/# of orders</t>
  </si>
  <si>
    <t>Total Annual Cost=</t>
  </si>
  <si>
    <t>Q (Transit Van) Demand/# of orders</t>
  </si>
  <si>
    <t>TRANSIT PICKUP</t>
  </si>
  <si>
    <t>Annual Holding Cost (Tourneo Courier)</t>
  </si>
  <si>
    <t>Annual Holding Cost (Transit Pickup)</t>
  </si>
  <si>
    <t>Annual Holding Cost (Transit Van)</t>
  </si>
  <si>
    <t xml:space="preserve">Annual Purchase Cost (Tourneo Courier) </t>
  </si>
  <si>
    <t>EOQ=</t>
  </si>
  <si>
    <t xml:space="preserve">Annual Purchase Cost (Transit Pickup) </t>
  </si>
  <si>
    <t xml:space="preserve">Annual Purchase Cost (Transit Van) </t>
  </si>
  <si>
    <t>TOTAL ANNUAL COST=</t>
  </si>
  <si>
    <t>TRANSIT VAN</t>
  </si>
  <si>
    <t xml:space="preserve">TOTAL ANNUAL COST FOR ALL = </t>
  </si>
  <si>
    <t>Annual Demand (D)</t>
  </si>
  <si>
    <t>Lead Time (L)(week)</t>
  </si>
  <si>
    <t>Reorder Point(ROP)</t>
  </si>
  <si>
    <r>
      <rPr>
        <b/>
        <sz val="10"/>
        <color theme="1"/>
        <rFont val="Arial"/>
      </rPr>
      <t>Standard deviation of weekly demand (σ</t>
    </r>
    <r>
      <rPr>
        <b/>
        <sz val="6"/>
        <color theme="1"/>
        <rFont val="Arial"/>
      </rPr>
      <t>d</t>
    </r>
    <r>
      <rPr>
        <b/>
        <sz val="10"/>
        <color theme="1"/>
        <rFont val="Arial"/>
      </rPr>
      <t>)</t>
    </r>
  </si>
  <si>
    <t>Q*</t>
  </si>
  <si>
    <t>Annual Demand(D)</t>
  </si>
  <si>
    <t>Reorder Point (ROP)</t>
  </si>
  <si>
    <t>Standard deviation of weekly demand</t>
  </si>
  <si>
    <t>DDLT</t>
  </si>
  <si>
    <t>Safety stock (ROP-DDLT)=(ROP-(D/52)*5)</t>
  </si>
  <si>
    <r>
      <rPr>
        <sz val="10"/>
        <color theme="1"/>
        <rFont val="Arial"/>
      </rPr>
      <t>Calculations for CSL (ROP, DDLT, σ</t>
    </r>
    <r>
      <rPr>
        <sz val="6"/>
        <color theme="1"/>
        <rFont val="Arial"/>
      </rPr>
      <t xml:space="preserve">L, </t>
    </r>
    <r>
      <rPr>
        <sz val="10"/>
        <color theme="1"/>
        <rFont val="Arial"/>
      </rPr>
      <t>1)</t>
    </r>
  </si>
  <si>
    <t>Calculations for fill rate</t>
  </si>
  <si>
    <t>Calculations for CSL (ROP, DDLT, σL, 1)</t>
  </si>
  <si>
    <r>
      <rPr>
        <b/>
        <sz val="10"/>
        <color theme="1"/>
        <rFont val="Arial"/>
      </rPr>
      <t>Standart deviation of DDLT (σ</t>
    </r>
    <r>
      <rPr>
        <b/>
        <sz val="6"/>
        <color theme="1"/>
        <rFont val="Arial"/>
      </rPr>
      <t>L</t>
    </r>
    <r>
      <rPr>
        <b/>
        <sz val="10"/>
        <color theme="1"/>
        <rFont val="Arial"/>
      </rPr>
      <t>) (Sqrt(L)*σ</t>
    </r>
    <r>
      <rPr>
        <b/>
        <sz val="6"/>
        <color theme="1"/>
        <rFont val="Arial"/>
      </rPr>
      <t>d</t>
    </r>
    <r>
      <rPr>
        <b/>
        <sz val="10"/>
        <color theme="1"/>
        <rFont val="Arial"/>
      </rPr>
      <t>)</t>
    </r>
  </si>
  <si>
    <t>Expected Shortage Per Cycle (ESC)</t>
  </si>
  <si>
    <t>Cycle Service Level (CSL)</t>
  </si>
  <si>
    <t>Fill Rate [(Q*-ESC)/Q]</t>
  </si>
  <si>
    <t>Evaluating Safety Stock To Achieve a 95% Service Level</t>
  </si>
  <si>
    <t>Safety Stock</t>
  </si>
  <si>
    <t xml:space="preserve">Variable Costs from Supplier to Possible Plant Regions </t>
  </si>
  <si>
    <t>Suppliers\Plants</t>
  </si>
  <si>
    <t>N. America</t>
  </si>
  <si>
    <t>S. America</t>
  </si>
  <si>
    <t>Europe</t>
  </si>
  <si>
    <t>Asia</t>
  </si>
  <si>
    <t>Africa</t>
  </si>
  <si>
    <t>Supplier Capacity</t>
  </si>
  <si>
    <t xml:space="preserve">Variable Costs from Possible Plant to Possible warehouse  </t>
  </si>
  <si>
    <t>Fixed Cost</t>
  </si>
  <si>
    <t>Factory Capacity</t>
  </si>
  <si>
    <t>Plants\Warehouses</t>
  </si>
  <si>
    <t>Open/Close</t>
  </si>
  <si>
    <t xml:space="preserve">Variable Costs from Possible Warehouses to retails </t>
  </si>
  <si>
    <t>Warehouse Capacity</t>
  </si>
  <si>
    <t>Warehouses\Retails</t>
  </si>
  <si>
    <t>Demand(in1000 units)</t>
  </si>
  <si>
    <t>Objective</t>
  </si>
  <si>
    <t>Min Cost=</t>
  </si>
  <si>
    <t>Values are given in thousands.</t>
  </si>
  <si>
    <t>Supply Constraints</t>
  </si>
  <si>
    <t>Amount Supplied</t>
  </si>
  <si>
    <t>Supply Available</t>
  </si>
  <si>
    <t>Warehouse Capacity Cons.</t>
  </si>
  <si>
    <t>Amount Stored</t>
  </si>
  <si>
    <t>Capacity</t>
  </si>
  <si>
    <t>Demand</t>
  </si>
  <si>
    <t>Plant Capacity Cons.</t>
  </si>
  <si>
    <t>Amount Manufactured</t>
  </si>
  <si>
    <t>According to results the best option is to open factories at N. America, Europe, Asia, Africa</t>
  </si>
  <si>
    <t>Conservation of flow (Plant-Warehouse-Market)</t>
  </si>
  <si>
    <t>Warehouse Flow Cons.</t>
  </si>
  <si>
    <t>Incoming</t>
  </si>
  <si>
    <t>Outgoing</t>
  </si>
  <si>
    <t>According to results the best option is to open warehouses at N. America, Europe, Asia, Africa</t>
  </si>
  <si>
    <t>Conservation of flow (Supplier-Plant-Warehouse)</t>
  </si>
  <si>
    <t>Plant Flow Cons.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</si>
</sst>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#,##0\ [$TRY-41F]"/>
    <numFmt numFmtId="165" formatCode="_(* #,##0.00_)\ [$TRY-41F]_);\(#,##0.00\)\ [$TRY-41F]_);_(* &quot;-&quot;??_)\ [$TRY-41F]_);_(@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b/>
      <sz val="6"/>
      <color theme="1"/>
      <name val="Arial"/>
    </font>
    <font>
      <sz val="10"/>
      <color theme="1"/>
      <name val="Arial"/>
    </font>
    <font>
      <sz val="6"/>
      <color theme="1"/>
      <name val="Arial"/>
    </font>
    <font>
      <sz val="10"/>
      <color theme="1"/>
      <name val="Arial"/>
      <family val="2"/>
      <charset val="162"/>
      <scheme val="minor"/>
    </font>
    <font>
      <b/>
      <sz val="10"/>
      <color theme="1"/>
      <name val="Arial"/>
      <family val="2"/>
      <charset val="162"/>
      <scheme val="minor"/>
    </font>
    <font>
      <b/>
      <sz val="10"/>
      <color rgb="FF000000"/>
      <name val="Arial"/>
      <family val="2"/>
      <charset val="162"/>
      <scheme val="minor"/>
    </font>
    <font>
      <b/>
      <sz val="1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AEF3E7"/>
        <bgColor rgb="FFAEF3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4" fontId="2" fillId="0" borderId="1" xfId="0" applyNumberFormat="1" applyFont="1" applyBorder="1" applyAlignment="1">
      <alignment horizontal="left"/>
    </xf>
    <xf numFmtId="0" fontId="2" fillId="0" borderId="0" xfId="0" applyFont="1"/>
    <xf numFmtId="164" fontId="2" fillId="0" borderId="1" xfId="0" applyNumberFormat="1" applyFont="1" applyBorder="1"/>
    <xf numFmtId="164" fontId="1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0" borderId="1" xfId="0" applyFont="1" applyBorder="1" applyAlignment="1">
      <alignment horizontal="center"/>
    </xf>
    <xf numFmtId="0" fontId="8" fillId="6" borderId="8" xfId="0" applyFont="1" applyFill="1" applyBorder="1"/>
    <xf numFmtId="0" fontId="9" fillId="7" borderId="1" xfId="0" applyFont="1" applyFill="1" applyBorder="1"/>
    <xf numFmtId="0" fontId="9" fillId="7" borderId="8" xfId="0" applyFont="1" applyFill="1" applyBorder="1"/>
    <xf numFmtId="0" fontId="9" fillId="7" borderId="7" xfId="0" applyFont="1" applyFill="1" applyBorder="1"/>
    <xf numFmtId="0" fontId="9" fillId="7" borderId="2" xfId="0" applyFont="1" applyFill="1" applyBorder="1"/>
    <xf numFmtId="0" fontId="9" fillId="8" borderId="6" xfId="0" applyFont="1" applyFill="1" applyBorder="1" applyAlignment="1">
      <alignment horizontal="center"/>
    </xf>
    <xf numFmtId="0" fontId="8" fillId="6" borderId="6" xfId="0" applyFont="1" applyFill="1" applyBorder="1"/>
    <xf numFmtId="0" fontId="9" fillId="8" borderId="8" xfId="0" applyFont="1" applyFill="1" applyBorder="1" applyAlignment="1">
      <alignment horizontal="center"/>
    </xf>
    <xf numFmtId="0" fontId="9" fillId="9" borderId="8" xfId="0" applyFont="1" applyFill="1" applyBorder="1"/>
    <xf numFmtId="0" fontId="10" fillId="0" borderId="0" xfId="0" applyFont="1"/>
    <xf numFmtId="0" fontId="9" fillId="9" borderId="7" xfId="0" applyFont="1" applyFill="1" applyBorder="1"/>
    <xf numFmtId="44" fontId="0" fillId="0" borderId="0" xfId="0" applyNumberFormat="1"/>
    <xf numFmtId="0" fontId="8" fillId="8" borderId="8" xfId="0" applyFont="1" applyFill="1" applyBorder="1"/>
    <xf numFmtId="0" fontId="9" fillId="8" borderId="2" xfId="0" applyFont="1" applyFill="1" applyBorder="1"/>
    <xf numFmtId="0" fontId="8" fillId="10" borderId="8" xfId="0" applyFont="1" applyFill="1" applyBorder="1"/>
    <xf numFmtId="0" fontId="8" fillId="6" borderId="1" xfId="0" applyFont="1" applyFill="1" applyBorder="1"/>
    <xf numFmtId="0" fontId="8" fillId="4" borderId="8" xfId="0" applyFont="1" applyFill="1" applyBorder="1"/>
    <xf numFmtId="165" fontId="8" fillId="10" borderId="2" xfId="0" applyNumberFormat="1" applyFont="1" applyFill="1" applyBorder="1"/>
    <xf numFmtId="165" fontId="8" fillId="6" borderId="1" xfId="0" applyNumberFormat="1" applyFont="1" applyFill="1" applyBorder="1"/>
    <xf numFmtId="165" fontId="8" fillId="6" borderId="8" xfId="0" applyNumberFormat="1" applyFont="1" applyFill="1" applyBorder="1"/>
    <xf numFmtId="0" fontId="9" fillId="7" borderId="6" xfId="0" applyFont="1" applyFill="1" applyBorder="1"/>
    <xf numFmtId="0" fontId="8" fillId="0" borderId="0" xfId="0" applyFont="1"/>
    <xf numFmtId="0" fontId="9" fillId="7" borderId="8" xfId="0" applyFont="1" applyFill="1" applyBorder="1" applyAlignment="1">
      <alignment vertical="center" wrapText="1"/>
    </xf>
    <xf numFmtId="0" fontId="8" fillId="0" borderId="10" xfId="0" applyFont="1" applyBorder="1"/>
    <xf numFmtId="0" fontId="9" fillId="0" borderId="0" xfId="0" applyFont="1" applyAlignment="1">
      <alignment vertical="center" wrapText="1"/>
    </xf>
    <xf numFmtId="165" fontId="8" fillId="0" borderId="15" xfId="0" applyNumberFormat="1" applyFont="1" applyBorder="1"/>
    <xf numFmtId="0" fontId="9" fillId="0" borderId="15" xfId="0" applyFont="1" applyBorder="1"/>
    <xf numFmtId="0" fontId="8" fillId="0" borderId="5" xfId="0" applyFont="1" applyBorder="1"/>
    <xf numFmtId="0" fontId="8" fillId="0" borderId="2" xfId="0" applyFont="1" applyBorder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165" fontId="9" fillId="9" borderId="8" xfId="0" applyNumberFormat="1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1" fillId="5" borderId="2" xfId="0" applyFont="1" applyFill="1" applyBorder="1" applyAlignment="1"/>
    <xf numFmtId="0" fontId="11" fillId="8" borderId="3" xfId="0" applyFont="1" applyFill="1" applyBorder="1" applyAlignment="1"/>
    <xf numFmtId="0" fontId="11" fillId="8" borderId="4" xfId="0" applyFont="1" applyFill="1" applyBorder="1" applyAlignment="1"/>
    <xf numFmtId="0" fontId="9" fillId="7" borderId="2" xfId="0" applyFont="1" applyFill="1" applyBorder="1" applyAlignment="1"/>
    <xf numFmtId="0" fontId="9" fillId="7" borderId="4" xfId="0" applyFont="1" applyFill="1" applyBorder="1" applyAlignment="1"/>
    <xf numFmtId="0" fontId="8" fillId="10" borderId="2" xfId="0" applyFont="1" applyFill="1" applyBorder="1" applyAlignment="1"/>
    <xf numFmtId="0" fontId="8" fillId="10" borderId="4" xfId="0" applyFont="1" applyFill="1" applyBorder="1" applyAlignment="1"/>
    <xf numFmtId="0" fontId="8" fillId="10" borderId="14" xfId="0" applyFont="1" applyFill="1" applyBorder="1" applyAlignment="1"/>
    <xf numFmtId="0" fontId="8" fillId="10" borderId="16" xfId="0" applyFont="1" applyFill="1" applyBorder="1" applyAlignment="1"/>
    <xf numFmtId="0" fontId="8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zoomScale="70" workbookViewId="0">
      <selection activeCell="B5" sqref="B5"/>
    </sheetView>
  </sheetViews>
  <sheetFormatPr defaultColWidth="12.7109375" defaultRowHeight="15.75" customHeight="1"/>
  <cols>
    <col min="1" max="1" width="17.42578125" customWidth="1"/>
    <col min="2" max="2" width="22.140625" customWidth="1"/>
    <col min="3" max="3" width="20.5703125" customWidth="1"/>
    <col min="4" max="4" width="19.28515625" bestFit="1" customWidth="1"/>
    <col min="5" max="5" width="12.28515625" bestFit="1" customWidth="1"/>
    <col min="7" max="7" width="52.7109375" customWidth="1"/>
    <col min="8" max="8" width="18.5703125" bestFit="1" customWidth="1"/>
  </cols>
  <sheetData>
    <row r="1" spans="1:8" ht="15.75" customHeight="1">
      <c r="A1" s="48" t="s">
        <v>0</v>
      </c>
      <c r="B1" s="72"/>
      <c r="C1" s="72"/>
      <c r="D1" s="72"/>
      <c r="E1" s="72"/>
      <c r="G1" s="49" t="s">
        <v>1</v>
      </c>
      <c r="H1" s="72"/>
    </row>
    <row r="2" spans="1:8" ht="12.7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2" t="s">
        <v>7</v>
      </c>
      <c r="H2" s="3">
        <f>8000000+1000000+1000000+1000000</f>
        <v>11000000</v>
      </c>
    </row>
    <row r="3" spans="1:8" ht="12.75">
      <c r="A3" s="4">
        <v>32472</v>
      </c>
      <c r="B3" s="5">
        <v>8000000</v>
      </c>
      <c r="C3" s="5">
        <v>1000000</v>
      </c>
      <c r="D3" s="4">
        <v>0.45</v>
      </c>
      <c r="E3" s="5">
        <v>640000</v>
      </c>
      <c r="G3" s="6" t="s">
        <v>5</v>
      </c>
      <c r="H3" s="6">
        <v>0.45</v>
      </c>
    </row>
    <row r="5" spans="1:8" ht="12.75">
      <c r="A5" s="1" t="s">
        <v>8</v>
      </c>
      <c r="B5" s="7">
        <f>SQRT((2*A3*(B3+C3)/(D3*E3)))</f>
        <v>1424.6052084700518</v>
      </c>
      <c r="C5" s="1" t="s">
        <v>9</v>
      </c>
      <c r="D5" s="5">
        <f>A3*E3</f>
        <v>20782080000</v>
      </c>
      <c r="G5" s="8" t="s">
        <v>10</v>
      </c>
      <c r="H5" s="8">
        <f>SQRT((A3*E3*D3+A13*E13*D13+A22*E22*D22)/(2*H2))</f>
        <v>27.287870682111425</v>
      </c>
    </row>
    <row r="6" spans="1:8" ht="12.75">
      <c r="C6" s="1" t="s">
        <v>11</v>
      </c>
      <c r="D6" s="5">
        <f>(A3/B5)*(B3+C3)</f>
        <v>205143150.0196875</v>
      </c>
      <c r="G6" s="6" t="s">
        <v>12</v>
      </c>
      <c r="H6" s="6">
        <f>A3/H5</f>
        <v>1189.9792540898779</v>
      </c>
    </row>
    <row r="7" spans="1:8" ht="12.75">
      <c r="C7" s="1" t="s">
        <v>13</v>
      </c>
      <c r="D7" s="5">
        <f>(B5/2)*(D3*E3)</f>
        <v>205143150.01968747</v>
      </c>
      <c r="G7" s="6" t="s">
        <v>14</v>
      </c>
      <c r="H7" s="6">
        <f>A13/H5</f>
        <v>434.99180050649329</v>
      </c>
    </row>
    <row r="8" spans="1:8" ht="12.75">
      <c r="C8" s="1" t="s">
        <v>15</v>
      </c>
      <c r="D8" s="9">
        <f>D5+D6+D7</f>
        <v>21192366300.039375</v>
      </c>
      <c r="G8" s="6" t="s">
        <v>16</v>
      </c>
      <c r="H8" s="6">
        <f>A22/H5</f>
        <v>297.93456934438001</v>
      </c>
    </row>
    <row r="10" spans="1:8" ht="12.75">
      <c r="G10" s="6" t="s">
        <v>11</v>
      </c>
      <c r="H10" s="10">
        <f>H5*H2</f>
        <v>300166577.50322568</v>
      </c>
    </row>
    <row r="11" spans="1:8" ht="12.75">
      <c r="A11" s="48" t="s">
        <v>17</v>
      </c>
      <c r="B11" s="72"/>
      <c r="C11" s="72"/>
      <c r="D11" s="72"/>
      <c r="E11" s="72"/>
      <c r="G11" s="6" t="s">
        <v>18</v>
      </c>
      <c r="H11" s="10">
        <f>(H6/2)*H3*E3</f>
        <v>171357012.58894241</v>
      </c>
    </row>
    <row r="12" spans="1:8" ht="12.75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G12" s="6" t="s">
        <v>19</v>
      </c>
      <c r="H12" s="10">
        <f>(H7/2)*(H3*E13)</f>
        <v>75851695.213319764</v>
      </c>
    </row>
    <row r="13" spans="1:8" ht="12.75">
      <c r="A13" s="4">
        <v>11870</v>
      </c>
      <c r="B13" s="5">
        <v>8000000</v>
      </c>
      <c r="C13" s="5">
        <v>1000000</v>
      </c>
      <c r="D13" s="4">
        <v>0.45</v>
      </c>
      <c r="E13" s="5">
        <v>775000</v>
      </c>
      <c r="G13" s="6" t="s">
        <v>20</v>
      </c>
      <c r="H13" s="10">
        <f>((H8/2)*H3*E22)</f>
        <v>52957869.700963549</v>
      </c>
    </row>
    <row r="14" spans="1:8" ht="12.75">
      <c r="G14" s="6" t="s">
        <v>21</v>
      </c>
      <c r="H14" s="10">
        <f>D5</f>
        <v>20782080000</v>
      </c>
    </row>
    <row r="15" spans="1:8" ht="12.75">
      <c r="A15" s="1" t="s">
        <v>22</v>
      </c>
      <c r="B15" s="11">
        <f>SQRT(2*A13*(B13+C13)/(D13*E13))</f>
        <v>782.71652677730174</v>
      </c>
      <c r="C15" s="1" t="s">
        <v>9</v>
      </c>
      <c r="D15" s="5">
        <f>A13*E13</f>
        <v>9199250000</v>
      </c>
      <c r="G15" s="6" t="s">
        <v>23</v>
      </c>
      <c r="H15" s="10">
        <f>D15</f>
        <v>9199250000</v>
      </c>
    </row>
    <row r="16" spans="1:8" ht="12.75">
      <c r="C16" s="12" t="s">
        <v>11</v>
      </c>
      <c r="D16" s="5">
        <f>(A13/B15)*(B13+C13)</f>
        <v>136486194.356792</v>
      </c>
      <c r="G16" s="6" t="s">
        <v>24</v>
      </c>
      <c r="H16" s="10">
        <f>D24</f>
        <v>6422700000</v>
      </c>
    </row>
    <row r="17" spans="1:8" ht="12.75">
      <c r="C17" s="12" t="s">
        <v>13</v>
      </c>
      <c r="D17" s="5">
        <f>(B15/2)*(D13*E13)</f>
        <v>136486194.356792</v>
      </c>
    </row>
    <row r="18" spans="1:8" ht="12.75">
      <c r="C18" s="12" t="s">
        <v>15</v>
      </c>
      <c r="D18" s="9">
        <f>D15+D16+D17</f>
        <v>9472222388.7135849</v>
      </c>
    </row>
    <row r="19" spans="1:8" ht="12.75">
      <c r="G19" s="13" t="s">
        <v>25</v>
      </c>
      <c r="H19" s="14">
        <f>SUM(H10:H16)</f>
        <v>37004363155.006454</v>
      </c>
    </row>
    <row r="20" spans="1:8" ht="12.75">
      <c r="A20" s="48" t="s">
        <v>26</v>
      </c>
      <c r="B20" s="72"/>
      <c r="C20" s="72"/>
      <c r="D20" s="72"/>
      <c r="E20" s="72"/>
    </row>
    <row r="21" spans="1:8" ht="12.75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</row>
    <row r="22" spans="1:8" ht="12.75">
      <c r="A22" s="4">
        <v>8130</v>
      </c>
      <c r="B22" s="5">
        <v>8000000</v>
      </c>
      <c r="C22" s="5">
        <v>1000000</v>
      </c>
      <c r="D22" s="4">
        <v>0.45</v>
      </c>
      <c r="E22" s="5">
        <v>790000</v>
      </c>
    </row>
    <row r="24" spans="1:8" ht="12.75">
      <c r="A24" s="1" t="s">
        <v>22</v>
      </c>
      <c r="B24" s="11">
        <f>SQRT(2*A22*(B22+C22)/(D22*E22))</f>
        <v>641.59611097656534</v>
      </c>
      <c r="C24" s="1" t="s">
        <v>9</v>
      </c>
      <c r="D24" s="5">
        <f>A22*E22</f>
        <v>6422700000</v>
      </c>
    </row>
    <row r="25" spans="1:8" ht="12.75">
      <c r="C25" s="12" t="s">
        <v>11</v>
      </c>
      <c r="D25" s="5">
        <f>(A22/B24)*(B22+C22)</f>
        <v>114043708.7260845</v>
      </c>
    </row>
    <row r="26" spans="1:8" ht="12.75">
      <c r="C26" s="12" t="s">
        <v>13</v>
      </c>
      <c r="D26" s="5">
        <f>(B24/2)*(D22*E22)</f>
        <v>114043708.72608449</v>
      </c>
    </row>
    <row r="27" spans="1:8" ht="12.75">
      <c r="C27" s="12" t="s">
        <v>15</v>
      </c>
      <c r="D27" s="9">
        <f>D24+D25+D26</f>
        <v>6650787417.4521694</v>
      </c>
    </row>
    <row r="29" spans="1:8" ht="12.75">
      <c r="A29" s="50" t="s">
        <v>27</v>
      </c>
      <c r="B29" s="72"/>
      <c r="C29" s="15">
        <f>D8+D18+D27</f>
        <v>37315376106.205132</v>
      </c>
    </row>
  </sheetData>
  <mergeCells count="5">
    <mergeCell ref="A1:E1"/>
    <mergeCell ref="G1:H1"/>
    <mergeCell ref="A11:E11"/>
    <mergeCell ref="A20:E20"/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8"/>
  <sheetViews>
    <sheetView zoomScale="73" workbookViewId="0">
      <selection sqref="A1:E1"/>
    </sheetView>
  </sheetViews>
  <sheetFormatPr defaultColWidth="12.7109375" defaultRowHeight="15.75" customHeight="1"/>
  <cols>
    <col min="1" max="1" width="35.42578125" customWidth="1"/>
    <col min="2" max="2" width="17" customWidth="1"/>
    <col min="3" max="3" width="16.7109375" customWidth="1"/>
    <col min="4" max="4" width="34.42578125" customWidth="1"/>
    <col min="5" max="5" width="22.42578125" customWidth="1"/>
    <col min="6" max="6" width="16.140625" customWidth="1"/>
    <col min="7" max="7" width="35" customWidth="1"/>
    <col min="8" max="9" width="17.28515625" customWidth="1"/>
    <col min="10" max="10" width="33.28515625" customWidth="1"/>
    <col min="11" max="11" width="17" customWidth="1"/>
    <col min="12" max="12" width="16" customWidth="1"/>
  </cols>
  <sheetData>
    <row r="1" spans="1:11" ht="15.75" customHeight="1">
      <c r="A1" s="52" t="s">
        <v>0</v>
      </c>
      <c r="B1" s="73"/>
      <c r="C1" s="73"/>
      <c r="D1" s="73"/>
      <c r="E1" s="74"/>
      <c r="G1" s="52" t="s">
        <v>17</v>
      </c>
      <c r="H1" s="73"/>
      <c r="I1" s="73"/>
      <c r="J1" s="73"/>
      <c r="K1" s="74"/>
    </row>
    <row r="2" spans="1:11" ht="12.75">
      <c r="A2" s="16" t="s">
        <v>28</v>
      </c>
      <c r="B2" s="17" t="s">
        <v>29</v>
      </c>
      <c r="C2" s="17" t="s">
        <v>30</v>
      </c>
      <c r="D2" s="17" t="s">
        <v>31</v>
      </c>
      <c r="E2" s="16" t="s">
        <v>32</v>
      </c>
      <c r="G2" s="16" t="s">
        <v>33</v>
      </c>
      <c r="H2" s="17" t="s">
        <v>29</v>
      </c>
      <c r="I2" s="17" t="s">
        <v>34</v>
      </c>
      <c r="J2" s="17" t="s">
        <v>35</v>
      </c>
      <c r="K2" s="16" t="s">
        <v>32</v>
      </c>
    </row>
    <row r="3" spans="1:11" ht="12.75">
      <c r="A3" s="18">
        <v>32472</v>
      </c>
      <c r="B3" s="18">
        <v>5</v>
      </c>
      <c r="C3" s="18">
        <v>4000</v>
      </c>
      <c r="D3" s="18">
        <v>200</v>
      </c>
      <c r="E3" s="18">
        <v>1425</v>
      </c>
      <c r="G3" s="18">
        <v>11870</v>
      </c>
      <c r="H3" s="18">
        <v>5</v>
      </c>
      <c r="I3" s="18">
        <v>1600</v>
      </c>
      <c r="J3" s="18">
        <v>120</v>
      </c>
      <c r="K3" s="18">
        <v>783</v>
      </c>
    </row>
    <row r="5" spans="1:11" ht="12.75">
      <c r="A5" s="16" t="s">
        <v>36</v>
      </c>
      <c r="B5" s="4">
        <f>A3/52*B3</f>
        <v>3122.3076923076924</v>
      </c>
      <c r="G5" s="16" t="s">
        <v>36</v>
      </c>
      <c r="H5" s="4">
        <f>G3/52*H3</f>
        <v>1141.3461538461538</v>
      </c>
    </row>
    <row r="6" spans="1:11" ht="12.75">
      <c r="A6" s="16" t="s">
        <v>37</v>
      </c>
      <c r="B6" s="4">
        <f>C3-(A3/52*B3)</f>
        <v>877.69230769230762</v>
      </c>
      <c r="G6" s="16" t="s">
        <v>37</v>
      </c>
      <c r="H6" s="4">
        <f>I3-G3/52*H3</f>
        <v>458.65384615384619</v>
      </c>
    </row>
    <row r="8" spans="1:11" ht="12.75">
      <c r="A8" s="53" t="s">
        <v>38</v>
      </c>
      <c r="B8" s="72"/>
      <c r="D8" s="54" t="s">
        <v>39</v>
      </c>
      <c r="E8" s="74"/>
      <c r="G8" s="53" t="s">
        <v>40</v>
      </c>
      <c r="H8" s="72"/>
      <c r="J8" s="54" t="s">
        <v>39</v>
      </c>
      <c r="K8" s="74"/>
    </row>
    <row r="9" spans="1:11" ht="12.75">
      <c r="A9" s="1" t="s">
        <v>41</v>
      </c>
      <c r="B9" s="4">
        <f>SQRT(B3)*D3</f>
        <v>447.21359549995793</v>
      </c>
      <c r="D9" s="1" t="s">
        <v>42</v>
      </c>
      <c r="E9" s="4">
        <f>-B6*(1-NORMDIST((B6/B9),0,1,1))+B9*NORMDIST((B6/B9),0,1,0)</f>
        <v>4.1952113750104303</v>
      </c>
      <c r="G9" s="1" t="s">
        <v>41</v>
      </c>
      <c r="H9" s="4">
        <f>SQRT(H3)*J3</f>
        <v>268.32815729997481</v>
      </c>
      <c r="J9" s="1" t="s">
        <v>42</v>
      </c>
      <c r="K9" s="4">
        <f>-H6*(1-NORMDIST((H6/H9),0,1,1))+H9*NORMDIST((H6/H9),0,1,0)</f>
        <v>4.7969807807761811</v>
      </c>
    </row>
    <row r="10" spans="1:11" ht="12.75">
      <c r="A10" s="1" t="s">
        <v>43</v>
      </c>
      <c r="B10" s="4">
        <f>NORMDIST(C3,B5,B9,1)</f>
        <v>0.975152482161039</v>
      </c>
      <c r="D10" s="1" t="s">
        <v>44</v>
      </c>
      <c r="E10" s="4">
        <f>(E3-E9)/E3</f>
        <v>0.99705599201753659</v>
      </c>
      <c r="G10" s="1" t="s">
        <v>43</v>
      </c>
      <c r="H10" s="4">
        <f>NORMDIST(I3,H5,H9,1)</f>
        <v>0.95630248510370153</v>
      </c>
      <c r="J10" s="1" t="s">
        <v>44</v>
      </c>
      <c r="K10" s="4">
        <f>(K3-K9)/K3</f>
        <v>0.99387358776401513</v>
      </c>
    </row>
    <row r="12" spans="1:11" ht="12.75">
      <c r="B12" s="75" t="s">
        <v>45</v>
      </c>
      <c r="C12" s="73"/>
      <c r="D12" s="74"/>
      <c r="H12" s="75" t="s">
        <v>45</v>
      </c>
      <c r="I12" s="73"/>
      <c r="J12" s="74"/>
    </row>
    <row r="13" spans="1:11" ht="12.75">
      <c r="B13" s="1" t="s">
        <v>46</v>
      </c>
      <c r="C13" s="51">
        <f>NORMSINV(0.95)*B9</f>
        <v>735.60090458011405</v>
      </c>
      <c r="D13" s="74"/>
      <c r="H13" s="1" t="s">
        <v>46</v>
      </c>
      <c r="I13" s="51">
        <f>NORMSINV(0.95)*H9</f>
        <v>441.36054274806855</v>
      </c>
      <c r="J13" s="74"/>
    </row>
    <row r="16" spans="1:11" ht="12.75">
      <c r="A16" s="52" t="s">
        <v>26</v>
      </c>
      <c r="B16" s="73"/>
      <c r="C16" s="73"/>
      <c r="D16" s="73"/>
      <c r="E16" s="74"/>
    </row>
    <row r="17" spans="1:5" ht="12.75">
      <c r="A17" s="16" t="s">
        <v>33</v>
      </c>
      <c r="B17" s="17" t="s">
        <v>29</v>
      </c>
      <c r="C17" s="17" t="s">
        <v>30</v>
      </c>
      <c r="D17" s="17" t="s">
        <v>35</v>
      </c>
      <c r="E17" s="16" t="s">
        <v>32</v>
      </c>
    </row>
    <row r="18" spans="1:5" ht="12.75">
      <c r="A18" s="18">
        <v>8130</v>
      </c>
      <c r="B18" s="18">
        <v>5</v>
      </c>
      <c r="C18" s="18">
        <v>1200</v>
      </c>
      <c r="D18" s="18">
        <v>100</v>
      </c>
      <c r="E18" s="18">
        <v>642</v>
      </c>
    </row>
    <row r="20" spans="1:5" ht="12.75">
      <c r="A20" s="16" t="s">
        <v>36</v>
      </c>
      <c r="B20" s="4">
        <f>A18/52*B18</f>
        <v>781.73076923076917</v>
      </c>
    </row>
    <row r="21" spans="1:5" ht="12.75">
      <c r="A21" s="16" t="s">
        <v>37</v>
      </c>
      <c r="B21" s="4">
        <f>C18-A18/52*B18</f>
        <v>418.26923076923083</v>
      </c>
    </row>
    <row r="23" spans="1:5" ht="12.75">
      <c r="A23" s="53" t="s">
        <v>38</v>
      </c>
      <c r="B23" s="72"/>
      <c r="D23" s="54" t="s">
        <v>39</v>
      </c>
      <c r="E23" s="74"/>
    </row>
    <row r="24" spans="1:5" ht="12.75">
      <c r="A24" s="1" t="s">
        <v>41</v>
      </c>
      <c r="B24" s="4">
        <f>SQRT(B18)*D18</f>
        <v>223.60679774997897</v>
      </c>
      <c r="D24" s="1" t="s">
        <v>42</v>
      </c>
      <c r="E24" s="4">
        <f>-B21*(1-NORMDIST((B21/B24),0,1,1))+B24*NORMDIST((B21/B24),0,1,0)</f>
        <v>2.6673682575820692</v>
      </c>
    </row>
    <row r="25" spans="1:5" ht="12.75">
      <c r="A25" s="1" t="s">
        <v>43</v>
      </c>
      <c r="B25" s="4">
        <f>NORMDIST(C18,B20,B24,1)</f>
        <v>0.96929673597991761</v>
      </c>
      <c r="D25" s="1" t="s">
        <v>44</v>
      </c>
      <c r="E25" s="4">
        <f>(E18-E24)/E18</f>
        <v>0.99584522078258242</v>
      </c>
    </row>
    <row r="27" spans="1:5" ht="12.75">
      <c r="B27" s="75" t="s">
        <v>45</v>
      </c>
      <c r="C27" s="73"/>
      <c r="D27" s="74"/>
    </row>
    <row r="28" spans="1:5" ht="12.75">
      <c r="B28" s="1" t="s">
        <v>46</v>
      </c>
      <c r="C28" s="51">
        <f>NORMSINV(0.95)*B24</f>
        <v>367.80045229005702</v>
      </c>
      <c r="D28" s="74"/>
    </row>
  </sheetData>
  <mergeCells count="15">
    <mergeCell ref="B27:D27"/>
    <mergeCell ref="C28:D28"/>
    <mergeCell ref="A1:E1"/>
    <mergeCell ref="G1:K1"/>
    <mergeCell ref="A8:B8"/>
    <mergeCell ref="D8:E8"/>
    <mergeCell ref="G8:H8"/>
    <mergeCell ref="J8:K8"/>
    <mergeCell ref="H12:J12"/>
    <mergeCell ref="I13:J13"/>
    <mergeCell ref="B12:D12"/>
    <mergeCell ref="C13:D13"/>
    <mergeCell ref="A16:E16"/>
    <mergeCell ref="A23:B23"/>
    <mergeCell ref="D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31D-1581-4751-BDC8-C61A94601A63}">
  <dimension ref="A1:P47"/>
  <sheetViews>
    <sheetView zoomScale="58" zoomScaleNormal="58" workbookViewId="0">
      <selection activeCell="N40" sqref="N40"/>
    </sheetView>
  </sheetViews>
  <sheetFormatPr defaultRowHeight="12.75"/>
  <cols>
    <col min="1" max="1" width="20.42578125" bestFit="1" customWidth="1"/>
    <col min="2" max="2" width="20.5703125" bestFit="1" customWidth="1"/>
    <col min="3" max="4" width="15.28515625" bestFit="1" customWidth="1"/>
    <col min="5" max="5" width="25.42578125" bestFit="1" customWidth="1"/>
    <col min="6" max="6" width="16.140625" bestFit="1" customWidth="1"/>
    <col min="7" max="7" width="16.7109375" bestFit="1" customWidth="1"/>
    <col min="8" max="9" width="13.7109375" customWidth="1"/>
    <col min="10" max="10" width="19.140625" bestFit="1" customWidth="1"/>
    <col min="11" max="16" width="13.7109375" customWidth="1"/>
  </cols>
  <sheetData>
    <row r="1" spans="1:16">
      <c r="A1" s="47"/>
      <c r="B1" s="55" t="s">
        <v>47</v>
      </c>
      <c r="C1" s="76"/>
      <c r="D1" s="76"/>
      <c r="E1" s="76"/>
      <c r="F1" s="77"/>
      <c r="G1" s="46"/>
      <c r="H1" s="46"/>
    </row>
    <row r="2" spans="1:16">
      <c r="A2" s="20" t="s">
        <v>48</v>
      </c>
      <c r="B2" s="24" t="s">
        <v>49</v>
      </c>
      <c r="C2" s="24" t="s">
        <v>50</v>
      </c>
      <c r="D2" s="24" t="s">
        <v>51</v>
      </c>
      <c r="E2" s="24" t="s">
        <v>52</v>
      </c>
      <c r="F2" s="24" t="s">
        <v>53</v>
      </c>
      <c r="G2" s="78" t="s">
        <v>54</v>
      </c>
      <c r="H2" s="79"/>
      <c r="J2" s="21" t="s">
        <v>48</v>
      </c>
      <c r="K2" s="26" t="s">
        <v>49</v>
      </c>
      <c r="L2" s="26" t="s">
        <v>50</v>
      </c>
      <c r="M2" s="26" t="s">
        <v>51</v>
      </c>
      <c r="N2" s="26" t="s">
        <v>52</v>
      </c>
      <c r="O2" s="26" t="s">
        <v>53</v>
      </c>
    </row>
    <row r="3" spans="1:16">
      <c r="A3" s="20" t="s">
        <v>49</v>
      </c>
      <c r="B3" s="38">
        <f>81000*(0.6)</f>
        <v>48600</v>
      </c>
      <c r="C3" s="38">
        <f>(84*1000)*(0.6)</f>
        <v>50400</v>
      </c>
      <c r="D3" s="38">
        <f>(90*1000)*(0.6)</f>
        <v>54000</v>
      </c>
      <c r="E3" s="38">
        <f>(98*1000)*(0.6)</f>
        <v>58800</v>
      </c>
      <c r="F3" s="38">
        <f>(95*1000)*(0.6)</f>
        <v>57000</v>
      </c>
      <c r="G3" s="80">
        <v>280</v>
      </c>
      <c r="H3" s="81"/>
      <c r="J3" s="21" t="s">
        <v>49</v>
      </c>
      <c r="K3" s="19">
        <v>190.00000000000003</v>
      </c>
      <c r="L3" s="19">
        <v>0</v>
      </c>
      <c r="M3" s="19">
        <v>60</v>
      </c>
      <c r="N3" s="19">
        <v>0</v>
      </c>
      <c r="O3" s="19">
        <v>0</v>
      </c>
    </row>
    <row r="4" spans="1:16">
      <c r="A4" s="20" t="s">
        <v>51</v>
      </c>
      <c r="B4" s="38">
        <f>87000*(0.6)</f>
        <v>52200</v>
      </c>
      <c r="C4" s="38">
        <f>80000*(0.6)</f>
        <v>48000</v>
      </c>
      <c r="D4" s="38">
        <f>70000*(0.6)</f>
        <v>42000</v>
      </c>
      <c r="E4" s="38">
        <f>77000*(0.6)</f>
        <v>46200</v>
      </c>
      <c r="F4" s="38">
        <f>82000*(0.6)</f>
        <v>49200</v>
      </c>
      <c r="G4" s="80">
        <v>160</v>
      </c>
      <c r="H4" s="81"/>
      <c r="J4" s="21" t="s">
        <v>51</v>
      </c>
      <c r="K4" s="19">
        <v>0</v>
      </c>
      <c r="L4" s="19">
        <v>0</v>
      </c>
      <c r="M4" s="19">
        <v>120</v>
      </c>
      <c r="N4" s="19">
        <v>40.000000000000028</v>
      </c>
      <c r="O4" s="19">
        <v>0</v>
      </c>
    </row>
    <row r="5" spans="1:16">
      <c r="A5" s="22" t="s">
        <v>53</v>
      </c>
      <c r="B5" s="38">
        <f>104000*(0.6)</f>
        <v>62400</v>
      </c>
      <c r="C5" s="38">
        <f>92000*(0.6)</f>
        <v>55200</v>
      </c>
      <c r="D5" s="38">
        <f>88000*(0.6)</f>
        <v>52800</v>
      </c>
      <c r="E5" s="38">
        <f>86000*(0.6)</f>
        <v>51600</v>
      </c>
      <c r="F5" s="38">
        <f>72000*(0.6)</f>
        <v>43200</v>
      </c>
      <c r="G5" s="82">
        <v>240</v>
      </c>
      <c r="H5" s="83"/>
      <c r="J5" s="21" t="s">
        <v>53</v>
      </c>
      <c r="K5" s="19">
        <v>0</v>
      </c>
      <c r="L5" s="19">
        <v>0</v>
      </c>
      <c r="M5" s="19">
        <v>0</v>
      </c>
      <c r="N5" s="19">
        <v>19.999999999999869</v>
      </c>
      <c r="O5" s="19">
        <v>220.00000000000023</v>
      </c>
    </row>
    <row r="6" spans="1:16">
      <c r="A6" s="45"/>
      <c r="B6" s="44"/>
      <c r="C6" s="44"/>
      <c r="D6" s="44"/>
      <c r="E6" s="44"/>
      <c r="F6" s="44"/>
      <c r="G6" s="84"/>
      <c r="H6" s="84"/>
    </row>
    <row r="7" spans="1:16">
      <c r="A7" s="42"/>
      <c r="B7" s="59" t="s">
        <v>55</v>
      </c>
      <c r="C7" s="60"/>
      <c r="D7" s="60"/>
      <c r="E7" s="60"/>
      <c r="F7" s="61"/>
      <c r="G7" s="56" t="s">
        <v>56</v>
      </c>
      <c r="H7" s="58" t="s">
        <v>57</v>
      </c>
      <c r="J7" s="40"/>
      <c r="K7" s="71"/>
      <c r="L7" s="71"/>
      <c r="M7" s="71"/>
      <c r="N7" s="71"/>
      <c r="O7" s="71"/>
      <c r="P7" s="43"/>
    </row>
    <row r="8" spans="1:16">
      <c r="A8" s="20" t="s">
        <v>58</v>
      </c>
      <c r="B8" s="24" t="s">
        <v>49</v>
      </c>
      <c r="C8" s="24" t="s">
        <v>50</v>
      </c>
      <c r="D8" s="24" t="s">
        <v>51</v>
      </c>
      <c r="E8" s="24" t="s">
        <v>52</v>
      </c>
      <c r="F8" s="24" t="s">
        <v>53</v>
      </c>
      <c r="G8" s="57"/>
      <c r="H8" s="58"/>
      <c r="J8" s="21" t="s">
        <v>58</v>
      </c>
      <c r="K8" s="26" t="s">
        <v>49</v>
      </c>
      <c r="L8" s="26" t="s">
        <v>50</v>
      </c>
      <c r="M8" s="26" t="s">
        <v>51</v>
      </c>
      <c r="N8" s="26" t="s">
        <v>52</v>
      </c>
      <c r="O8" s="26" t="s">
        <v>53</v>
      </c>
      <c r="P8" s="41" t="s">
        <v>59</v>
      </c>
    </row>
    <row r="9" spans="1:16">
      <c r="A9" s="20" t="s">
        <v>49</v>
      </c>
      <c r="B9" s="38">
        <f>(81*1000)*0.6</f>
        <v>48600</v>
      </c>
      <c r="C9" s="38">
        <f>(84*1000)*0.6</f>
        <v>50400</v>
      </c>
      <c r="D9" s="38">
        <f>(90*1000)*0.6</f>
        <v>54000</v>
      </c>
      <c r="E9" s="38">
        <f>(98*1000)*0.6</f>
        <v>58800</v>
      </c>
      <c r="F9" s="38">
        <f>(95*1000)*0.6</f>
        <v>57000</v>
      </c>
      <c r="G9" s="36">
        <f>9300*10</f>
        <v>93000</v>
      </c>
      <c r="H9" s="35">
        <v>210</v>
      </c>
      <c r="J9" s="21" t="s">
        <v>49</v>
      </c>
      <c r="K9" s="19">
        <v>180</v>
      </c>
      <c r="L9" s="19">
        <v>0</v>
      </c>
      <c r="M9" s="19">
        <v>10</v>
      </c>
      <c r="N9" s="19">
        <v>0</v>
      </c>
      <c r="O9" s="19">
        <v>0</v>
      </c>
      <c r="P9" s="33">
        <v>1</v>
      </c>
    </row>
    <row r="10" spans="1:16">
      <c r="A10" s="20" t="s">
        <v>50</v>
      </c>
      <c r="B10" s="38">
        <v>52200</v>
      </c>
      <c r="C10" s="38">
        <v>51000</v>
      </c>
      <c r="D10" s="38">
        <v>55200</v>
      </c>
      <c r="E10" s="38">
        <v>58200</v>
      </c>
      <c r="F10" s="38">
        <v>61200</v>
      </c>
      <c r="G10" s="36">
        <v>85000</v>
      </c>
      <c r="H10" s="35">
        <v>260</v>
      </c>
      <c r="J10" s="39" t="s">
        <v>50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33">
        <v>0</v>
      </c>
    </row>
    <row r="11" spans="1:16">
      <c r="A11" s="20" t="s">
        <v>51</v>
      </c>
      <c r="B11" s="38">
        <v>52200</v>
      </c>
      <c r="C11" s="38">
        <v>48000</v>
      </c>
      <c r="D11" s="38">
        <v>42000</v>
      </c>
      <c r="E11" s="38">
        <v>46200</v>
      </c>
      <c r="F11" s="38">
        <v>49200</v>
      </c>
      <c r="G11" s="36">
        <v>102000</v>
      </c>
      <c r="H11" s="35">
        <v>180</v>
      </c>
      <c r="J11" s="20" t="s">
        <v>51</v>
      </c>
      <c r="K11" s="34">
        <v>0</v>
      </c>
      <c r="L11" s="34">
        <v>0</v>
      </c>
      <c r="M11" s="34">
        <v>180</v>
      </c>
      <c r="N11" s="34">
        <v>0</v>
      </c>
      <c r="O11" s="34">
        <v>0</v>
      </c>
      <c r="P11" s="33">
        <v>1</v>
      </c>
    </row>
    <row r="12" spans="1:16">
      <c r="A12" s="20" t="s">
        <v>52</v>
      </c>
      <c r="B12" s="38">
        <v>54000</v>
      </c>
      <c r="C12" s="38">
        <v>54600</v>
      </c>
      <c r="D12" s="38">
        <v>45600</v>
      </c>
      <c r="E12" s="38">
        <v>43200</v>
      </c>
      <c r="F12" s="38">
        <v>48000</v>
      </c>
      <c r="G12" s="36">
        <v>80000</v>
      </c>
      <c r="H12" s="35">
        <v>210</v>
      </c>
      <c r="I12" s="40"/>
      <c r="J12" s="20" t="s">
        <v>52</v>
      </c>
      <c r="K12" s="34">
        <v>0</v>
      </c>
      <c r="L12" s="34">
        <v>0</v>
      </c>
      <c r="M12" s="34">
        <v>0</v>
      </c>
      <c r="N12" s="34">
        <v>60</v>
      </c>
      <c r="O12" s="34">
        <v>0</v>
      </c>
      <c r="P12" s="33">
        <v>1</v>
      </c>
    </row>
    <row r="13" spans="1:16">
      <c r="A13" s="20" t="s">
        <v>53</v>
      </c>
      <c r="B13" s="37">
        <v>62400</v>
      </c>
      <c r="C13" s="37">
        <v>55200</v>
      </c>
      <c r="D13" s="37">
        <v>52800</v>
      </c>
      <c r="E13" s="37">
        <v>51600</v>
      </c>
      <c r="F13" s="37">
        <v>43200</v>
      </c>
      <c r="G13" s="36">
        <v>76000</v>
      </c>
      <c r="H13" s="35">
        <v>220</v>
      </c>
      <c r="I13" s="40"/>
      <c r="J13" s="20" t="s">
        <v>53</v>
      </c>
      <c r="K13" s="34">
        <v>0</v>
      </c>
      <c r="L13" s="34">
        <v>0</v>
      </c>
      <c r="M13" s="34">
        <v>0</v>
      </c>
      <c r="N13" s="34">
        <v>0</v>
      </c>
      <c r="O13" s="34">
        <v>220</v>
      </c>
      <c r="P13" s="33">
        <v>1</v>
      </c>
    </row>
    <row r="14" spans="1:16">
      <c r="I14" s="40"/>
    </row>
    <row r="15" spans="1:16">
      <c r="A15" s="42"/>
      <c r="B15" s="62" t="s">
        <v>60</v>
      </c>
      <c r="C15" s="62"/>
      <c r="D15" s="62"/>
      <c r="E15" s="62"/>
      <c r="F15" s="62"/>
      <c r="G15" s="56" t="s">
        <v>56</v>
      </c>
      <c r="H15" s="58" t="s">
        <v>61</v>
      </c>
      <c r="I15" s="40"/>
    </row>
    <row r="16" spans="1:16">
      <c r="A16" s="23" t="s">
        <v>62</v>
      </c>
      <c r="B16" s="26" t="s">
        <v>49</v>
      </c>
      <c r="C16" s="26" t="s">
        <v>50</v>
      </c>
      <c r="D16" s="26" t="s">
        <v>51</v>
      </c>
      <c r="E16" s="26" t="s">
        <v>52</v>
      </c>
      <c r="F16" s="26" t="s">
        <v>53</v>
      </c>
      <c r="G16" s="57"/>
      <c r="H16" s="58"/>
      <c r="I16" s="40"/>
      <c r="J16" s="23" t="s">
        <v>62</v>
      </c>
      <c r="K16" s="26" t="s">
        <v>49</v>
      </c>
      <c r="L16" s="26" t="s">
        <v>50</v>
      </c>
      <c r="M16" s="26" t="s">
        <v>51</v>
      </c>
      <c r="N16" s="26" t="s">
        <v>52</v>
      </c>
      <c r="O16" s="26" t="s">
        <v>53</v>
      </c>
      <c r="P16" s="41" t="s">
        <v>59</v>
      </c>
    </row>
    <row r="17" spans="1:16">
      <c r="A17" s="23" t="s">
        <v>49</v>
      </c>
      <c r="B17" s="38">
        <f>(81*1000)*0.6</f>
        <v>48600</v>
      </c>
      <c r="C17" s="38">
        <f>(84*1000)*0.6</f>
        <v>50400</v>
      </c>
      <c r="D17" s="38">
        <f>(90*1000)*0.6</f>
        <v>54000</v>
      </c>
      <c r="E17" s="38">
        <f>(98*1000)*0.6</f>
        <v>58800</v>
      </c>
      <c r="F17" s="38">
        <f>(95*1000)*0.6</f>
        <v>57000</v>
      </c>
      <c r="G17" s="36">
        <f>9300*8</f>
        <v>74400</v>
      </c>
      <c r="H17" s="35">
        <v>180</v>
      </c>
      <c r="I17" s="40"/>
      <c r="J17" s="21" t="s">
        <v>49</v>
      </c>
      <c r="K17" s="19">
        <v>140.00000000000017</v>
      </c>
      <c r="L17" s="19">
        <v>39.999999999999808</v>
      </c>
      <c r="M17" s="19">
        <v>0</v>
      </c>
      <c r="N17" s="19">
        <v>0</v>
      </c>
      <c r="O17" s="19">
        <v>0</v>
      </c>
      <c r="P17" s="33">
        <v>1</v>
      </c>
    </row>
    <row r="18" spans="1:16">
      <c r="A18" s="23" t="s">
        <v>50</v>
      </c>
      <c r="B18" s="38">
        <v>52200</v>
      </c>
      <c r="C18" s="38">
        <v>51000</v>
      </c>
      <c r="D18" s="38">
        <v>55200</v>
      </c>
      <c r="E18" s="38">
        <v>58200</v>
      </c>
      <c r="F18" s="38">
        <v>61200</v>
      </c>
      <c r="G18" s="36">
        <f>8500*8</f>
        <v>68000</v>
      </c>
      <c r="H18" s="35">
        <v>270</v>
      </c>
      <c r="J18" s="39" t="s">
        <v>50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33">
        <v>0</v>
      </c>
    </row>
    <row r="19" spans="1:16">
      <c r="A19" s="23" t="s">
        <v>51</v>
      </c>
      <c r="B19" s="38">
        <v>52200</v>
      </c>
      <c r="C19" s="38">
        <v>48000</v>
      </c>
      <c r="D19" s="38">
        <v>42000</v>
      </c>
      <c r="E19" s="38">
        <v>46200</v>
      </c>
      <c r="F19" s="38">
        <v>49200</v>
      </c>
      <c r="G19" s="36">
        <f>10200*8</f>
        <v>81600</v>
      </c>
      <c r="H19" s="35">
        <v>280</v>
      </c>
      <c r="J19" s="20" t="s">
        <v>51</v>
      </c>
      <c r="K19" s="34">
        <v>0</v>
      </c>
      <c r="L19" s="34">
        <v>0</v>
      </c>
      <c r="M19" s="34">
        <v>190</v>
      </c>
      <c r="N19" s="34">
        <v>0</v>
      </c>
      <c r="O19" s="34">
        <v>0</v>
      </c>
      <c r="P19" s="33">
        <v>1</v>
      </c>
    </row>
    <row r="20" spans="1:16">
      <c r="A20" s="23" t="s">
        <v>52</v>
      </c>
      <c r="B20" s="38">
        <v>54000</v>
      </c>
      <c r="C20" s="38">
        <v>54600</v>
      </c>
      <c r="D20" s="38">
        <v>45600</v>
      </c>
      <c r="E20" s="38">
        <v>43200</v>
      </c>
      <c r="F20" s="38">
        <v>48000</v>
      </c>
      <c r="G20" s="36">
        <f>8000*8</f>
        <v>64000</v>
      </c>
      <c r="H20" s="35">
        <v>180</v>
      </c>
      <c r="J20" s="20" t="s">
        <v>52</v>
      </c>
      <c r="K20" s="34">
        <v>0</v>
      </c>
      <c r="L20" s="34">
        <v>0</v>
      </c>
      <c r="M20" s="34">
        <v>0</v>
      </c>
      <c r="N20" s="34">
        <v>60.000000000000043</v>
      </c>
      <c r="O20" s="34">
        <v>0</v>
      </c>
      <c r="P20" s="33">
        <v>1</v>
      </c>
    </row>
    <row r="21" spans="1:16">
      <c r="A21" s="23" t="s">
        <v>53</v>
      </c>
      <c r="B21" s="37">
        <v>62400</v>
      </c>
      <c r="C21" s="37">
        <v>55200</v>
      </c>
      <c r="D21" s="37">
        <v>52800</v>
      </c>
      <c r="E21" s="37">
        <v>51600</v>
      </c>
      <c r="F21" s="37">
        <v>43200</v>
      </c>
      <c r="G21" s="36">
        <f>7600*8</f>
        <v>60800</v>
      </c>
      <c r="H21" s="35">
        <v>240</v>
      </c>
      <c r="J21" s="20" t="s">
        <v>53</v>
      </c>
      <c r="K21" s="34">
        <v>0</v>
      </c>
      <c r="L21" s="34">
        <v>90.000000000000142</v>
      </c>
      <c r="M21" s="34">
        <v>0</v>
      </c>
      <c r="N21" s="34">
        <v>89.999999999999986</v>
      </c>
      <c r="O21" s="34">
        <v>40.000000000000007</v>
      </c>
      <c r="P21" s="33">
        <v>1</v>
      </c>
    </row>
    <row r="22" spans="1:16">
      <c r="A22" s="32" t="s">
        <v>63</v>
      </c>
      <c r="B22" s="31">
        <v>140</v>
      </c>
      <c r="C22" s="31">
        <v>130</v>
      </c>
      <c r="D22" s="31">
        <v>190</v>
      </c>
      <c r="E22" s="31">
        <v>150</v>
      </c>
      <c r="F22" s="31">
        <v>40</v>
      </c>
    </row>
    <row r="24" spans="1:16">
      <c r="F24" s="30"/>
    </row>
    <row r="25" spans="1:16">
      <c r="A25" s="29" t="s">
        <v>64</v>
      </c>
      <c r="B25" s="28"/>
      <c r="C25" s="28"/>
    </row>
    <row r="26" spans="1:16">
      <c r="A26" s="27" t="s">
        <v>65</v>
      </c>
      <c r="B26" s="67">
        <f>(SUMPRODUCT(B3:F5,K3:O5)+SUMPRODUCT(B9:G13,K9:P13) + SUMPRODUCT(B17:G21,K17:P21))*1000</f>
        <v>90205800000</v>
      </c>
      <c r="C26" s="67"/>
      <c r="E26" s="68" t="s">
        <v>66</v>
      </c>
      <c r="F26" s="69"/>
      <c r="G26" s="70"/>
    </row>
    <row r="29" spans="1:16">
      <c r="A29" s="20" t="s">
        <v>67</v>
      </c>
      <c r="B29" s="24" t="s">
        <v>68</v>
      </c>
      <c r="C29" s="24" t="s">
        <v>69</v>
      </c>
      <c r="E29" s="20" t="s">
        <v>70</v>
      </c>
      <c r="F29" s="24" t="s">
        <v>71</v>
      </c>
      <c r="G29" s="24" t="s">
        <v>72</v>
      </c>
      <c r="J29" s="20"/>
      <c r="K29" s="26" t="s">
        <v>49</v>
      </c>
      <c r="L29" s="26" t="s">
        <v>50</v>
      </c>
      <c r="M29" s="26" t="s">
        <v>51</v>
      </c>
      <c r="N29" s="26" t="s">
        <v>52</v>
      </c>
      <c r="O29" s="26" t="s">
        <v>53</v>
      </c>
    </row>
    <row r="30" spans="1:16">
      <c r="A30" s="20" t="s">
        <v>49</v>
      </c>
      <c r="B30" s="19">
        <f>SUM(K3:O3)</f>
        <v>250.00000000000003</v>
      </c>
      <c r="C30" s="19">
        <f>G3</f>
        <v>280</v>
      </c>
      <c r="E30" s="23" t="s">
        <v>49</v>
      </c>
      <c r="F30" s="19">
        <f>SUM(K17:O17)</f>
        <v>179.99999999999997</v>
      </c>
      <c r="G30" s="19">
        <f>H17*P17</f>
        <v>180</v>
      </c>
      <c r="J30" s="23" t="s">
        <v>68</v>
      </c>
      <c r="K30" s="19">
        <f>SUM(K17:K21)</f>
        <v>140.00000000000017</v>
      </c>
      <c r="L30" s="19">
        <f>SUM(L17:L21)</f>
        <v>129.99999999999994</v>
      </c>
      <c r="M30" s="19">
        <f>SUM(M17:M21)</f>
        <v>190</v>
      </c>
      <c r="N30" s="19">
        <f>SUM(N17:N21)</f>
        <v>150.00000000000003</v>
      </c>
      <c r="O30" s="19">
        <f>SUM(O17:O21)</f>
        <v>40.000000000000007</v>
      </c>
    </row>
    <row r="31" spans="1:16">
      <c r="A31" s="22" t="s">
        <v>51</v>
      </c>
      <c r="B31" s="19">
        <f>SUM(K4:O4)</f>
        <v>160.00000000000003</v>
      </c>
      <c r="C31" s="19">
        <f>G4</f>
        <v>160</v>
      </c>
      <c r="E31" s="23" t="s">
        <v>50</v>
      </c>
      <c r="F31" s="19">
        <f>SUM(K18:O18)</f>
        <v>0</v>
      </c>
      <c r="G31" s="19">
        <f>H18*P18</f>
        <v>0</v>
      </c>
      <c r="J31" s="23" t="s">
        <v>73</v>
      </c>
      <c r="K31" s="25">
        <f>B22</f>
        <v>140</v>
      </c>
      <c r="L31" s="25">
        <f>C22</f>
        <v>130</v>
      </c>
      <c r="M31" s="25">
        <f>D22</f>
        <v>190</v>
      </c>
      <c r="N31" s="25">
        <f>E22</f>
        <v>150</v>
      </c>
      <c r="O31" s="25">
        <f>F22</f>
        <v>40</v>
      </c>
    </row>
    <row r="32" spans="1:16">
      <c r="A32" s="21" t="s">
        <v>53</v>
      </c>
      <c r="B32" s="19">
        <f>SUM(K5:O5)</f>
        <v>240.00000000000009</v>
      </c>
      <c r="C32" s="19">
        <f>G5</f>
        <v>240</v>
      </c>
      <c r="E32" s="23" t="s">
        <v>51</v>
      </c>
      <c r="F32" s="19">
        <f>SUM(K19:O19)</f>
        <v>190</v>
      </c>
      <c r="G32" s="19">
        <f>H19*P19</f>
        <v>280</v>
      </c>
    </row>
    <row r="33" spans="1:15">
      <c r="E33" s="23" t="s">
        <v>52</v>
      </c>
      <c r="F33" s="19">
        <f>SUM(K20:O20)</f>
        <v>60.000000000000043</v>
      </c>
      <c r="G33" s="19">
        <f>H20*P20</f>
        <v>180</v>
      </c>
    </row>
    <row r="34" spans="1:15">
      <c r="A34" s="20" t="s">
        <v>74</v>
      </c>
      <c r="B34" s="24" t="s">
        <v>75</v>
      </c>
      <c r="C34" s="24" t="s">
        <v>72</v>
      </c>
      <c r="E34" s="23" t="s">
        <v>53</v>
      </c>
      <c r="F34" s="19">
        <f>SUM(K21:O21)</f>
        <v>220.00000000000011</v>
      </c>
      <c r="G34" s="19">
        <f>H21*P21</f>
        <v>240</v>
      </c>
      <c r="J34" s="62" t="s">
        <v>76</v>
      </c>
      <c r="K34" s="62"/>
      <c r="L34" s="62"/>
      <c r="M34" s="62"/>
      <c r="N34" s="62"/>
      <c r="O34" s="62"/>
    </row>
    <row r="35" spans="1:15">
      <c r="A35" s="20" t="s">
        <v>49</v>
      </c>
      <c r="B35" s="19">
        <f>SUM(K9:O9)</f>
        <v>190</v>
      </c>
      <c r="C35" s="19">
        <f>H9*P9</f>
        <v>210</v>
      </c>
      <c r="J35" s="62"/>
      <c r="K35" s="62"/>
      <c r="L35" s="62"/>
      <c r="M35" s="62"/>
      <c r="N35" s="62"/>
      <c r="O35" s="62"/>
    </row>
    <row r="36" spans="1:15">
      <c r="A36" s="22" t="s">
        <v>50</v>
      </c>
      <c r="B36" s="19">
        <f>SUM(K10:O10)</f>
        <v>0</v>
      </c>
      <c r="C36" s="19">
        <f>H10*P10</f>
        <v>0</v>
      </c>
      <c r="E36" s="64" t="s">
        <v>77</v>
      </c>
      <c r="F36" s="65"/>
      <c r="G36" s="66"/>
      <c r="J36" s="62"/>
      <c r="K36" s="62"/>
      <c r="L36" s="62"/>
      <c r="M36" s="62"/>
      <c r="N36" s="62"/>
      <c r="O36" s="62"/>
    </row>
    <row r="37" spans="1:15">
      <c r="A37" s="21" t="s">
        <v>51</v>
      </c>
      <c r="B37" s="19">
        <f>SUM(K11:O11)</f>
        <v>180</v>
      </c>
      <c r="C37" s="19">
        <f>H11*P11</f>
        <v>180</v>
      </c>
      <c r="E37" s="20" t="s">
        <v>78</v>
      </c>
      <c r="F37" s="24" t="s">
        <v>79</v>
      </c>
      <c r="G37" s="24" t="s">
        <v>80</v>
      </c>
      <c r="J37" s="63" t="s">
        <v>81</v>
      </c>
      <c r="K37" s="63"/>
      <c r="L37" s="63"/>
      <c r="M37" s="63"/>
      <c r="N37" s="63"/>
      <c r="O37" s="63"/>
    </row>
    <row r="38" spans="1:15">
      <c r="A38" s="20" t="s">
        <v>52</v>
      </c>
      <c r="B38" s="19">
        <f>SUM(K12:O12)</f>
        <v>60</v>
      </c>
      <c r="C38" s="19">
        <f>H12*P12</f>
        <v>210</v>
      </c>
      <c r="E38" s="23" t="s">
        <v>49</v>
      </c>
      <c r="F38" s="19">
        <f>SUM(K9:K13)</f>
        <v>180</v>
      </c>
      <c r="G38" s="19">
        <f>SUM(K17:O17)</f>
        <v>179.99999999999997</v>
      </c>
      <c r="J38" s="63"/>
      <c r="K38" s="63"/>
      <c r="L38" s="63"/>
      <c r="M38" s="63"/>
      <c r="N38" s="63"/>
      <c r="O38" s="63"/>
    </row>
    <row r="39" spans="1:15">
      <c r="A39" s="20" t="s">
        <v>53</v>
      </c>
      <c r="B39" s="19">
        <f>SUM(K13:O13)</f>
        <v>220</v>
      </c>
      <c r="C39" s="19">
        <f>H13*P13</f>
        <v>220</v>
      </c>
      <c r="E39" s="23" t="s">
        <v>50</v>
      </c>
      <c r="F39" s="19">
        <f>SUM(L9:L13)</f>
        <v>0</v>
      </c>
      <c r="G39" s="19">
        <f>SUM(K18:O18)</f>
        <v>0</v>
      </c>
      <c r="J39" s="63"/>
      <c r="K39" s="63"/>
      <c r="L39" s="63"/>
      <c r="M39" s="63"/>
      <c r="N39" s="63"/>
      <c r="O39" s="63"/>
    </row>
    <row r="40" spans="1:15">
      <c r="E40" s="23" t="s">
        <v>51</v>
      </c>
      <c r="F40" s="19">
        <f>SUM(M9:M13)</f>
        <v>190</v>
      </c>
      <c r="G40" s="19">
        <f>SUM(K19:O19)</f>
        <v>190</v>
      </c>
    </row>
    <row r="41" spans="1:15">
      <c r="A41" s="64" t="s">
        <v>82</v>
      </c>
      <c r="B41" s="65"/>
      <c r="C41" s="66"/>
      <c r="E41" s="23" t="s">
        <v>52</v>
      </c>
      <c r="F41" s="19">
        <f>SUM(N9:N13)</f>
        <v>60</v>
      </c>
      <c r="G41" s="19">
        <f>SUM(K20:O20)</f>
        <v>60.000000000000043</v>
      </c>
    </row>
    <row r="42" spans="1:15">
      <c r="A42" s="20" t="s">
        <v>83</v>
      </c>
      <c r="B42" s="24" t="s">
        <v>79</v>
      </c>
      <c r="C42" s="24" t="s">
        <v>80</v>
      </c>
      <c r="E42" s="23" t="s">
        <v>53</v>
      </c>
      <c r="F42" s="19">
        <f>SUM(O9:O13)</f>
        <v>220</v>
      </c>
      <c r="G42" s="19">
        <f>SUM(K21:O21)</f>
        <v>220.00000000000011</v>
      </c>
    </row>
    <row r="43" spans="1:15">
      <c r="A43" s="20" t="s">
        <v>49</v>
      </c>
      <c r="B43" s="19">
        <f>SUM(K3:K5)</f>
        <v>190.00000000000003</v>
      </c>
      <c r="C43" s="19">
        <f>SUM(K9:O9)</f>
        <v>190</v>
      </c>
    </row>
    <row r="44" spans="1:15">
      <c r="A44" s="22" t="s">
        <v>50</v>
      </c>
      <c r="B44" s="19">
        <f>SUM(L3:L5)</f>
        <v>0</v>
      </c>
      <c r="C44" s="19">
        <f>SUM(K10:O10)</f>
        <v>0</v>
      </c>
    </row>
    <row r="45" spans="1:15">
      <c r="A45" s="21" t="s">
        <v>51</v>
      </c>
      <c r="B45" s="19">
        <f>SUM(M3:M5)</f>
        <v>180</v>
      </c>
      <c r="C45" s="19">
        <f>SUM(K11:O11)</f>
        <v>180</v>
      </c>
    </row>
    <row r="46" spans="1:15">
      <c r="A46" s="20" t="s">
        <v>52</v>
      </c>
      <c r="B46" s="19">
        <f>SUM(N3:N5)</f>
        <v>59.999999999999901</v>
      </c>
      <c r="C46" s="19">
        <f>SUM(K12:O12)</f>
        <v>60</v>
      </c>
    </row>
    <row r="47" spans="1:15">
      <c r="A47" s="20" t="s">
        <v>53</v>
      </c>
      <c r="B47" s="19">
        <f>SUM(O3:O5)</f>
        <v>220.00000000000023</v>
      </c>
      <c r="C47" s="19">
        <f>SUM(K13:O13)</f>
        <v>220</v>
      </c>
    </row>
  </sheetData>
  <mergeCells count="19">
    <mergeCell ref="J34:O36"/>
    <mergeCell ref="J37:O39"/>
    <mergeCell ref="A41:C41"/>
    <mergeCell ref="B26:C26"/>
    <mergeCell ref="G2:H2"/>
    <mergeCell ref="G3:H3"/>
    <mergeCell ref="G4:H4"/>
    <mergeCell ref="B15:F15"/>
    <mergeCell ref="G15:G16"/>
    <mergeCell ref="H15:H16"/>
    <mergeCell ref="E36:G36"/>
    <mergeCell ref="E26:G26"/>
    <mergeCell ref="K7:O7"/>
    <mergeCell ref="B1:F1"/>
    <mergeCell ref="G6:H6"/>
    <mergeCell ref="G5:H5"/>
    <mergeCell ref="G7:G8"/>
    <mergeCell ref="H7:H8"/>
    <mergeCell ref="B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8B108272F854C42A759B0CDAF34474B" ma:contentTypeVersion="4" ma:contentTypeDescription="Yeni belge oluşturun." ma:contentTypeScope="" ma:versionID="73abd58daad483fc6b38520e1953ddfa">
  <xsd:schema xmlns:xsd="http://www.w3.org/2001/XMLSchema" xmlns:xs="http://www.w3.org/2001/XMLSchema" xmlns:p="http://schemas.microsoft.com/office/2006/metadata/properties" xmlns:ns2="3ba4bfaf-7a88-4bb8-9ad8-a37d735d78e9" targetNamespace="http://schemas.microsoft.com/office/2006/metadata/properties" ma:root="true" ma:fieldsID="3925f5b1199ac422778e0e23ed6a92c7" ns2:_="">
    <xsd:import namespace="3ba4bfaf-7a88-4bb8-9ad8-a37d735d78e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4bfaf-7a88-4bb8-9ad8-a37d735d78e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a4bfaf-7a88-4bb8-9ad8-a37d735d78e9" xsi:nil="true"/>
  </documentManagement>
</p:properties>
</file>

<file path=customXml/itemProps1.xml><?xml version="1.0" encoding="utf-8"?>
<ds:datastoreItem xmlns:ds="http://schemas.openxmlformats.org/officeDocument/2006/customXml" ds:itemID="{93944A4F-FEED-4B4E-8CFE-4777A01F371B}"/>
</file>

<file path=customXml/itemProps2.xml><?xml version="1.0" encoding="utf-8"?>
<ds:datastoreItem xmlns:ds="http://schemas.openxmlformats.org/officeDocument/2006/customXml" ds:itemID="{245CEA15-DE0E-456E-9A6C-259401AB51E0}"/>
</file>

<file path=customXml/itemProps3.xml><?xml version="1.0" encoding="utf-8"?>
<ds:datastoreItem xmlns:ds="http://schemas.openxmlformats.org/officeDocument/2006/customXml" ds:itemID="{60497A48-D87A-4EEF-9A55-C8A9F0AA4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EMİR CAN ATA</dc:creator>
  <cp:keywords/>
  <dc:description/>
  <cp:lastModifiedBy>EMİR CAN ATA</cp:lastModifiedBy>
  <cp:revision/>
  <dcterms:created xsi:type="dcterms:W3CDTF">2023-12-26T20:59:51Z</dcterms:created>
  <dcterms:modified xsi:type="dcterms:W3CDTF">2023-12-26T18:03:47Z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0x01010088B108272F854C42A759B0CDAF34474B</vt:lpwstr>
  </property>
  <property fmtid="{D5CDD505-2E9C-101B-9397-08002B2CF9AE}" pid="3" name="Order">
    <vt:r8>2800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